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574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<sst xmlns="http://schemas.openxmlformats.org/spreadsheetml/2006/main" count="17283" uniqueCount="5062">
  <si>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</si>
  <si>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</si>
  <si>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</si>
  <si>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</si>
  <si>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</si>
  <si>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</si>
  <si>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</si>
  <si>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</si>
  <si>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</si>
  <si>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</si>
  <si>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</si>
  <si>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</si>
  <si>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</si>
  <si>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</si>
  <si>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</si>
  <si>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</si>
  <si>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</si>
  <si>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</si>
  <si>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</si>
  <si>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</si>
  <si>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</si>
  <si>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</si>
  <si>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</si>
  <si>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</si>
  <si>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</si>
  <si>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</si>
  <si>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</si>
  <si>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</si>
  <si>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</si>
  <si>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</si>
  <si>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</si>
  <si>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</si>
  <si>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</si>
  <si>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</si>
  <si>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</si>
  <si>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</si>
  <si>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</si>
  <si>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</si>
  <si>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</si>
  <si>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</si>
  <si>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</si>
  <si>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</si>
  <si>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</si>
  <si>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</si>
  <si>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</si>
  <si>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</si>
  <si>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</si>
  <si>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</si>
  <si>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</si>
  <si>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</si>
  <si>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</si>
  <si>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</si>
  <si>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</si>
  <si>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</si>
  <si>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</si>
  <si>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</si>
  <si>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</si>
  <si>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</si>
  <si>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</si>
  <si>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</si>
  <si>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</si>
  <si>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</si>
  <si>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</si>
  <si>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</si>
  <si>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</si>
  <si>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</si>
  <si>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</si>
  <si>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</si>
  <si>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</si>
  <si>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</si>
  <si>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</si>
  <si>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</si>
  <si>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</si>
  <si>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</si>
  <si>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</si>
  <si>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</si>
  <si>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</si>
  <si>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</si>
  <si>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</si>
  <si>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</si>
  <si>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</si>
  <si>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</si>
  <si>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</si>
  <si>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</si>
  <si>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</si>
  <si>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</si>
  <si>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</si>
  <si>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</si>
  <si>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</si>
  <si>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</si>
  <si>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</si>
  <si>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</si>
  <si>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</si>
  <si>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</si>
  <si>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</si>
  <si>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</si>
  <si>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</si>
  <si>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</si>
  <si>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</si>
  <si>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</si>
  <si>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</si>
  <si>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</si>
  <si>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</si>
  <si>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</si>
  <si>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</si>
  <si>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</si>
  <si>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</si>
  <si>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</si>
  <si>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</si>
  <si>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</si>
  <si>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</si>
  <si>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</si>
  <si>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</si>
  <si>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</si>
  <si>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</si>
  <si>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</si>
  <si>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</si>
  <si>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</si>
  <si>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</si>
  <si>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</si>
  <si>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</si>
  <si>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</si>
  <si>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</si>
  <si>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</si>
  <si>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</si>
  <si>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</si>
  <si>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</si>
  <si>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</si>
  <si>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</si>
  <si>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</si>
  <si>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</si>
  <si>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</si>
  <si>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</si>
  <si>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</si>
  <si>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</si>
  <si>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</si>
  <si>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</si>
  <si>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</si>
  <si>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</si>
  <si>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</si>
  <si>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</si>
  <si>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</si>
  <si>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</si>
  <si>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</si>
  <si>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</si>
  <si>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</si>
  <si>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</si>
  <si>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</si>
  <si>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</si>
  <si>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</si>
  <si>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</si>
  <si>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</si>
  <si>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</si>
  <si>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</si>
  <si>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</si>
  <si>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</si>
  <si>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</si>
  <si>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</si>
  <si>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</si>
  <si>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</si>
  <si>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</si>
  <si>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</si>
  <si>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</si>
  <si>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</si>
  <si>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</si>
  <si>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</si>
  <si>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</si>
  <si>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</si>
  <si>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</si>
  <si>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</si>
  <si>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</si>
  <si>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</si>
  <si>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</si>
  <si>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</si>
  <si>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</si>
  <si>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</si>
  <si>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</si>
  <si>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</si>
  <si>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</si>
  <si>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</si>
  <si>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</si>
  <si>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</si>
  <si>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</si>
  <si>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</si>
  <si>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</si>
  <si>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</si>
  <si>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</si>
  <si>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</si>
  <si>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</si>
  <si>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</si>
  <si>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</si>
  <si>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</si>
  <si>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</si>
  <si>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</si>
  <si>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</si>
  <si>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</si>
  <si>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</si>
  <si>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</si>
  <si>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</si>
  <si>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</si>
  <si>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</si>
  <si>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</si>
  <si>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</si>
  <si>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</si>
  <si>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</si>
  <si>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</si>
  <si>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</si>
  <si>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</si>
  <si>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</si>
  <si>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</si>
  <si>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</si>
  <si>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</si>
  <si>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</si>
  <si>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</si>
  <si>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</si>
  <si>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</si>
  <si>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</si>
  <si>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</si>
  <si>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</si>
  <si>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</si>
  <si>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</si>
  <si>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</si>
  <si>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</si>
  <si>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</si>
  <si>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</si>
  <si>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</si>
  <si>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</si>
  <si>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</si>
  <si>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</si>
  <si>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</si>
  <si>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</si>
  <si>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</si>
  <si>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</si>
  <si>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</si>
  <si>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</si>
  <si>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</si>
  <si>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</si>
  <si>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</si>
  <si>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</si>
  <si>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</si>
  <si>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</si>
  <si>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</si>
  <si>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</si>
  <si>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</si>
  <si>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</si>
  <si>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</si>
  <si>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</si>
  <si>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</si>
  <si>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</si>
  <si>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</si>
  <si>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</si>
  <si>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</si>
  <si>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</si>
  <si>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</si>
  <si>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</si>
  <si>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</si>
  <si>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</si>
  <si>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</si>
  <si>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</si>
  <si>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</si>
  <si>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</si>
  <si>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</si>
  <si>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</si>
  <si>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</si>
  <si>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</si>
  <si>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</si>
  <si>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</si>
  <si>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</si>
  <si>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</si>
  <si>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</si>
  <si>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</si>
  <si>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</si>
  <si>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</si>
  <si>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</si>
  <si>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</si>
  <si>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</si>
  <si>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</si>
  <si>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</si>
  <si>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</si>
  <si>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</si>
  <si>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</si>
  <si>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</si>
  <si>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</si>
  <si>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</si>
  <si>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</si>
  <si>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</si>
  <si>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</si>
  <si>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</si>
  <si>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</si>
  <si>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</si>
  <si>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</si>
  <si>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</si>
  <si>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</si>
  <si>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</si>
  <si>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</si>
  <si>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</si>
  <si>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</si>
  <si>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</si>
  <si>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</si>
  <si>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</si>
  <si>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</si>
  <si>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</si>
  <si>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</si>
  <si>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</si>
  <si>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</si>
  <si>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</si>
  <si>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</si>
  <si>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</si>
  <si>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</si>
  <si>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</si>
  <si>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</si>
  <si>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</si>
  <si>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</si>
  <si>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</si>
  <si>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</si>
  <si>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</si>
  <si>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</si>
  <si>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</si>
  <si>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</si>
  <si>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</si>
  <si>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</si>
  <si>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</si>
  <si>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</si>
  <si>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</si>
  <si>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</si>
  <si>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</si>
  <si>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</si>
  <si>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</si>
  <si>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</si>
  <si>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</si>
  <si>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</si>
  <si>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</si>
  <si>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</si>
  <si>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</si>
  <si>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</si>
  <si>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</si>
  <si>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</si>
  <si>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</si>
  <si>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</si>
  <si>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</si>
  <si>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</si>
  <si>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</si>
  <si>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</si>
  <si>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</si>
  <si>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</si>
  <si>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</si>
  <si>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</si>
  <si>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</si>
  <si>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</si>
  <si>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</si>
  <si>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</si>
  <si>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</si>
  <si>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</si>
  <si>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</si>
  <si>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</si>
  <si>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</si>
  <si>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</si>
  <si>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</si>
  <si>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</si>
  <si>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</si>
  <si>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</si>
  <si>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</si>
  <si>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</si>
  <si>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</si>
  <si>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</si>
  <si>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</si>
  <si>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</si>
  <si>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</si>
  <si>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</si>
  <si>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</si>
  <si>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</si>
  <si>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</si>
  <si>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</si>
  <si>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</si>
  <si>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</si>
  <si>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</si>
  <si>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</si>
  <si>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</si>
  <si>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</si>
  <si>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</si>
  <si>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</si>
  <si>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</si>
  <si>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</si>
  <si>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</si>
  <si>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</si>
  <si>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</si>
  <si>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</si>
  <si>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</si>
  <si>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</si>
  <si>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</si>
  <si>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</si>
  <si>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</si>
  <si>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</si>
  <si>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</si>
  <si>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</si>
  <si>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</si>
  <si>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</si>
  <si>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</si>
  <si>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</si>
  <si>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</si>
  <si>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</si>
  <si>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</si>
  <si>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</si>
  <si>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</si>
  <si>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</si>
  <si>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</si>
  <si>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</si>
  <si>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</si>
  <si>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</si>
  <si>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</si>
  <si>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</si>
  <si>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</si>
  <si>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</si>
  <si>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</si>
  <si>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</si>
  <si>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</si>
  <si>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</si>
  <si>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</si>
  <si>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</si>
  <si>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</si>
  <si>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</si>
  <si>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</si>
  <si>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</si>
  <si>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</si>
  <si>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</si>
  <si>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</si>
  <si>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</si>
  <si>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</si>
  <si>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</si>
  <si>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</si>
  <si>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</si>
  <si>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</si>
  <si>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</si>
  <si>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</si>
  <si>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</si>
  <si>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</si>
  <si>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</si>
  <si>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</si>
  <si>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</si>
  <si>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</si>
  <si>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</si>
  <si>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</si>
  <si>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</si>
  <si>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</si>
  <si>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</si>
  <si>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</si>
  <si>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</si>
  <si>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</si>
  <si>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</si>
  <si>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</si>
  <si>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</si>
  <si>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</si>
  <si>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</si>
  <si>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</si>
  <si>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</si>
  <si>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</si>
  <si>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</si>
  <si>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</si>
  <si>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</si>
  <si>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</si>
  <si>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</si>
  <si>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</si>
  <si>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</si>
  <si>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</si>
  <si>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</si>
  <si>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</si>
  <si>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</si>
  <si>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</si>
  <si>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</si>
  <si>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</si>
  <si>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</si>
  <si>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</si>
  <si>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</si>
  <si>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</si>
  <si>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</si>
  <si>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</si>
  <si>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</si>
  <si>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</si>
  <si>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</si>
  <si>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</si>
  <si>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</si>
  <si>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</si>
  <si>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</si>
  <si>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</si>
  <si>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</si>
  <si>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</si>
  <si>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</si>
  <si>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</si>
  <si>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</si>
  <si>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</si>
  <si>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</si>
  <si>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</si>
  <si>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</si>
  <si>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</si>
  <si>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</si>
  <si>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</si>
  <si>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</si>
  <si>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</si>
  <si>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</si>
  <si>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</si>
  <si>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</si>
  <si>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</si>
  <si>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</si>
  <si>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</si>
  <si>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</si>
  <si>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</si>
  <si>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</si>
  <si>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</si>
  <si>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</si>
  <si>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</si>
  <si>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</si>
  <si>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</si>
  <si>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</si>
  <si>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</si>
  <si>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</si>
  <si>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</si>
  <si>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</si>
  <si>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</si>
  <si>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</si>
  <si>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</si>
  <si>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</si>
  <si>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</si>
  <si>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</si>
  <si>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</si>
  <si>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</si>
  <si>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</si>
  <si>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</si>
  <si>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</si>
  <si>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</si>
  <si>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</si>
  <si>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</si>
  <si>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</si>
  <si>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</si>
  <si>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</si>
  <si>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</si>
  <si>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</si>
  <si>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</si>
  <si>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</si>
  <si>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</si>
  <si>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</si>
  <si>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</si>
  <si>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</si>
  <si>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</si>
  <si>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</si>
  <si>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</si>
  <si>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</si>
  <si>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</si>
  <si>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</si>
  <si>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</si>
  <si>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</si>
  <si>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</si>
  <si>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</si>
  <si>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</si>
  <si>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</si>
  <si>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</si>
  <si>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</si>
  <si>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</si>
  <si>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</si>
  <si>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</si>
  <si>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</si>
  <si>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</si>
  <si>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</si>
  <si>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</si>
  <si>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</si>
  <si>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</si>
  <si>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</si>
  <si>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</si>
  <si>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</si>
  <si>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</si>
  <si>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</si>
  <si>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</si>
  <si>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</si>
  <si>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</si>
  <si>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</si>
  <si>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</si>
  <si>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</si>
  <si>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</si>
  <si>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</si>
  <si>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</si>
  <si>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</si>
  <si>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</si>
  <si>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</si>
  <si>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</si>
  <si>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</si>
  <si>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</si>
  <si>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</si>
  <si>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</si>
  <si>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</si>
  <si>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</si>
  <si>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</si>
  <si>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</si>
  <si>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</si>
  <si>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</si>
  <si>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</si>
  <si>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</si>
  <si>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</si>
  <si>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</si>
  <si>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</si>
  <si>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</si>
  <si>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</si>
  <si>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</si>
  <si>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</si>
  <si>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</si>
  <si>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</si>
  <si>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</si>
  <si>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</si>
  <si>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</si>
  <si>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</si>
  <si>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</si>
  <si>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</si>
  <si>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</si>
  <si>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</si>
  <si>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</si>
  <si>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</si>
  <si>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</si>
  <si>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</si>
  <si>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</si>
  <si>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</si>
  <si>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</si>
  <si>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</si>
  <si>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</si>
  <si>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</si>
  <si>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</si>
  <si>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</si>
  <si>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</si>
  <si>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</si>
  <si>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</si>
  <si>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</si>
  <si>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</si>
  <si>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</si>
  <si>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</si>
  <si>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</si>
  <si>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</si>
  <si>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</si>
  <si>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</si>
  <si>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</si>
  <si>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</si>
  <si>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</si>
  <si>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</si>
  <si>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</si>
  <si>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</si>
  <si>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</si>
  <si>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</si>
  <si>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</si>
  <si>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</si>
  <si>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</si>
  <si>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</si>
  <si>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</si>
  <si>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</si>
  <si>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</si>
  <si>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</si>
  <si>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</si>
  <si>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</si>
  <si>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</si>
  <si>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</si>
  <si>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</si>
  <si>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</si>
  <si>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</si>
  <si>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</si>
  <si>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</si>
  <si>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</si>
  <si>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</si>
  <si>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</si>
  <si>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</si>
  <si>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</si>
  <si>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</si>
  <si>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</si>
  <si>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</si>
  <si>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</si>
  <si>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</si>
  <si>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</si>
  <si>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</si>
  <si>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</si>
  <si>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</si>
  <si>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</si>
  <si>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</si>
  <si>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</si>
  <si>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</si>
  <si>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</si>
  <si>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</si>
  <si>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</si>
  <si>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</si>
  <si>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</si>
  <si>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</si>
  <si>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</si>
  <si>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</si>
  <si>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</si>
  <si>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</si>
  <si>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</si>
  <si>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</si>
  <si>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</si>
  <si>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</si>
  <si>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</si>
  <si>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</si>
  <si>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</si>
  <si>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</si>
  <si>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</si>
  <si>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</si>
  <si>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</si>
  <si>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</si>
  <si>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</si>
  <si>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</si>
  <si>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</si>
  <si>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</si>
  <si>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</si>
  <si>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</si>
  <si>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</si>
  <si>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</si>
  <si>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</si>
  <si>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</si>
  <si>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</si>
  <si>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</si>
  <si>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</si>
  <si>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</si>
  <si>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</si>
  <si>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</si>
  <si>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</si>
  <si>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</si>
  <si>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</si>
  <si>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</si>
  <si>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</si>
  <si>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</si>
  <si>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</si>
  <si>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</si>
  <si>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</si>
  <si>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</si>
  <si>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</si>
  <si>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</si>
  <si>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</si>
  <si>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</si>
  <si>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</si>
  <si>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</si>
  <si>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</si>
  <si>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</si>
  <si>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</si>
  <si>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</si>
  <si>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</si>
  <si>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</si>
  <si>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</si>
  <si>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</si>
  <si>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</si>
  <si>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</si>
  <si>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</si>
  <si>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</si>
  <si>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</si>
  <si>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</si>
  <si>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</si>
  <si>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</si>
  <si>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</si>
  <si>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</si>
  <si>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</si>
  <si>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</si>
  <si>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</si>
  <si>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</si>
  <si>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</si>
  <si>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</si>
  <si>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</si>
  <si>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</si>
  <si>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</si>
  <si>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</si>
  <si>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</si>
  <si>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</si>
  <si>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</si>
  <si>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</si>
  <si>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</si>
  <si>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</si>
  <si>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</si>
  <si>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</si>
  <si>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</si>
  <si>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</si>
  <si>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</si>
  <si>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</si>
  <si>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</si>
  <si>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</si>
  <si>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</si>
  <si>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</si>
  <si>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</si>
  <si>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</si>
  <si>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</si>
  <si>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</si>
  <si>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</si>
  <si>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</si>
  <si>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</si>
  <si>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</si>
  <si>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</si>
  <si>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</si>
  <si>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</si>
  <si>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</si>
  <si>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</si>
  <si>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</si>
  <si>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</si>
  <si>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</si>
  <si>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</si>
  <si>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</si>
  <si>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</si>
  <si>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</si>
  <si>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</si>
  <si>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</si>
  <si>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</si>
  <si>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</si>
  <si>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</si>
  <si>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</si>
  <si>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</si>
  <si>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</si>
  <si>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</si>
  <si>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</si>
  <si>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</si>
  <si>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</si>
  <si>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</si>
  <si>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</si>
  <si>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</si>
  <si>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</si>
  <si>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</si>
  <si>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</si>
  <si>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</si>
  <si>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</si>
  <si>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</si>
  <si>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</si>
  <si>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</si>
  <si>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</si>
  <si>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</si>
  <si>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</si>
  <si>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</si>
  <si>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</si>
  <si>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</si>
  <si>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</si>
  <si>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</si>
  <si>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</si>
  <si>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</si>
  <si>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</si>
  <si>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</si>
  <si>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</si>
  <si>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</si>
  <si>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</si>
  <si>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</si>
  <si>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</si>
  <si>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</si>
  <si>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</si>
  <si>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</si>
  <si>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</si>
  <si>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</si>
  <si>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</si>
  <si>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</si>
  <si>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</si>
  <si>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</si>
  <si>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</si>
  <si>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</si>
  <si>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</si>
  <si>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</si>
  <si>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</si>
  <si>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</si>
  <si>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</si>
  <si>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</si>
  <si>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</si>
  <si>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</si>
  <si>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</si>
  <si>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</si>
  <si>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</si>
  <si>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</si>
  <si>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</si>
  <si>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</si>
  <si>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</si>
  <si>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</si>
  <si>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</si>
  <si>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</si>
  <si>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</si>
  <si>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</si>
  <si>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</si>
  <si>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</si>
  <si>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</si>
  <si>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</si>
  <si>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</si>
  <si>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</si>
  <si>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</si>
  <si>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</si>
  <si>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</si>
  <si>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</si>
  <si>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</si>
  <si>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</si>
  <si>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</si>
  <si>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</si>
  <si>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</si>
  <si>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</si>
  <si>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</si>
  <si>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</si>
  <si>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</si>
  <si>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</si>
  <si>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</si>
  <si>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</si>
  <si>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</si>
  <si>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</si>
  <si>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</si>
  <si>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</si>
  <si>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</si>
  <si>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</si>
  <si>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</si>
  <si>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</si>
  <si>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</si>
  <si>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</si>
  <si>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</si>
  <si>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</si>
  <si>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</si>
  <si>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</si>
  <si>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</si>
  <si>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</si>
  <si>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</si>
  <si>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</si>
  <si>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</si>
  <si>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</si>
  <si>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</si>
  <si>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</si>
  <si>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</si>
  <si>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</si>
  <si>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</si>
  <si>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</si>
  <si>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</si>
  <si>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</si>
  <si>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</si>
  <si>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</si>
  <si>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</si>
  <si>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</si>
  <si>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</si>
  <si>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</si>
  <si>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</si>
  <si>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</si>
  <si>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</si>
  <si>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</si>
  <si>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</si>
  <si>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</si>
  <si>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</si>
  <si>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</si>
  <si>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</si>
  <si>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</si>
  <si>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</si>
  <si>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</si>
  <si>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</si>
  <si>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</si>
  <si>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</si>
  <si>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</si>
  <si>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</si>
  <si>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</si>
  <si>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</si>
  <si>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</si>
  <si>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</si>
  <si>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</si>
  <si>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</si>
  <si>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</si>
  <si>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</si>
  <si>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</si>
  <si>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</si>
  <si>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</si>
  <si>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</si>
  <si>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</si>
  <si>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</si>
  <si>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</si>
  <si>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</si>
  <si>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</si>
  <si>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</si>
  <si>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</si>
  <si>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</si>
  <si>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</si>
  <si>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</si>
  <si>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</si>
  <si>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</si>
  <si>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</si>
  <si>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</si>
  <si>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</si>
  <si>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</si>
  <si>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</si>
  <si>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</si>
  <si>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</si>
  <si>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</si>
  <si>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</si>
  <si>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</si>
  <si>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</si>
  <si>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</si>
  <si>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</si>
  <si>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</si>
  <si>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</si>
  <si>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</si>
  <si>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</si>
  <si>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</si>
  <si>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</si>
  <si>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</si>
  <si>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</si>
  <si>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</si>
  <si>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</si>
  <si>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</si>
  <si>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</si>
  <si>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</si>
  <si>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</si>
  <si>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</si>
  <si>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</si>
  <si>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</si>
  <si>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</si>
  <si>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</si>
  <si>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</si>
  <si>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</si>
  <si>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</si>
  <si>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</si>
  <si>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</si>
  <si>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</si>
  <si>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</si>
  <si>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</si>
  <si>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</si>
  <si>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</si>
  <si>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</si>
  <si>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</si>
  <si>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</si>
  <si>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</si>
  <si>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</si>
  <si>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</si>
  <si>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</si>
  <si>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</si>
  <si>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</si>
  <si>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</si>
  <si>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</si>
  <si>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</si>
  <si>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</si>
  <si>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</si>
  <si>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</si>
  <si>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</si>
  <si>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</si>
  <si>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</si>
  <si>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</si>
  <si>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</si>
  <si>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</si>
  <si>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</si>
  <si>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</si>
  <si>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</si>
  <si>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</si>
  <si>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</si>
  <si>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</si>
  <si>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</si>
  <si>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</si>
  <si>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</si>
  <si>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</si>
  <si>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</si>
  <si>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</si>
  <si>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</si>
  <si>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</si>
  <si>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</si>
  <si>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</si>
  <si>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</si>
  <si>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</si>
  <si>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</si>
  <si>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</si>
  <si>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</si>
  <si>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</si>
  <si>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</si>
  <si>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</si>
  <si>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</si>
  <si>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</si>
  <si>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</si>
  <si>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</si>
  <si>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</si>
  <si>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</si>
  <si>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</si>
  <si>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</si>
  <si>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</si>
  <si>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</si>
  <si>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</si>
  <si>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</si>
  <si>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</si>
  <si>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</si>
  <si>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</si>
  <si>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</si>
  <si>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</si>
  <si>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</si>
  <si>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</si>
  <si>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</si>
  <si>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</si>
  <si>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</si>
  <si>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</si>
  <si>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</si>
  <si>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</si>
  <si>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</si>
  <si>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</si>
  <si>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</si>
  <si>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</si>
  <si>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</si>
  <si>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</si>
  <si>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</si>
  <si>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</si>
  <si>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</si>
  <si>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</si>
  <si>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</si>
  <si>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</si>
  <si>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</si>
  <si>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</si>
  <si>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</si>
  <si>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</si>
  <si>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</si>
  <si>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</si>
  <si>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</si>
  <si>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</si>
  <si>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</si>
  <si>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</si>
  <si>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</si>
  <si>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</si>
  <si>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</si>
  <si>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</si>
  <si>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</si>
  <si>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</si>
  <si>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</si>
  <si>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</si>
  <si>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</si>
  <si>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</si>
  <si>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</si>
  <si>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</si>
  <si>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</si>
  <si>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</si>
  <si>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</si>
  <si>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</si>
  <si>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</si>
  <si>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</si>
  <si>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</si>
  <si>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</si>
  <si>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</si>
  <si>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</si>
  <si>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</si>
  <si>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</si>
  <si>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</si>
  <si>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</si>
  <si>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</si>
  <si>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</si>
  <si>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</si>
  <si>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</si>
  <si>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</si>
  <si>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</si>
  <si>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</si>
  <si>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</si>
  <si>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</si>
  <si>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</si>
  <si>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</si>
  <si>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</si>
  <si>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</si>
  <si>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</si>
  <si>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</si>
  <si>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</si>
  <si>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</si>
  <si>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</si>
  <si>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</si>
  <si>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</si>
  <si>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</si>
  <si>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</si>
  <si>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</si>
  <si>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</si>
  <si>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</si>
  <si>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</si>
  <si>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</si>
  <si>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</si>
  <si>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</si>
  <si>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</si>
  <si>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</si>
  <si>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</si>
  <si>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</si>
  <si>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</si>
  <si>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</si>
  <si>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</si>
  <si>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</si>
  <si>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</si>
  <si>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</si>
  <si>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</si>
  <si>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</si>
  <si>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</si>
  <si>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</si>
  <si>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</si>
  <si>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</si>
  <si>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</si>
  <si>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</si>
  <si>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</si>
  <si>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</si>
  <si>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</si>
  <si>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</si>
  <si>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</si>
  <si>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</si>
  <si>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</si>
  <si>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</si>
  <si>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</si>
  <si>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</si>
  <si>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</si>
  <si>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</si>
  <si>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</si>
  <si>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</si>
  <si>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</si>
  <si>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</si>
  <si>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</si>
  <si>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</si>
  <si>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</si>
  <si>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</si>
  <si>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</si>
  <si>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</si>
  <si>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</si>
  <si>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</si>
  <si>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</si>
  <si>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</si>
  <si>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</si>
  <si>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</si>
  <si>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</si>
  <si>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</si>
  <si>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</si>
  <si>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</si>
  <si>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</si>
  <si>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</si>
  <si>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</si>
  <si>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</si>
  <si>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</si>
  <si>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</si>
  <si>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</si>
  <si>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</si>
  <si>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</si>
  <si>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</si>
  <si>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</si>
  <si>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</si>
  <si>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</si>
  <si>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</si>
  <si>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</si>
  <si>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</si>
  <si>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</si>
  <si>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</si>
  <si>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</si>
  <si>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</si>
  <si>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</si>
  <si>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</si>
  <si>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</si>
  <si>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</si>
  <si>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</si>
  <si>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</si>
  <si>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</si>
  <si>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</si>
  <si>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</si>
  <si>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</si>
  <si>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</si>
  <si>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</si>
  <si>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</si>
  <si>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</si>
  <si>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</si>
  <si>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</si>
  <si>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</si>
  <si>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</si>
  <si>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</si>
  <si>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</si>
  <si>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</si>
  <si>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</si>
  <si>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</si>
  <si>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</si>
  <si>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</si>
  <si>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</si>
  <si>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</si>
  <si>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</si>
  <si>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</si>
  <si>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</si>
  <si>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</si>
  <si>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</si>
  <si>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</si>
  <si>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</si>
  <si>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</si>
  <si>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</si>
  <si>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</si>
  <si>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</si>
  <si>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</si>
  <si>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</si>
  <si>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</si>
  <si>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</si>
  <si>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</si>
  <si>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</si>
  <si>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</si>
  <si>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</si>
  <si>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</si>
  <si>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</si>
  <si>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</si>
  <si>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</si>
  <si>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</si>
  <si>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</si>
  <si>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</si>
  <si>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</si>
  <si>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</si>
  <si>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</si>
  <si>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</si>
  <si>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</si>
  <si>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</si>
  <si>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</si>
  <si>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</si>
  <si>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</si>
  <si>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</si>
  <si>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</si>
  <si>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</si>
  <si>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</si>
  <si>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</si>
  <si>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</si>
  <si>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</si>
  <si>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</si>
  <si>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</si>
  <si>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</si>
  <si>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</si>
  <si>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</si>
  <si>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</si>
  <si>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</si>
  <si>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</si>
  <si>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</si>
  <si>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</si>
  <si>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</si>
  <si>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</si>
  <si>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</si>
  <si>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</si>
  <si>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</si>
  <si>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</si>
  <si>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</si>
  <si>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</si>
  <si>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</si>
  <si>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</si>
  <si>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</si>
  <si>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</si>
  <si>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</si>
  <si>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</si>
  <si>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</si>
  <si>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</si>
  <si>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</si>
  <si>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</si>
  <si>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</si>
  <si>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</si>
  <si>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</si>
  <si>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</si>
  <si>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</si>
  <si>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</si>
  <si>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</si>
  <si>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</si>
  <si>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</si>
  <si>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</si>
  <si>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</si>
  <si>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</si>
  <si>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</si>
  <si>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</si>
  <si>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</si>
  <si>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</si>
  <si>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</si>
  <si>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</si>
  <si>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</si>
  <si>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</si>
  <si>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</si>
  <si>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</si>
  <si>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</si>
  <si>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</si>
  <si>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</si>
  <si>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</si>
  <si>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</si>
  <si>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</si>
  <si>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</si>
  <si>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</si>
  <si>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</si>
  <si>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</si>
  <si>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</si>
  <si>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</si>
  <si>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</si>
  <si>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</si>
  <si>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</si>
  <si>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</si>
  <si>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</si>
  <si>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</si>
  <si>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</si>
  <si>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</si>
  <si>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</si>
  <si>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</si>
  <si>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</si>
  <si>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</si>
  <si>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</si>
  <si>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</si>
  <si>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</si>
  <si>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</si>
  <si>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</si>
  <si>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</si>
  <si>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</si>
  <si>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</si>
  <si>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</si>
  <si>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</si>
  <si>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</si>
  <si>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</si>
  <si>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</si>
  <si>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</si>
  <si>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</si>
  <si>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</si>
  <si>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</si>
  <si>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</si>
  <si>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</si>
  <si>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</si>
  <si>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</si>
  <si>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</si>
  <si>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</si>
  <si>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</si>
  <si>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</si>
  <si>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</si>
  <si>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</si>
  <si>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</si>
  <si>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</si>
  <si>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</si>
  <si>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</si>
  <si>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</si>
  <si>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</si>
  <si>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</si>
  <si>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</si>
  <si>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</si>
  <si>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</si>
  <si>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</si>
  <si>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</si>
  <si>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</si>
  <si>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</si>
  <si>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</si>
  <si>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</si>
  <si>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</si>
  <si>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</si>
  <si>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</si>
  <si>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</si>
  <si>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</si>
  <si>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</si>
  <si>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</si>
  <si>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</si>
  <si>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</si>
  <si>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</si>
  <si>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</si>
  <si>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</si>
  <si>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</si>
  <si>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</si>
  <si>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</si>
  <si>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</si>
  <si>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</si>
  <si>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</si>
  <si>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</si>
  <si>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</si>
  <si>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</si>
  <si>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</si>
  <si>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</si>
  <si>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</si>
  <si>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</si>
  <si>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</si>
  <si>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</si>
  <si>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</si>
  <si>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</si>
  <si>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</si>
  <si>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</si>
  <si>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</si>
  <si>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</si>
  <si>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</si>
  <si>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</si>
  <si>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</si>
  <si>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</si>
  <si>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</si>
  <si>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</si>
  <si>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</si>
  <si>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</si>
  <si>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</si>
  <si>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</si>
  <si>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</si>
  <si>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</si>
  <si>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</si>
  <si>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</si>
  <si>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</si>
  <si>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</si>
  <si>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</si>
  <si>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</si>
  <si>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</si>
  <si>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</si>
  <si>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</si>
  <si>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</si>
  <si>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</si>
  <si>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</si>
  <si>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</si>
  <si>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</si>
  <si>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</si>
  <si>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</si>
  <si>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</si>
  <si>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</si>
  <si>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</si>
  <si>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</si>
  <si>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</si>
  <si>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</si>
  <si>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</si>
  <si>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</si>
  <si>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</si>
  <si>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</si>
  <si>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</si>
  <si>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</si>
  <si>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</si>
  <si>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</si>
  <si>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</si>
  <si>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</si>
  <si>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</si>
  <si>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</si>
  <si>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</si>
  <si>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</si>
  <si>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</si>
  <si>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</si>
  <si>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</si>
  <si>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</si>
  <si>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</si>
  <si>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</si>
  <si>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</si>
  <si>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</si>
  <si>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</si>
  <si>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</si>
  <si>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</si>
  <si>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</si>
  <si>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</si>
  <si>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</si>
  <si>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</si>
  <si>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</si>
  <si>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</si>
  <si>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</si>
  <si>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</si>
  <si>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</si>
  <si>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</si>
  <si>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</si>
  <si>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</si>
  <si>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</si>
  <si>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</si>
  <si>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</si>
  <si>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</si>
  <si>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</si>
  <si>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</si>
  <si>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</si>
  <si>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</si>
  <si>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</si>
  <si>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</si>
  <si>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</si>
  <si>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</si>
  <si>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</si>
  <si>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</si>
  <si>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</si>
  <si>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</si>
  <si>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</si>
  <si>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</si>
  <si>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</si>
  <si>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</si>
  <si>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</si>
  <si>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</si>
  <si>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</si>
  <si>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</si>
  <si>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</si>
  <si>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</si>
  <si>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</si>
  <si>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</si>
  <si>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</si>
  <si>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</si>
  <si>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</si>
  <si>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</si>
  <si>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</si>
  <si>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</si>
  <si>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</si>
  <si>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</si>
  <si>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</si>
  <si>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</si>
  <si>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</si>
  <si>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</si>
  <si>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</si>
  <si>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</si>
  <si>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</si>
  <si>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</si>
  <si>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</si>
  <si>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</si>
  <si>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</si>
  <si>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</si>
  <si>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</si>
  <si>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</si>
  <si>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</si>
  <si>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</si>
  <si>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</si>
  <si>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</si>
  <si>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</si>
  <si>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</si>
  <si>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</si>
  <si>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</si>
  <si>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</si>
  <si>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</si>
  <si>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</si>
  <si>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</si>
  <si>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</si>
  <si>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</si>
  <si>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</si>
  <si>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</si>
  <si>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</si>
  <si>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</si>
  <si>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</si>
  <si>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</si>
  <si>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</si>
  <si>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</si>
  <si>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</si>
  <si>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</si>
  <si>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</si>
  <si>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</si>
  <si>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</si>
  <si>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</si>
  <si>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</si>
  <si>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</si>
  <si>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</si>
  <si>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</si>
  <si>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</si>
  <si>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</si>
  <si>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</si>
  <si>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</si>
  <si>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</si>
  <si>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</si>
  <si>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</si>
  <si>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</si>
  <si>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</si>
  <si>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</si>
  <si>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</si>
  <si>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</si>
  <si>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</si>
  <si>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</si>
  <si>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</si>
  <si>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</si>
  <si>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</si>
  <si>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</si>
  <si>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</si>
  <si>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</si>
  <si>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</si>
  <si>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</si>
  <si>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</si>
  <si>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</si>
  <si>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</si>
  <si>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</si>
  <si>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</si>
  <si>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</si>
  <si>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</si>
  <si>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</si>
  <si>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</si>
  <si>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</si>
  <si>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</si>
  <si>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</si>
  <si>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</si>
  <si>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</si>
  <si>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</si>
  <si>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</si>
  <si>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</si>
  <si>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</si>
  <si>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</si>
  <si>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</si>
  <si>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</si>
  <si>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</si>
  <si>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</si>
  <si>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</si>
  <si>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</si>
  <si>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</si>
  <si>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</si>
  <si>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</si>
  <si>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</si>
  <si>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</si>
  <si>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</si>
  <si>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</si>
  <si>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</si>
  <si>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</si>
  <si>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</si>
  <si>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</si>
  <si>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</si>
  <si>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</si>
  <si>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</si>
  <si>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</si>
  <si>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</si>
  <si>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</si>
  <si>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</si>
  <si>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</si>
  <si>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</si>
  <si>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</si>
  <si>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</si>
  <si>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</si>
  <si>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</si>
  <si>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</si>
  <si>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</si>
  <si>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</si>
  <si>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</si>
  <si>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</si>
  <si>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</si>
  <si>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</si>
  <si>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</si>
  <si>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</si>
  <si>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</si>
  <si>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</si>
  <si>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</si>
  <si>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</si>
  <si>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</si>
  <si>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</si>
  <si>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</si>
  <si>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</si>
  <si>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</si>
  <si>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</si>
  <si>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</si>
  <si>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</si>
  <si>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</si>
  <si>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</si>
  <si>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</si>
  <si>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</si>
  <si>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</si>
  <si>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</si>
  <si>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</si>
  <si>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</si>
  <si>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</si>
  <si>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</si>
  <si>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</si>
  <si>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</si>
  <si>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</si>
  <si>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</si>
  <si>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</si>
  <si>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</si>
  <si>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</si>
  <si>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</si>
  <si>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</si>
  <si>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</si>
  <si>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</si>
  <si>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</si>
  <si>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</si>
  <si>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</si>
  <si>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</si>
  <si>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</si>
  <si>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</si>
  <si>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</si>
  <si>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</si>
  <si>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</si>
  <si>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</si>
  <si>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</si>
  <si>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</si>
  <si>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</si>
  <si>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</si>
  <si>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</si>
  <si>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</si>
  <si>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</si>
  <si>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</si>
  <si>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</si>
  <si>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</si>
  <si>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</si>
  <si>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</si>
  <si>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</si>
  <si>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</si>
  <si>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</si>
  <si>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</si>
  <si>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</si>
  <si>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</si>
  <si>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</si>
  <si>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</si>
  <si>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</si>
  <si>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</si>
  <si>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</si>
  <si>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</si>
  <si>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</si>
  <si>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</si>
  <si>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</si>
  <si>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</si>
  <si>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</si>
  <si>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</si>
  <si>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</si>
  <si>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</si>
  <si>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</si>
  <si>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</si>
  <si>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</si>
  <si>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</si>
  <si>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</si>
  <si>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</si>
  <si>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</si>
  <si>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</si>
  <si>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</si>
  <si>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</si>
  <si>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</si>
  <si>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</si>
  <si>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</si>
  <si>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</si>
  <si>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</si>
  <si>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</si>
  <si>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</si>
  <si>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</si>
  <si>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</si>
  <si>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</si>
  <si>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</si>
  <si>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</si>
  <si>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</si>
  <si>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</si>
  <si>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</si>
  <si>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</si>
  <si>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</si>
  <si>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</si>
  <si>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</si>
  <si>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</si>
  <si>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</si>
  <si>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</si>
  <si>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</si>
  <si>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</si>
  <si>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</si>
  <si>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</si>
  <si>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</si>
  <si>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</si>
  <si>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</si>
  <si>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</si>
  <si>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</si>
  <si>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</si>
  <si>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</si>
  <si>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</si>
  <si>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</si>
  <si>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</si>
  <si>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</si>
  <si>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</si>
  <si>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</si>
  <si>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</si>
  <si>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</si>
  <si>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</si>
  <si>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</si>
  <si>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</si>
  <si>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</si>
  <si>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</si>
  <si>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</si>
  <si>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</si>
  <si>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</si>
  <si>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</si>
  <si>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</si>
  <si>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</si>
  <si>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</si>
  <si>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</si>
  <si>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</si>
  <si>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</si>
  <si>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</si>
  <si>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</si>
  <si>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</si>
  <si>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</si>
  <si>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</si>
  <si>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</si>
  <si>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</si>
  <si>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</si>
  <si>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</si>
  <si>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</si>
  <si>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</si>
  <si>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</si>
  <si>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</si>
  <si>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</si>
  <si>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</si>
  <si>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</si>
  <si>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</si>
  <si>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</si>
  <si>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</si>
  <si>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</si>
  <si>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</si>
  <si>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</si>
  <si>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</si>
  <si>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</si>
  <si>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</si>
  <si>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</si>
  <si>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</si>
  <si>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</si>
  <si>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</si>
  <si>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</si>
  <si>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</si>
  <si>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</si>
  <si>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</si>
  <si>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</si>
  <si>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</si>
  <si>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</si>
  <si>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</si>
  <si>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</si>
  <si>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</si>
  <si>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</si>
  <si>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</si>
  <si>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</si>
  <si>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</si>
  <si>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</si>
  <si>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</si>
  <si>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</si>
  <si>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</si>
  <si>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</si>
  <si>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</si>
  <si>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</si>
  <si>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</si>
  <si>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</si>
  <si>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</si>
  <si>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</si>
  <si>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</si>
  <si>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</si>
  <si>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</si>
  <si>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</si>
  <si>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</si>
  <si>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</si>
  <si>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</si>
  <si>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</si>
  <si>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</si>
  <si>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</si>
  <si>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</si>
  <si>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</si>
  <si>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</si>
  <si>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</si>
  <si>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</si>
  <si>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</si>
  <si>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</si>
  <si>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</si>
  <si>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</si>
  <si>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</si>
  <si>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</si>
  <si>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</si>
  <si>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</si>
  <si>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</si>
  <si>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</si>
  <si>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</si>
  <si>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</si>
  <si>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</si>
  <si>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</si>
  <si>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</si>
  <si>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</si>
  <si>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</si>
  <si>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</si>
  <si>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</si>
  <si>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</si>
  <si>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</si>
  <si>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</si>
  <si>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</si>
  <si>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</si>
  <si>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</si>
  <si>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</si>
  <si>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</si>
  <si>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</si>
  <si>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</si>
  <si>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</si>
  <si>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</si>
  <si>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</si>
  <si>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</si>
  <si>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</si>
  <si>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</si>
  <si>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</si>
  <si>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</si>
  <si>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</si>
  <si>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</si>
  <si>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</si>
  <si>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</si>
  <si>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</si>
  <si>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</si>
  <si>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</si>
  <si>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</si>
  <si>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</si>
  <si>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</si>
  <si>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</si>
  <si>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</si>
  <si>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</si>
  <si>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</si>
  <si>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</si>
  <si>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</si>
  <si>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</si>
  <si>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</si>
  <si>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</si>
  <si>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</si>
  <si>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</si>
  <si>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</si>
  <si>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</si>
  <si>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</si>
  <si>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</si>
  <si>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</si>
  <si>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</si>
  <si>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</si>
  <si>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</si>
  <si>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</si>
  <si>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</si>
  <si>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</si>
  <si>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</si>
  <si>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</si>
  <si>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</si>
  <si>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</si>
  <si>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</si>
  <si>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</si>
  <si>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</si>
  <si>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</si>
  <si>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</si>
  <si>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</si>
  <si>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</si>
  <si>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</si>
  <si>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</si>
  <si>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</si>
  <si>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</si>
  <si>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</si>
  <si>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</si>
  <si>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</si>
  <si>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</si>
  <si>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</si>
  <si>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</si>
  <si>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</si>
  <si>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</si>
  <si>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</si>
  <si>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</si>
  <si>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</si>
  <si>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</si>
  <si>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</si>
  <si>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</si>
  <si>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</si>
  <si>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</si>
  <si>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</si>
  <si>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</si>
  <si>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</si>
  <si>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</si>
  <si>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</si>
  <si>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</si>
  <si>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</si>
  <si>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</si>
  <si>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</si>
  <si>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</si>
  <si>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</si>
  <si>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</si>
  <si>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</si>
  <si>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</si>
  <si>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</si>
  <si>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</si>
  <si>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</si>
  <si>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</si>
  <si>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</si>
  <si>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</si>
  <si>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</si>
  <si>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</si>
  <si>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</si>
  <si>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</si>
  <si>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</si>
  <si>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</si>
  <si>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</si>
  <si>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</si>
  <si>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</si>
  <si>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</si>
  <si>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</si>
  <si>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</si>
  <si>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</si>
  <si>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</si>
  <si>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</si>
  <si>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</si>
  <si>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</si>
  <si>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</si>
  <si>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</si>
  <si>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</si>
  <si>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</si>
  <si>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</si>
  <si>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</si>
  <si>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</si>
  <si>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</si>
  <si>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</si>
  <si>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</si>
  <si>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</si>
  <si>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</si>
  <si>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</si>
  <si>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</si>
  <si>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</si>
  <si>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</si>
  <si>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</si>
  <si>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</si>
  <si>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</si>
  <si>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</si>
  <si>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</si>
  <si>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</si>
  <si>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</si>
  <si>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</si>
  <si>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</si>
  <si>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</si>
  <si>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</si>
  <si>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</si>
  <si>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</si>
  <si>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</si>
  <si>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</si>
  <si>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</si>
  <si>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</si>
  <si>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</si>
  <si>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</si>
  <si>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</si>
  <si>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</si>
  <si>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</si>
  <si>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</si>
  <si>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</si>
  <si>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</si>
  <si>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</si>
  <si>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</si>
  <si>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</si>
  <si>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</si>
  <si>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</si>
  <si>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</si>
  <si>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</si>
  <si>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</si>
  <si>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</si>
  <si>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</si>
  <si>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</si>
  <si>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</si>
  <si>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</si>
  <si>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</si>
  <si>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</si>
  <si>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</si>
  <si>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</si>
  <si>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</si>
  <si>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</si>
  <si>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</si>
  <si>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</si>
  <si>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</si>
  <si>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</si>
  <si>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</si>
  <si>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</si>
  <si>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</si>
  <si>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</si>
  <si>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</si>
  <si>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</si>
  <si>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</si>
  <si>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</si>
  <si>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</si>
  <si>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</si>
  <si>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</si>
  <si>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</si>
  <si>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</si>
  <si>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</si>
  <si>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</si>
  <si>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</si>
  <si>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</si>
  <si>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</si>
  <si>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</si>
  <si>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</si>
  <si>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</si>
  <si>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</si>
  <si>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</si>
  <si>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</si>
  <si>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</si>
  <si>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</si>
  <si>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</si>
  <si>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</si>
  <si>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</si>
  <si>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</si>
  <si>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</si>
  <si>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</si>
  <si>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</si>
  <si>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</si>
  <si>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</si>
  <si>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</si>
  <si>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</si>
  <si>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</si>
  <si>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</si>
  <si>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</si>
  <si>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</si>
  <si>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</si>
  <si>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</si>
  <si>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</si>
  <si>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</si>
  <si>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</si>
  <si>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</si>
  <si>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</si>
  <si>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</si>
  <si>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</si>
  <si>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</si>
  <si>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</si>
  <si>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</si>
  <si>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</si>
  <si>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</si>
  <si>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</si>
  <si>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</si>
  <si>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</si>
  <si>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</si>
  <si>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</si>
  <si>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</si>
  <si>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</si>
  <si>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</si>
  <si>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</si>
  <si>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</si>
  <si>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</si>
  <si>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</si>
  <si>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</si>
  <si>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</si>
  <si>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</si>
  <si>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</si>
  <si>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</si>
  <si>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</si>
  <si>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</si>
  <si>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</si>
  <si>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</si>
  <si>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</si>
  <si>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</si>
  <si>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</si>
  <si>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</si>
  <si>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</si>
  <si>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</si>
  <si>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</si>
  <si>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</si>
  <si>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</si>
  <si>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</si>
  <si>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</si>
  <si>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</si>
  <si>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</si>
  <si>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</si>
  <si>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</si>
  <si>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</si>
  <si>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</si>
  <si>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</si>
  <si>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</si>
  <si>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</si>
  <si>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</si>
  <si>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</si>
  <si>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</si>
  <si>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</si>
  <si>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</si>
  <si>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</si>
  <si>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</si>
  <si>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</si>
  <si>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</si>
  <si>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</si>
  <si>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</si>
  <si>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</si>
  <si>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</si>
  <si>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</si>
  <si>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</si>
  <si>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</si>
  <si>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</si>
  <si>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</si>
  <si>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</si>
  <si>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</si>
  <si>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</si>
  <si>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</si>
  <si>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</si>
  <si>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</si>
  <si>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</si>
  <si>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</si>
  <si>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</si>
  <si>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</si>
  <si>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</si>
  <si>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</si>
  <si>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</si>
  <si>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</si>
  <si>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</si>
  <si>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</si>
  <si>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</si>
  <si>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</si>
  <si>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</si>
  <si>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</si>
  <si>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</si>
  <si>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</si>
  <si>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</si>
  <si>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</si>
  <si>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</si>
  <si>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</si>
  <si>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</si>
  <si>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</si>
  <si>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</si>
  <si>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</si>
  <si>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</si>
  <si>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</si>
  <si>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</si>
  <si>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</si>
  <si>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</si>
  <si>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</si>
  <si>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</si>
  <si>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</si>
  <si>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</si>
  <si>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</si>
  <si>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</si>
  <si>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</si>
  <si>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</si>
  <si>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</si>
  <si>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</si>
  <si>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</si>
  <si>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</si>
  <si>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</si>
  <si>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</si>
  <si>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</si>
  <si>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</si>
  <si>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</si>
  <si>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</si>
  <si>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</si>
  <si>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</si>
  <si>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</si>
  <si>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</si>
  <si>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</si>
  <si>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</si>
  <si>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</si>
  <si>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</si>
  <si>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</si>
  <si>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</si>
  <si>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</si>
  <si>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</si>
  <si>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</si>
  <si>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</si>
  <si>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</si>
  <si>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</si>
  <si>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</si>
  <si>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</si>
  <si>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</si>
  <si>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</si>
  <si>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</si>
  <si>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</si>
  <si>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</si>
  <si>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</si>
  <si>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</si>
  <si>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</si>
  <si>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</si>
  <si>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</si>
  <si>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</si>
  <si>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</si>
  <si>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</si>
  <si>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</si>
  <si>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</si>
  <si>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</si>
  <si>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</si>
  <si>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</si>
  <si>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</si>
  <si>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</si>
  <si>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</si>
  <si>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</si>
  <si>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</si>
  <si>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</si>
  <si>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</si>
  <si>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</si>
  <si>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</si>
  <si>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</si>
  <si>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</si>
  <si>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</si>
  <si>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</si>
  <si>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</si>
  <si>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</si>
  <si>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</si>
  <si>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</si>
  <si>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</si>
  <si>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</si>
  <si>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</si>
  <si>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</si>
  <si>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</si>
  <si>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</si>
  <si>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</si>
  <si>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</si>
  <si>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</si>
  <si>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</si>
  <si>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</si>
  <si>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</si>
  <si>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</si>
  <si>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</si>
  <si>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</si>
  <si>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</si>
  <si>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</si>
  <si>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</si>
  <si>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</si>
  <si>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</si>
  <si>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</si>
  <si>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</si>
  <si>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</si>
  <si>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</si>
  <si>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</si>
  <si>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</si>
  <si>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</si>
  <si>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</si>
  <si>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</si>
  <si>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</si>
  <si>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</si>
  <si>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</si>
  <si>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</si>
  <si>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</si>
  <si>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</si>
  <si>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</si>
  <si>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</si>
  <si>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</si>
  <si>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</si>
  <si>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</si>
  <si>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</si>
  <si>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</si>
  <si>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</si>
  <si>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</si>
  <si>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</si>
  <si>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</si>
  <si>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</si>
  <si>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</si>
  <si>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</si>
  <si>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</si>
  <si>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</si>
  <si>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</si>
  <si>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</si>
  <si>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</si>
  <si>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</si>
  <si>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</si>
  <si>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</si>
  <si>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</si>
  <si>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</si>
  <si>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</si>
  <si>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</si>
  <si>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</si>
  <si>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</si>
  <si>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</si>
  <si>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</si>
  <si>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</si>
  <si>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</si>
  <si>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</si>
  <si>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</si>
  <si>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</si>
  <si>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</si>
  <si>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</si>
  <si>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</si>
  <si>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</si>
  <si>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</si>
  <si>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</si>
  <si>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</si>
  <si>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</si>
  <si>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</si>
  <si>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</si>
  <si>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</si>
  <si>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</si>
  <si>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</si>
  <si>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</si>
  <si>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</si>
  <si>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</si>
  <si>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</si>
  <si>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</si>
  <si>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</si>
  <si>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</si>
  <si>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</si>
  <si>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</si>
  <si>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</si>
  <si>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</si>
  <si>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</si>
  <si>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</si>
  <si>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</si>
  <si>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</si>
  <si>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</si>
  <si>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</si>
  <si>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</si>
  <si>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</si>
  <si>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</si>
  <si>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</si>
  <si>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</si>
  <si>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</si>
  <si>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</si>
  <si>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</si>
  <si>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</si>
  <si>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</si>
  <si>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</si>
  <si>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</si>
  <si>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</si>
  <si>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</si>
  <si>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</si>
  <si>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</si>
  <si>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</si>
  <si>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</si>
  <si>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</si>
  <si>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</si>
  <si>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</si>
  <si>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</si>
  <si>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</si>
  <si>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</si>
  <si>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</si>
  <si>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</si>
  <si>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</si>
  <si>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</si>
  <si>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</si>
  <si>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</si>
  <si>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</si>
  <si>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</si>
  <si>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</si>
  <si>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</si>
  <si>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</si>
  <si>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</si>
  <si>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</si>
  <si>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</si>
  <si>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</si>
  <si>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</si>
  <si>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</si>
  <si>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</si>
  <si>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</si>
  <si>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</si>
  <si>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</si>
  <si>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</si>
  <si>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</si>
  <si>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</si>
  <si>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</si>
  <si>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</si>
  <si>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</si>
  <si>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</si>
  <si>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</si>
  <si>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</si>
  <si>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</si>
  <si>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</si>
  <si>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</si>
  <si>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</si>
  <si>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</si>
  <si>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</si>
  <si>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</si>
  <si>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</si>
  <si>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</si>
  <si>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</si>
  <si>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</si>
  <si>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</si>
  <si>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</si>
  <si>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</si>
  <si>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</si>
  <si>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</si>
  <si>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</si>
  <si>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</si>
  <si>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</si>
  <si>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</si>
  <si>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</si>
  <si>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</si>
  <si>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</si>
  <si>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</si>
  <si>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</si>
  <si>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</si>
  <si>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</si>
  <si>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</si>
  <si>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</si>
  <si>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</si>
  <si>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</si>
  <si>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</si>
  <si>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</si>
  <si>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</si>
  <si>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</si>
  <si>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</si>
  <si>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</si>
  <si>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</si>
  <si>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</si>
  <si>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</si>
  <si>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</si>
  <si>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</si>
  <si>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</si>
  <si>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</si>
  <si>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</si>
  <si>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</si>
  <si>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</si>
  <si>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</si>
  <si>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</si>
  <si>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</si>
  <si>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</si>
  <si>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</si>
  <si>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</si>
  <si>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</si>
  <si>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</si>
  <si>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</si>
  <si>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</si>
  <si>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</si>
  <si>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</si>
  <si>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</si>
  <si>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</si>
  <si>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</si>
  <si>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</si>
  <si>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</si>
  <si>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</si>
  <si>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</si>
  <si>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</si>
  <si>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</si>
  <si>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</si>
  <si>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</si>
  <si>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</si>
  <si>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</si>
  <si>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</si>
  <si>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</si>
  <si>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</si>
  <si>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</si>
  <si>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</si>
  <si>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</si>
  <si>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</si>
  <si>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</si>
  <si>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</si>
  <si>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</si>
  <si>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</si>
  <si>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</si>
  <si>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</si>
  <si>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</si>
  <si>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</si>
  <si>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</si>
  <si>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</si>
  <si>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</si>
  <si>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</si>
  <si>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</si>
  <si>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</si>
  <si>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</si>
  <si>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</si>
  <si>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</si>
  <si>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</si>
  <si>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</si>
  <si>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</si>
  <si>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</si>
  <si>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</si>
  <si>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</si>
  <si>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</si>
  <si>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</si>
  <si>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</si>
  <si>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</si>
  <si>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</si>
  <si>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</si>
  <si>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</si>
  <si>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</si>
  <si>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</si>
  <si>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</si>
  <si>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</si>
  <si>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</si>
  <si>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</si>
  <si>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</si>
  <si>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</si>
  <si>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</si>
  <si>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</si>
  <si>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</si>
  <si>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</si>
  <si>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</si>
  <si>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</si>
  <si>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</si>
  <si>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</si>
  <si>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</si>
  <si>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</si>
  <si>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</si>
  <si>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</si>
  <si>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</si>
  <si>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</si>
  <si>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</si>
  <si>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</si>
  <si>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</si>
  <si>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</si>
  <si>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</si>
  <si>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</si>
  <si>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</si>
  <si>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</si>
  <si>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</si>
  <si>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</si>
  <si>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</si>
  <si>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</si>
  <si>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</si>
  <si>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</si>
  <si>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</si>
  <si>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</si>
  <si>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</si>
  <si>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</si>
  <si>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</si>
  <si>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</si>
  <si>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</si>
  <si>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</si>
  <si>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</si>
  <si>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</si>
  <si>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</si>
  <si>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</si>
  <si>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</si>
  <si>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</si>
  <si>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</si>
  <si>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</si>
  <si>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</si>
  <si>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</si>
  <si>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</si>
  <si>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</si>
  <si>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</si>
  <si>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</si>
  <si>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</si>
  <si>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</si>
  <si>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</si>
  <si>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</si>
  <si>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</si>
  <si>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</si>
  <si>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</si>
  <si>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</si>
  <si>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</si>
  <si>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</si>
  <si>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</si>
  <si>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</si>
  <si>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</si>
  <si>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</si>
  <si>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</si>
  <si>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</si>
  <si>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</si>
  <si>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</si>
  <si>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</si>
  <si>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</si>
  <si>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</si>
  <si>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</si>
  <si>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</si>
  <si>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</si>
  <si>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</si>
  <si>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</si>
  <si>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</si>
  <si>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</si>
  <si>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</si>
  <si>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</si>
  <si>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</si>
  <si>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</si>
  <si>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</si>
  <si>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</si>
  <si>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</si>
  <si>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</si>
  <si>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</si>
  <si>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</si>
  <si>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</si>
  <si>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</si>
  <si>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</si>
  <si>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</si>
  <si>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</si>
  <si>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</si>
  <si>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</si>
  <si>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</si>
  <si>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</si>
  <si>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</si>
  <si>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</si>
  <si>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</si>
  <si>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</si>
  <si>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</si>
  <si>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</si>
  <si>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</si>
  <si>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</si>
  <si>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</si>
  <si>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</si>
  <si>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</si>
  <si>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</si>
  <si>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</si>
  <si>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</si>
  <si>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</si>
  <si>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</si>
  <si>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</si>
  <si>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</si>
  <si>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</si>
  <si>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</si>
  <si>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</si>
  <si>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</si>
  <si>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</si>
  <si>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</si>
  <si>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</si>
  <si>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</si>
  <si>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</si>
  <si>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</si>
  <si>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</si>
  <si>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</si>
  <si>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</si>
  <si>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</si>
  <si>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</si>
  <si>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</si>
  <si>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</si>
  <si>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</si>
  <si>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</si>
  <si>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</si>
  <si>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</si>
  <si>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</si>
  <si>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</si>
  <si>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</si>
  <si>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</si>
  <si>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</si>
  <si>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</si>
  <si>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</si>
  <si>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</si>
  <si>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</si>
  <si>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</si>
  <si>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</si>
  <si>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</si>
  <si>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</si>
  <si>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</si>
  <si>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</si>
  <si>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</si>
  <si>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</si>
  <si>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</si>
  <si>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</si>
  <si>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</si>
  <si>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</si>
  <si>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</si>
  <si>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</si>
  <si>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</si>
  <si>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</si>
  <si>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</si>
  <si>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</si>
  <si>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</si>
  <si>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</si>
  <si>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</si>
  <si>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</si>
  <si>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</si>
  <si>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</si>
  <si>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</si>
  <si>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</si>
  <si>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</si>
  <si>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</si>
  <si>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</si>
  <si>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</si>
  <si>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</si>
  <si>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</si>
  <si>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</si>
  <si>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</si>
  <si>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</si>
  <si>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</si>
  <si>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</si>
  <si>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</si>
  <si>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</si>
  <si>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</si>
  <si>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</si>
  <si>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</si>
  <si>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</si>
  <si>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</si>
  <si>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</si>
  <si>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</si>
  <si>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</si>
  <si>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</si>
  <si>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</si>
  <si>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</si>
  <si>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</si>
  <si>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</si>
  <si>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</si>
  <si>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</si>
  <si>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</si>
  <si>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</si>
  <si>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</si>
  <si>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</si>
  <si>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</si>
  <si>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</si>
  <si>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</si>
  <si>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</si>
  <si>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</si>
  <si>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</si>
  <si>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</si>
  <si>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</si>
  <si>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</si>
  <si>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</si>
  <si>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</si>
  <si>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</si>
  <si>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</si>
  <si>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</si>
  <si>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</si>
  <si>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</si>
  <si>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</si>
  <si>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</si>
  <si>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</si>
  <si>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</si>
  <si>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</si>
  <si>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</si>
  <si>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</si>
  <si>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</si>
  <si>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</si>
  <si>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</si>
  <si>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</si>
  <si>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</si>
  <si>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</si>
  <si>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</si>
  <si>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</si>
  <si>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</si>
  <si>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</si>
  <si>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</si>
  <si>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</si>
  <si>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</si>
  <si>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</si>
  <si>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</si>
  <si>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</si>
  <si>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</si>
  <si>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</si>
  <si>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</si>
  <si>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</si>
  <si>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</si>
  <si>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</si>
  <si>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</si>
  <si>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</si>
  <si>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</si>
  <si>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</si>
  <si>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</si>
  <si>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</si>
  <si>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</si>
  <si>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</si>
  <si>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</si>
  <si>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</si>
  <si>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</si>
  <si>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</si>
  <si>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</si>
  <si>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</si>
  <si>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</si>
  <si>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</si>
  <si>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</si>
  <si>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</si>
  <si>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</si>
  <si>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</si>
  <si>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</si>
  <si>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</si>
  <si>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</si>
  <si>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</si>
  <si>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</si>
  <si>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</si>
  <si>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</si>
  <si>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</si>
  <si>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</si>
  <si>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</si>
  <si>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</si>
  <si>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</si>
  <si>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</si>
  <si>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</si>
  <si>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</si>
  <si>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</si>
  <si>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</si>
  <si>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</si>
  <si>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</si>
  <si>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</si>
  <si>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</si>
  <si>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</si>
  <si>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</si>
  <si>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</si>
  <si>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</si>
  <si>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</si>
  <si>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</si>
  <si>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</si>
  <si>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</si>
  <si>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</si>
  <si>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</si>
  <si>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</si>
  <si>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</si>
  <si>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</si>
  <si>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</si>
  <si>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</si>
  <si>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</si>
  <si>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</si>
  <si>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</si>
  <si>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</si>
  <si>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</si>
  <si>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</si>
  <si>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</si>
  <si>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</si>
  <si>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</si>
  <si>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</si>
  <si>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</si>
  <si>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</si>
  <si>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</si>
  <si>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</si>
  <si>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</si>
  <si>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</si>
  <si>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</si>
  <si>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</si>
  <si>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</si>
  <si>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</si>
  <si>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</si>
  <si>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</si>
  <si>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</si>
  <si>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</si>
  <si>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</si>
  <si>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</si>
  <si>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</si>
  <si>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</si>
  <si>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</si>
  <si>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</si>
  <si>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</si>
  <si>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</si>
  <si>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</si>
  <si>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</si>
  <si>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</si>
  <si>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</si>
  <si>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</si>
  <si>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</si>
  <si>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</si>
  <si>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</si>
  <si>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</si>
  <si>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</si>
  <si>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</si>
  <si>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</si>
  <si>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</si>
  <si>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</si>
  <si>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</si>
  <si>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</si>
  <si>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</si>
  <si>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</si>
  <si>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</si>
  <si>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</si>
  <si>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</si>
  <si>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</si>
  <si>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</si>
  <si>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</si>
  <si>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</si>
  <si>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</si>
  <si>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</si>
  <si>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</si>
  <si>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</si>
  <si>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</si>
  <si>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</si>
  <si>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</si>
  <si>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</si>
  <si>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</si>
  <si>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</si>
  <si>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</si>
  <si>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</si>
  <si>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</si>
  <si>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</si>
  <si>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</si>
  <si>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</si>
  <si>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</si>
  <si>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</si>
  <si>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</si>
  <si>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</si>
  <si>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</si>
  <si>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</si>
  <si>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</si>
  <si>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</si>
  <si>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</si>
  <si>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</si>
  <si>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</si>
  <si>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</si>
  <si>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</si>
  <si>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</si>
  <si>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</si>
  <si>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</si>
  <si>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</si>
  <si>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</si>
  <si>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</si>
  <si>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</si>
  <si>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</si>
  <si>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</si>
  <si>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</si>
  <si>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</si>
  <si>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</si>
  <si>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</si>
  <si>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</si>
  <si>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</si>
  <si>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</si>
  <si>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</si>
  <si>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</si>
  <si>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</si>
  <si>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</si>
  <si>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</si>
  <si>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</si>
  <si>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</si>
  <si>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</si>
  <si>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</si>
  <si>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</si>
  <si>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</si>
  <si>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</si>
  <si>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</si>
  <si>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</si>
  <si>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</si>
  <si>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</si>
  <si>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</si>
  <si>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</si>
  <si>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</si>
  <si>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</si>
  <si>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</si>
  <si>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</si>
  <si>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</si>
  <si>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</si>
  <si>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</si>
  <si>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</si>
  <si>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</si>
  <si>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</si>
  <si>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</si>
  <si>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</si>
  <si>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</si>
  <si>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</si>
  <si>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</si>
  <si>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</si>
  <si>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</si>
  <si>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</si>
  <si>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</si>
  <si>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</si>
  <si>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</si>
  <si>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</si>
  <si>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</si>
  <si>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</si>
  <si>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</si>
  <si>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</si>
  <si>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</si>
  <si>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</si>
  <si>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</si>
  <si>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</si>
  <si>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</si>
  <si>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</si>
  <si>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</si>
  <si>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</si>
  <si>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</si>
  <si>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</si>
  <si>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</si>
  <si>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</si>
  <si>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</si>
  <si>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</si>
  <si>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</si>
  <si>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</si>
  <si>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</si>
  <si>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</si>
  <si>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</si>
  <si>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</si>
  <si>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</si>
  <si>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</si>
  <si>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</si>
  <si>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</si>
  <si>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</si>
  <si>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</si>
  <si>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</si>
  <si>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</si>
  <si>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</si>
  <si>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</si>
  <si>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</si>
  <si>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</si>
  <si>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</si>
  <si>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</si>
  <si>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</si>
  <si>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</si>
  <si>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</si>
  <si>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</si>
  <si>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</si>
  <si>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</si>
  <si>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</si>
  <si>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</si>
  <si>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</si>
  <si>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</si>
  <si>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</si>
  <si>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</si>
  <si>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</si>
  <si>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</si>
  <si>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</si>
  <si>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</si>
  <si>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</si>
  <si>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</si>
  <si>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</si>
  <si>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</si>
  <si>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</si>
  <si>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</si>
  <si>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</si>
  <si>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</si>
  <si>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</si>
  <si>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</si>
  <si>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</si>
  <si>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</si>
  <si>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</si>
  <si>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</si>
  <si>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</si>
  <si>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</si>
  <si>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</si>
  <si>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</si>
  <si>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</si>
  <si>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</si>
  <si>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</si>
  <si>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</si>
  <si>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</si>
  <si>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</si>
  <si>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</si>
  <si>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</si>
  <si>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</si>
  <si>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</si>
  <si>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</si>
  <si>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</si>
  <si>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</si>
  <si>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</si>
  <si>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</si>
  <si>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</si>
  <si>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</si>
  <si>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</si>
  <si>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</si>
  <si>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</si>
  <si>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</si>
  <si>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</si>
  <si>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</si>
  <si>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</si>
  <si>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</si>
  <si>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</si>
  <si>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</si>
  <si>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</si>
  <si>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</si>
  <si>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</si>
  <si>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</si>
  <si>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</si>
  <si>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</si>
  <si>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</si>
  <si>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</si>
  <si>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</si>
  <si>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</si>
  <si>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</si>
  <si>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</si>
  <si>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</si>
  <si>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</si>
  <si>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</si>
  <si>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</si>
  <si>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</si>
  <si>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</si>
  <si>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</si>
  <si>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</si>
  <si>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</si>
  <si>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</si>
  <si>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</si>
  <si>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</si>
  <si>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</si>
  <si>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</si>
  <si>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</si>
  <si>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</si>
  <si>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</si>
  <si>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</si>
  <si>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</si>
  <si>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</si>
  <si>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</si>
  <si>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</si>
  <si>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</si>
  <si>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</si>
  <si>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</si>
  <si>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</si>
  <si>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</si>
  <si>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</si>
  <si>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</si>
  <si>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</si>
  <si>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</si>
  <si>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</si>
  <si>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</si>
  <si>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</si>
  <si>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</si>
  <si>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</si>
  <si>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</si>
  <si>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</si>
  <si>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</si>
  <si>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</si>
  <si>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</si>
  <si>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</si>
  <si>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</si>
  <si>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</si>
  <si>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</si>
  <si>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</si>
  <si>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</si>
  <si>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</si>
  <si>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</si>
  <si>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</si>
  <si>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</si>
  <si>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</si>
  <si>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</si>
  <si>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</si>
  <si>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</si>
  <si>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</si>
  <si>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</si>
  <si>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</si>
  <si>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</si>
  <si>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</si>
  <si>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</si>
  <si>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</si>
  <si>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</si>
  <si>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</si>
  <si>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</si>
  <si>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</si>
  <si>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</si>
  <si>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</si>
  <si>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</si>
  <si>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</si>
  <si>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</si>
  <si>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</si>
  <si>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</si>
  <si>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</si>
  <si>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</si>
  <si>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</si>
  <si>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</si>
  <si>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</si>
  <si>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</si>
  <si>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</si>
  <si>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</si>
  <si>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</si>
  <si>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</si>
  <si>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</si>
  <si>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</si>
  <si>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</si>
  <si>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</si>
  <si>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</si>
  <si>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</si>
  <si>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</si>
  <si>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</si>
  <si>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</si>
  <si>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</si>
  <si>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</si>
  <si>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</si>
  <si>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</si>
  <si>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</si>
  <si>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</si>
  <si>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</si>
  <si>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</si>
  <si>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</si>
  <si>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</si>
  <si>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</si>
  <si>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</si>
  <si>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</si>
  <si>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</si>
  <si>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</si>
  <si>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</si>
  <si>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</si>
  <si>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</si>
  <si>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</si>
  <si>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</si>
  <si>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</si>
  <si>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</si>
  <si>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</si>
  <si>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</si>
  <si>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</si>
  <si>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</si>
  <si>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</si>
  <si>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</si>
  <si>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</si>
  <si>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</si>
  <si>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</si>
  <si>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</si>
  <si>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</si>
  <si>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</si>
  <si>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</si>
  <si>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</si>
  <si>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</si>
  <si>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</si>
  <si>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</si>
  <si>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</si>
  <si>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</si>
  <si>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</si>
  <si>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</si>
  <si>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</si>
  <si>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</si>
  <si>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</si>
  <si>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</si>
  <si>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</si>
  <si>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</si>
  <si>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</si>
  <si>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</si>
  <si>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</si>
  <si>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</si>
  <si>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</si>
  <si>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</si>
  <si>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</si>
  <si>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</si>
  <si>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</si>
  <si>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</si>
  <si>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</si>
  <si>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</si>
  <si>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</si>
  <si>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</si>
  <si>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</si>
  <si>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</si>
  <si>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</si>
  <si>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</si>
  <si>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</si>
  <si>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</si>
  <si>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</si>
  <si>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</si>
  <si>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</si>
  <si>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</si>
  <si>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</si>
  <si>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</si>
  <si>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</si>
  <si>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</si>
  <si>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</si>
  <si>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</si>
  <si>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</si>
  <si>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</si>
  <si>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</si>
  <si>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</si>
  <si>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</si>
  <si>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</si>
  <si>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</si>
  <si>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</si>
  <si>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</si>
  <si>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</si>
  <si>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</si>
  <si>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</si>
  <si>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</si>
  <si>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</si>
  <si>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</si>
  <si>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</si>
  <si>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</si>
  <si>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</si>
  <si>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</si>
  <si>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</si>
  <si>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</si>
  <si>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</si>
  <si>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</si>
  <si>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</si>
  <si>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</si>
  <si>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</si>
  <si>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</si>
  <si>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</si>
  <si>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</si>
  <si>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</si>
  <si>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</si>
  <si>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</si>
  <si>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</si>
  <si>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</si>
  <si>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</si>
  <si>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</si>
  <si>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</si>
  <si>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</si>
  <si>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</si>
  <si>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</si>
  <si>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</si>
  <si>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</si>
  <si>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</si>
  <si>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</si>
  <si>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</si>
  <si>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</si>
  <si>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</si>
  <si>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</si>
  <si>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</si>
  <si>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</si>
  <si>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</si>
  <si>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</si>
  <si>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</si>
  <si>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</si>
  <si>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</si>
  <si>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</si>
  <si>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</si>
  <si>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</si>
  <si>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</si>
  <si>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</si>
  <si>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</si>
  <si>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</si>
  <si>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</si>
  <si>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</si>
  <si>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</si>
  <si>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</si>
  <si>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</si>
  <si>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</si>
  <si>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</si>
  <si>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</si>
  <si>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</si>
  <si>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</si>
  <si>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</si>
  <si>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</si>
  <si>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</si>
  <si>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</si>
  <si>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</si>
  <si>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</si>
  <si>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</si>
  <si>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</si>
  <si>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</si>
  <si>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</si>
  <si>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</si>
  <si>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</si>
  <si>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</si>
  <si>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</si>
  <si>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</si>
  <si>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</si>
  <si>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</si>
  <si>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</si>
  <si>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</si>
  <si>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</si>
  <si>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</si>
  <si>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</si>
  <si>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</si>
  <si>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</si>
  <si>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</si>
  <si>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</si>
  <si>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</si>
  <si>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</si>
  <si>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</si>
  <si>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</si>
  <si>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</si>
  <si>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</si>
  <si>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</si>
  <si>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</si>
  <si>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</si>
  <si>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</si>
  <si>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</si>
  <si>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</si>
  <si>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</si>
  <si>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</si>
  <si>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</si>
  <si>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</si>
  <si>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</si>
  <si>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</si>
  <si>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</si>
  <si>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</si>
  <si>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</si>
  <si>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</si>
  <si>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</si>
  <si>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</si>
  <si>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</si>
  <si>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</si>
  <si>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</si>
  <si>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</si>
  <si>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</si>
  <si>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</si>
  <si>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</si>
  <si>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</si>
  <si>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</si>
  <si>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</si>
  <si>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</si>
  <si>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</si>
  <si>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</si>
  <si>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</si>
  <si>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</si>
  <si>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</si>
  <si>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</si>
  <si>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</si>
  <si>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</si>
  <si>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</si>
  <si>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</si>
  <si>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</si>
  <si>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</si>
  <si>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</si>
  <si>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</si>
  <si>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</si>
  <si>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</si>
  <si>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</si>
  <si>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</si>
  <si>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</si>
  <si>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</si>
  <si>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</si>
  <si>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</si>
  <si>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</si>
  <si>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</si>
  <si>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</si>
  <si>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</si>
  <si>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</si>
  <si>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</si>
  <si>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</si>
  <si>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</si>
  <si>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</si>
  <si>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</si>
  <si>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</si>
  <si>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</si>
  <si>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</si>
  <si>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</si>
  <si>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</si>
  <si>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</si>
  <si>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</si>
  <si>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</si>
  <si>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</si>
  <si>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</si>
  <si>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</si>
  <si>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</si>
  <si>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</si>
  <si>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</si>
  <si>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</si>
  <si>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</si>
  <si>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</si>
  <si>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</si>
  <si>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</si>
  <si>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</si>
  <si>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</si>
  <si>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</si>
  <si>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</si>
  <si>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</si>
  <si>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</si>
  <si>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</si>
  <si>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</si>
  <si>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</si>
  <si>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</si>
  <si>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</si>
  <si>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</si>
  <si>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</si>
  <si>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</si>
  <si>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</si>
  <si>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</si>
  <si>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</si>
  <si>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</si>
  <si>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</si>
  <si>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</si>
  <si>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</si>
  <si>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</si>
  <si>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</si>
  <si>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</si>
  <si>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</si>
  <si>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</si>
  <si>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</si>
  <si>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</si>
  <si>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</si>
  <si>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</si>
  <si>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</si>
  <si>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</si>
  <si>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</si>
  <si>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</si>
  <si>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</si>
  <si>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</si>
  <si>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</si>
  <si>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</si>
  <si>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</si>
  <si>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</si>
  <si>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</si>
  <si>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</si>
  <si>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</si>
  <si>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</si>
  <si>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</si>
  <si>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</si>
  <si>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</si>
  <si>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</si>
  <si>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</si>
  <si>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</si>
  <si>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</si>
  <si>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</si>
  <si>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</si>
  <si>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</si>
  <si>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</si>
  <si>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</si>
  <si>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</si>
  <si>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</si>
  <si>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</si>
  <si>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</si>
  <si>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</si>
  <si>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</si>
  <si>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</si>
  <si>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</si>
  <si>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</si>
  <si>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</si>
  <si>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</si>
  <si>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</si>
  <si>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</si>
  <si>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</si>
  <si>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</si>
  <si>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</si>
  <si>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</si>
  <si>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</si>
  <si>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</si>
  <si>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</si>
  <si>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</si>
  <si>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</si>
  <si>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</si>
  <si>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</si>
  <si>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</si>
  <si>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</si>
  <si>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</si>
  <si>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</si>
  <si>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</si>
  <si>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</si>
  <si>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</si>
  <si>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</si>
  <si>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</si>
  <si>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</si>
  <si>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</si>
  <si>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</si>
  <si>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</si>
  <si>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</si>
  <si>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</si>
  <si>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</si>
  <si>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</si>
  <si>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</si>
  <si>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</si>
  <si>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</si>
  <si>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</si>
  <si>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</si>
  <si>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</si>
  <si>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</si>
  <si>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</si>
  <si>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</si>
  <si>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</si>
  <si>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</si>
  <si>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</si>
  <si>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</si>
  <si>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</si>
  <si>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</si>
  <si>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</si>
  <si>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</si>
  <si>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</si>
  <si>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</si>
  <si>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</si>
  <si>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</si>
  <si>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</si>
  <si>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</si>
  <si>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</si>
  <si>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</si>
  <si>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</si>
  <si>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</si>
  <si>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</si>
  <si>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</si>
  <si>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</si>
  <si>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</si>
  <si>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</si>
  <si>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</si>
  <si>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</si>
  <si>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</si>
  <si>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</si>
  <si>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</si>
  <si>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</si>
  <si>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</si>
  <si>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</si>
  <si>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</si>
  <si>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</si>
  <si>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</si>
  <si>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</si>
  <si>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</si>
  <si>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</si>
  <si>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</si>
  <si>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</si>
  <si>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</si>
  <si>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</si>
  <si>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</si>
  <si>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</si>
  <si>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</si>
  <si>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</si>
  <si>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</si>
  <si>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</si>
  <si>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</si>
  <si>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</si>
  <si>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</si>
  <si>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</si>
  <si>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</si>
  <si>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</si>
  <si>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</si>
  <si>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</si>
  <si>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</si>
  <si>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</si>
  <si>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</si>
  <si>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</si>
  <si>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</si>
  <si>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</si>
  <si>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</si>
  <si>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</si>
  <si>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</si>
  <si>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</si>
  <si>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</si>
  <si>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</si>
  <si>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</si>
  <si>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</si>
  <si>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</si>
  <si>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</si>
  <si>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</si>
  <si>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</si>
  <si>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</si>
  <si>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</si>
  <si>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</si>
  <si>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</si>
  <si>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lavada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</si>
  <si>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</si>
  <si>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</si>
  <si>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</si>
  <si>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</si>
  <si>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</si>
  <si>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</si>
  <si>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</si>
  <si>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</si>
  <si>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</si>
  <si>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</si>
  <si>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holgada con estampado Kodak H&amp;M</t>
  </si>
  <si>
    <t>Talla Xl</t>
  </si>
  <si>
    <t>YILHM0253</t>
  </si>
  <si>
    <t>Pulóver holgado con estampado Kodak H&amp;M</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</si>
  <si>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</si>
  <si>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</si>
  <si>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</si>
  <si>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</si>
  <si>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</si>
  <si>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</si>
  <si>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</si>
  <si>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</si>
  <si>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</si>
  <si>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</si>
  <si>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</si>
  <si>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YILHM0259</t>
  </si>
  <si>
    <t>Pulóver holgada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</si>
  <si>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</si>
  <si>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</si>
  <si>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</si>
  <si>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</si>
  <si>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</si>
  <si>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</si>
  <si>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</si>
  <si>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</si>
  <si>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</si>
  <si>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</si>
  <si>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</si>
  <si>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</si>
  <si>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</si>
  <si>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</si>
  <si>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YILHM0267</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</si>
  <si>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</si>
  <si>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</si>
  <si>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</si>
  <si>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</si>
  <si>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</si>
  <si>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</si>
  <si>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</si>
  <si>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</si>
  <si>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</si>
  <si>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</si>
  <si>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</si>
  <si>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</si>
  <si>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</si>
  <si>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</si>
  <si>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</si>
  <si>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</si>
  <si>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</si>
  <si>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</si>
  <si>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</si>
  <si>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</si>
  <si>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</si>
  <si>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</si>
  <si>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</si>
  <si>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</si>
  <si>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</si>
  <si>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</si>
  <si>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</si>
  <si>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</si>
  <si>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</si>
  <si>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</si>
  <si>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</si>
  <si>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</si>
  <si>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</si>
  <si>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</si>
  <si>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</si>
  <si>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</si>
  <si>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</si>
  <si>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</si>
  <si>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</si>
  <si>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</si>
  <si>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</si>
  <si>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</si>
  <si>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</si>
  <si>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</si>
  <si>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</si>
  <si>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</si>
  <si>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</si>
  <si>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</si>
  <si>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</si>
  <si>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</si>
  <si>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</si>
  <si>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</si>
  <si>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</si>
  <si>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</si>
  <si>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</si>
  <si>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</si>
  <si>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</si>
  <si>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</si>
  <si>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</si>
  <si>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</si>
  <si>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</si>
  <si>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</si>
  <si>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</si>
  <si>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</si>
  <si>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</si>
  <si>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</si>
  <si>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</si>
  <si>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</si>
  <si>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</si>
  <si>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</si>
  <si>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</si>
  <si>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</si>
  <si>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</si>
  <si>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</si>
  <si>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</si>
  <si>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</si>
  <si>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</si>
  <si>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</si>
  <si>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</si>
  <si>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</si>
  <si>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</si>
  <si>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</si>
  <si>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</si>
  <si>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</si>
  <si>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</si>
  <si>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YILHM0311</t>
  </si>
  <si>
    <t>Pulóver holgada negro de hombre H&amp;M</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</si>
  <si>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</si>
  <si>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</si>
  <si>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</si>
  <si>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</si>
  <si>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</si>
  <si>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</si>
  <si>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</si>
  <si>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</si>
  <si>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</si>
  <si>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</si>
  <si>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</si>
  <si>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</si>
  <si>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</si>
  <si>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</si>
  <si>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</si>
  <si>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</si>
  <si>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</si>
  <si>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</si>
  <si>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</si>
  <si>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</si>
  <si>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</si>
  <si>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</si>
  <si>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</si>
  <si>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</si>
  <si>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</si>
  <si>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</si>
  <si>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</si>
  <si>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</si>
  <si>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</si>
  <si>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</si>
  <si>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</si>
  <si>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</si>
  <si>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</si>
  <si>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</si>
  <si>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</si>
  <si>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</si>
  <si>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</si>
  <si>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</si>
  <si>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</si>
  <si>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</si>
  <si>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</si>
  <si>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</si>
  <si>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</si>
  <si>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</si>
  <si>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</si>
  <si>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</si>
  <si>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</si>
  <si>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</si>
  <si>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</si>
  <si>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</si>
  <si>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</si>
  <si>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</si>
  <si>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</si>
  <si>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</si>
  <si>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</si>
  <si>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</si>
  <si>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</si>
  <si>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</si>
  <si>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</si>
  <si>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</si>
  <si>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</si>
  <si>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</si>
  <si>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</si>
  <si>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</si>
  <si>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</si>
  <si>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</si>
  <si>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</si>
  <si>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</si>
  <si>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</si>
  <si>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</si>
  <si>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</si>
  <si>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</si>
  <si>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</si>
  <si>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</si>
  <si>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</si>
  <si>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</si>
  <si>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</si>
  <si>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</si>
  <si>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</si>
  <si>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</si>
  <si>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</si>
  <si>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</si>
  <si>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</si>
  <si>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</si>
  <si>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</si>
  <si>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</si>
  <si>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</si>
  <si>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</si>
  <si>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</si>
  <si>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</si>
  <si>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</si>
  <si>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</si>
  <si>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</si>
  <si>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</si>
  <si>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</si>
  <si>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</si>
  <si>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</si>
  <si>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</si>
  <si>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</si>
  <si>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</si>
  <si>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</si>
  <si>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</si>
  <si>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</si>
  <si>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</si>
  <si>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</si>
  <si>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</si>
  <si>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</si>
  <si>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</si>
  <si>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</si>
  <si>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</si>
  <si>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</si>
  <si>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</si>
  <si>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</si>
  <si>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</si>
  <si>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</si>
  <si>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</si>
  <si>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</si>
  <si>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</si>
  <si>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</si>
  <si>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</si>
  <si>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</si>
  <si>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</si>
  <si>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</si>
  <si>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</si>
  <si>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</si>
  <si>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</si>
  <si>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</si>
  <si>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</si>
  <si>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</si>
  <si>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</si>
  <si>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</si>
  <si>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</si>
  <si>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</si>
  <si>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</si>
  <si>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</si>
  <si>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</si>
  <si>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</si>
  <si>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</si>
  <si>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</si>
  <si>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</si>
  <si>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</si>
  <si>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</si>
  <si>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</si>
  <si>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</si>
  <si>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</si>
  <si>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</si>
  <si>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</si>
  <si>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</si>
  <si>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</si>
  <si>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</si>
  <si>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</si>
  <si>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</si>
  <si>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</si>
  <si>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</si>
  <si>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</si>
  <si>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</si>
  <si>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</si>
  <si>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</si>
  <si>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</si>
  <si>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</si>
  <si>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</si>
  <si>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</si>
  <si>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</si>
  <si>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</si>
  <si>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</si>
  <si>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</si>
  <si>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</si>
  <si>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</si>
  <si>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</si>
  <si>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</si>
  <si>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</si>
  <si>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</si>
  <si>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</si>
  <si>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</si>
  <si>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</si>
  <si>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</si>
  <si>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</si>
  <si>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</si>
  <si>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</si>
  <si>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</si>
  <si>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</si>
  <si>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</si>
  <si>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</si>
  <si>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</si>
  <si>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</si>
  <si>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</si>
  <si>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</si>
  <si>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</si>
  <si>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</si>
  <si>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</si>
  <si>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</si>
  <si>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</si>
  <si>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</si>
  <si>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</si>
  <si>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</si>
  <si>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</si>
  <si>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</si>
  <si>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</si>
  <si>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</si>
  <si>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</si>
  <si>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</si>
  <si>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</si>
  <si>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</si>
  <si>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</si>
  <si>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</si>
  <si>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</si>
  <si>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</si>
  <si>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</si>
  <si>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</si>
  <si>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</si>
  <si>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</si>
  <si>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</si>
  <si>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</si>
  <si>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YILHM0462</t>
  </si>
  <si>
    <t>Cremas y colonias de baby</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</si>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</sst>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dd\-mmm"/>
    <numFmt numFmtId="177" formatCode="0.00_);[Red]\(0.00\)"/>
    <numFmt numFmtId="178" formatCode="&quot;$&quot;#,##0.00"/>
    <numFmt numFmtId="179" formatCode="&quot;$&quot;#,##0.0"/>
    <numFmt numFmtId="43" formatCode="_-* #,##0.00_-;\-* #,##0.00_-;_-* &quot;-&quot;??_-;_-@_-"/>
    <numFmt numFmtId="180" formatCode="_-&quot;$&quot;* #,##0.00_-;\-&quot;$&quot;* #,##0.00_-;_-&quot;$&quot;* &quot;-&quot;??_-;_-@_-"/>
    <numFmt numFmtId="44" formatCode="_-&quot;£&quot;* #,##0.00_-;\-&quot;£&quot;* #,##0.00_-;_-&quot;£&quot;* &quot;-&quot;??_-;_-@_-"/>
    <numFmt numFmtId="42" formatCode="_-&quot;£&quot;* #,##0_-;\-&quot;£&quot;* #,##0_-;_-&quot;£&quot;* &quot;-&quot;_-;_-@_-"/>
    <numFmt numFmtId="41" formatCode="_-* #,##0_-;\-* #,##0_-;_-* &quot;-&quot;_-;_-@_-"/>
  </numFmts>
  <fonts count="39">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u/>
      <sz val="11"/>
      <color rgb="FF0000FF"/>
      <name val="Helvetica Neue"/>
      <charset val="0"/>
      <scheme val="minor"/>
    </font>
    <font>
      <sz val="11"/>
      <color theme="0"/>
      <name val="Helvetica Neue"/>
      <charset val="0"/>
      <scheme val="minor"/>
    </font>
    <font>
      <b/>
      <sz val="11"/>
      <color rgb="FFFFFFFF"/>
      <name val="Helvetica Neue"/>
      <charset val="0"/>
      <scheme val="minor"/>
    </font>
    <font>
      <b/>
      <sz val="13"/>
      <color theme="3"/>
      <name val="Helvetica Neue"/>
      <charset val="134"/>
      <scheme val="minor"/>
    </font>
    <font>
      <b/>
      <sz val="18"/>
      <color theme="3"/>
      <name val="Helvetica Neue"/>
      <charset val="134"/>
      <scheme val="minor"/>
    </font>
    <font>
      <b/>
      <sz val="15"/>
      <color theme="3"/>
      <name val="Helvetica Neue"/>
      <charset val="134"/>
      <scheme val="minor"/>
    </font>
    <font>
      <sz val="11"/>
      <color theme="1"/>
      <name val="Helvetica Neue"/>
      <charset val="0"/>
      <scheme val="minor"/>
    </font>
    <font>
      <sz val="11"/>
      <color rgb="FF006100"/>
      <name val="Helvetica Neue"/>
      <charset val="0"/>
      <scheme val="minor"/>
    </font>
    <font>
      <b/>
      <sz val="11"/>
      <color rgb="FFFA7D00"/>
      <name val="Helvetica Neue"/>
      <charset val="0"/>
      <scheme val="minor"/>
    </font>
    <font>
      <sz val="11"/>
      <color rgb="FF3F3F76"/>
      <name val="Helvetica Neue"/>
      <charset val="0"/>
      <scheme val="minor"/>
    </font>
    <font>
      <sz val="11"/>
      <color rgb="FFFF0000"/>
      <name val="Helvetica Neue"/>
      <charset val="0"/>
      <scheme val="minor"/>
    </font>
    <font>
      <u/>
      <sz val="11"/>
      <color rgb="FF800080"/>
      <name val="Helvetica Neue"/>
      <charset val="0"/>
      <scheme val="minor"/>
    </font>
    <font>
      <b/>
      <sz val="11"/>
      <color theme="3"/>
      <name val="Helvetica Neue"/>
      <charset val="134"/>
      <scheme val="minor"/>
    </font>
    <font>
      <b/>
      <sz val="11"/>
      <color rgb="FF3F3F3F"/>
      <name val="Helvetica Neue"/>
      <charset val="0"/>
      <scheme val="minor"/>
    </font>
    <font>
      <sz val="11"/>
      <color rgb="FFFA7D00"/>
      <name val="Helvetica Neue"/>
      <charset val="0"/>
      <scheme val="minor"/>
    </font>
    <font>
      <sz val="11"/>
      <color rgb="FF9C6500"/>
      <name val="Helvetica Neue"/>
      <charset val="0"/>
      <scheme val="minor"/>
    </font>
    <font>
      <sz val="11"/>
      <color rgb="FF9C0006"/>
      <name val="Helvetica Neue"/>
      <charset val="0"/>
      <scheme val="minor"/>
    </font>
    <font>
      <b/>
      <sz val="11"/>
      <color theme="1"/>
      <name val="Helvetica Neue"/>
      <charset val="0"/>
      <scheme val="minor"/>
    </font>
    <font>
      <i/>
      <sz val="11"/>
      <color rgb="FF7F7F7F"/>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4" tint="0.399975585192419"/>
        <bgColor indexed="64"/>
      </patternFill>
    </fill>
    <fill>
      <patternFill patternType="solid">
        <fgColor theme="4"/>
        <bgColor indexed="64"/>
      </patternFill>
    </fill>
    <fill>
      <patternFill patternType="solid">
        <fgColor theme="5"/>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799981688894314"/>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top" wrapText="1"/>
    </xf>
    <xf numFmtId="0" fontId="15" fillId="0" borderId="0"/>
    <xf numFmtId="180" fontId="15" fillId="0" borderId="0"/>
    <xf numFmtId="0" fontId="21" fillId="41" borderId="0" applyNumberFormat="0" applyBorder="0" applyAlignment="0" applyProtection="0">
      <alignment vertical="center"/>
    </xf>
    <xf numFmtId="0" fontId="26" fillId="44" borderId="0" applyNumberFormat="0" applyBorder="0" applyAlignment="0" applyProtection="0">
      <alignment vertical="center"/>
    </xf>
    <xf numFmtId="0" fontId="21" fillId="33" borderId="0" applyNumberFormat="0" applyBorder="0" applyAlignment="0" applyProtection="0">
      <alignment vertical="center"/>
    </xf>
    <xf numFmtId="0" fontId="21" fillId="39" borderId="0" applyNumberFormat="0" applyBorder="0" applyAlignment="0" applyProtection="0">
      <alignment vertical="center"/>
    </xf>
    <xf numFmtId="0" fontId="26" fillId="38" borderId="0" applyNumberFormat="0" applyBorder="0" applyAlignment="0" applyProtection="0">
      <alignment vertical="center"/>
    </xf>
    <xf numFmtId="0" fontId="26" fillId="34" borderId="0" applyNumberFormat="0" applyBorder="0" applyAlignment="0" applyProtection="0">
      <alignment vertical="center"/>
    </xf>
    <xf numFmtId="0" fontId="21" fillId="36" borderId="0" applyNumberFormat="0" applyBorder="0" applyAlignment="0" applyProtection="0">
      <alignment vertical="center"/>
    </xf>
    <xf numFmtId="0" fontId="21" fillId="4" borderId="0" applyNumberFormat="0" applyBorder="0" applyAlignment="0" applyProtection="0">
      <alignment vertical="center"/>
    </xf>
    <xf numFmtId="0" fontId="26" fillId="32" borderId="0" applyNumberFormat="0" applyBorder="0" applyAlignment="0" applyProtection="0">
      <alignment vertical="center"/>
    </xf>
    <xf numFmtId="0" fontId="21" fillId="8" borderId="0" applyNumberFormat="0" applyBorder="0" applyAlignment="0" applyProtection="0">
      <alignment vertical="center"/>
    </xf>
    <xf numFmtId="0" fontId="34" fillId="0" borderId="22" applyNumberFormat="0" applyFill="0" applyAlignment="0" applyProtection="0">
      <alignment vertical="center"/>
    </xf>
    <xf numFmtId="0" fontId="26" fillId="29" borderId="0" applyNumberFormat="0" applyBorder="0" applyAlignment="0" applyProtection="0">
      <alignment vertical="center"/>
    </xf>
    <xf numFmtId="0" fontId="21" fillId="30" borderId="0" applyNumberFormat="0" applyBorder="0" applyAlignment="0" applyProtection="0">
      <alignment vertical="center"/>
    </xf>
    <xf numFmtId="0" fontId="21" fillId="15" borderId="0" applyNumberFormat="0" applyBorder="0" applyAlignment="0" applyProtection="0">
      <alignment vertical="center"/>
    </xf>
    <xf numFmtId="0" fontId="26" fillId="42" borderId="0" applyNumberFormat="0" applyBorder="0" applyAlignment="0" applyProtection="0">
      <alignment vertical="center"/>
    </xf>
    <xf numFmtId="0" fontId="26" fillId="28" borderId="0" applyNumberFormat="0" applyBorder="0" applyAlignment="0" applyProtection="0">
      <alignment vertical="center"/>
    </xf>
    <xf numFmtId="0" fontId="21" fillId="27" borderId="0" applyNumberFormat="0" applyBorder="0" applyAlignment="0" applyProtection="0">
      <alignment vertical="center"/>
    </xf>
    <xf numFmtId="0" fontId="26" fillId="43" borderId="0" applyNumberFormat="0" applyBorder="0" applyAlignment="0" applyProtection="0">
      <alignment vertical="center"/>
    </xf>
    <xf numFmtId="0" fontId="2" fillId="0" borderId="0">
      <alignment vertical="top" wrapText="1"/>
    </xf>
    <xf numFmtId="0" fontId="26" fillId="31" borderId="0" applyNumberFormat="0" applyBorder="0" applyAlignment="0" applyProtection="0">
      <alignment vertical="center"/>
    </xf>
    <xf numFmtId="0" fontId="21" fillId="26" borderId="0" applyNumberFormat="0" applyBorder="0" applyAlignment="0" applyProtection="0">
      <alignment vertical="center"/>
    </xf>
    <xf numFmtId="0" fontId="35" fillId="35" borderId="0" applyNumberFormat="0" applyBorder="0" applyAlignment="0" applyProtection="0">
      <alignment vertical="center"/>
    </xf>
    <xf numFmtId="0" fontId="21" fillId="25" borderId="0" applyNumberFormat="0" applyBorder="0" applyAlignment="0" applyProtection="0">
      <alignment vertical="center"/>
    </xf>
    <xf numFmtId="0" fontId="36" fillId="37" borderId="0" applyNumberFormat="0" applyBorder="0" applyAlignment="0" applyProtection="0">
      <alignment vertical="center"/>
    </xf>
    <xf numFmtId="0" fontId="26" fillId="45" borderId="0" applyNumberFormat="0" applyBorder="0" applyAlignment="0" applyProtection="0">
      <alignment vertical="center"/>
    </xf>
    <xf numFmtId="0" fontId="37" fillId="0" borderId="23" applyNumberFormat="0" applyFill="0" applyAlignment="0" applyProtection="0">
      <alignment vertical="center"/>
    </xf>
    <xf numFmtId="0" fontId="33" fillId="23" borderId="21" applyNumberFormat="0" applyAlignment="0" applyProtection="0">
      <alignment vertical="center"/>
    </xf>
    <xf numFmtId="44" fontId="17" fillId="0" borderId="0" applyFont="0" applyFill="0" applyBorder="0" applyAlignment="0" applyProtection="0">
      <alignment vertical="center"/>
    </xf>
    <xf numFmtId="0" fontId="26" fillId="20" borderId="0" applyNumberFormat="0" applyBorder="0" applyAlignment="0" applyProtection="0">
      <alignment vertical="center"/>
    </xf>
    <xf numFmtId="0" fontId="17" fillId="22" borderId="18" applyNumberFormat="0" applyFont="0" applyAlignment="0" applyProtection="0">
      <alignment vertical="center"/>
    </xf>
    <xf numFmtId="0" fontId="29" fillId="24" borderId="19" applyNumberFormat="0" applyAlignment="0" applyProtection="0">
      <alignment vertical="center"/>
    </xf>
    <xf numFmtId="0" fontId="32" fillId="0" borderId="0" applyNumberFormat="0" applyFill="0" applyBorder="0" applyAlignment="0" applyProtection="0">
      <alignment vertical="center"/>
    </xf>
    <xf numFmtId="0" fontId="28" fillId="23" borderId="19" applyNumberFormat="0" applyAlignment="0" applyProtection="0">
      <alignment vertical="center"/>
    </xf>
    <xf numFmtId="0" fontId="27" fillId="21" borderId="0" applyNumberFormat="0" applyBorder="0" applyAlignment="0" applyProtection="0">
      <alignment vertical="center"/>
    </xf>
    <xf numFmtId="0" fontId="32" fillId="0" borderId="20" applyNumberFormat="0" applyFill="0" applyAlignment="0" applyProtection="0">
      <alignment vertical="center"/>
    </xf>
    <xf numFmtId="0" fontId="38" fillId="0" borderId="0" applyNumberFormat="0" applyFill="0" applyBorder="0" applyAlignment="0" applyProtection="0">
      <alignment vertical="center"/>
    </xf>
    <xf numFmtId="0" fontId="25" fillId="0" borderId="17" applyNumberFormat="0" applyFill="0" applyAlignment="0" applyProtection="0">
      <alignment vertical="center"/>
    </xf>
    <xf numFmtId="41" fontId="17" fillId="0" borderId="0" applyFont="0" applyFill="0" applyBorder="0" applyAlignment="0" applyProtection="0">
      <alignment vertical="center"/>
    </xf>
    <xf numFmtId="0" fontId="26" fillId="40" borderId="0" applyNumberFormat="0" applyBorder="0" applyAlignment="0" applyProtection="0">
      <alignment vertical="center"/>
    </xf>
    <xf numFmtId="0" fontId="24" fillId="0" borderId="0" applyNumberFormat="0" applyFill="0" applyBorder="0" applyAlignment="0" applyProtection="0">
      <alignment vertical="center"/>
    </xf>
    <xf numFmtId="42" fontId="17"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3" fillId="0" borderId="17" applyNumberFormat="0" applyFill="0" applyAlignment="0" applyProtection="0">
      <alignment vertical="center"/>
    </xf>
    <xf numFmtId="43" fontId="17" fillId="0" borderId="0" applyFont="0" applyFill="0" applyBorder="0" applyAlignment="0" applyProtection="0">
      <alignment vertical="center"/>
    </xf>
    <xf numFmtId="0" fontId="22" fillId="19" borderId="16" applyNumberFormat="0" applyAlignment="0" applyProtection="0">
      <alignment vertical="center"/>
    </xf>
    <xf numFmtId="0" fontId="21" fillId="18" borderId="0" applyNumberFormat="0" applyBorder="0" applyAlignment="0" applyProtection="0">
      <alignment vertical="center"/>
    </xf>
    <xf numFmtId="9" fontId="17"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126">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8"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6"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8" fontId="2" fillId="2" borderId="1" xfId="0" applyNumberFormat="1" applyFont="1" applyFill="1" applyBorder="1" applyAlignment="1">
      <alignment vertical="center" wrapText="1"/>
    </xf>
    <xf numFmtId="178" fontId="3" fillId="0" borderId="1" xfId="0" applyNumberFormat="1" applyFont="1" applyBorder="1" applyAlignment="1">
      <alignment vertical="top"/>
    </xf>
    <xf numFmtId="0" fontId="4" fillId="6" borderId="1" xfId="0" applyFont="1" applyFill="1" applyBorder="1">
      <alignment vertical="top" wrapText="1"/>
    </xf>
    <xf numFmtId="178"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6" fontId="3" fillId="3" borderId="1" xfId="0" applyNumberFormat="1" applyFont="1" applyFill="1" applyBorder="1" applyAlignment="1">
      <alignment vertical="top"/>
    </xf>
    <xf numFmtId="0" fontId="3" fillId="3" borderId="1" xfId="0" applyFont="1" applyFill="1" applyBorder="1" applyAlignment="1">
      <alignment vertical="top"/>
    </xf>
    <xf numFmtId="176" fontId="5" fillId="0" borderId="1" xfId="0" applyNumberFormat="1" applyFont="1" applyBorder="1" applyAlignment="1">
      <alignment vertical="top"/>
    </xf>
    <xf numFmtId="178" fontId="3" fillId="3" borderId="1" xfId="0" applyNumberFormat="1" applyFont="1" applyFill="1" applyBorder="1" applyAlignment="1">
      <alignment vertical="top"/>
    </xf>
    <xf numFmtId="178" fontId="5" fillId="7" borderId="1" xfId="0" applyNumberFormat="1" applyFont="1" applyFill="1" applyBorder="1" applyAlignment="1">
      <alignment vertical="top"/>
    </xf>
    <xf numFmtId="0" fontId="3" fillId="8" borderId="1" xfId="0" applyFont="1" applyFill="1" applyBorder="1" applyAlignment="1">
      <alignment vertical="top"/>
    </xf>
    <xf numFmtId="178" fontId="5" fillId="0" borderId="1" xfId="0" applyNumberFormat="1" applyFont="1" applyBorder="1" applyAlignment="1">
      <alignment vertical="top"/>
    </xf>
    <xf numFmtId="176" fontId="3" fillId="9" borderId="1" xfId="0" applyNumberFormat="1" applyFont="1" applyFill="1" applyBorder="1" applyAlignment="1">
      <alignment vertical="top"/>
    </xf>
    <xf numFmtId="0" fontId="3" fillId="9" borderId="1" xfId="0" applyFont="1" applyFill="1" applyBorder="1" applyAlignment="1">
      <alignment vertical="top"/>
    </xf>
    <xf numFmtId="178" fontId="3" fillId="9" borderId="1" xfId="0" applyNumberFormat="1" applyFont="1" applyFill="1" applyBorder="1" applyAlignment="1">
      <alignment vertical="top"/>
    </xf>
    <xf numFmtId="176" fontId="3" fillId="0" borderId="1" xfId="0" applyNumberFormat="1" applyFont="1" applyBorder="1" applyAlignment="1">
      <alignment horizontal="right" vertical="top"/>
    </xf>
    <xf numFmtId="176" fontId="3" fillId="3" borderId="1" xfId="0" applyNumberFormat="1" applyFont="1" applyFill="1" applyBorder="1" applyAlignment="1">
      <alignment horizontal="right" vertical="top"/>
    </xf>
    <xf numFmtId="176" fontId="5" fillId="0" borderId="1" xfId="0" applyNumberFormat="1" applyFont="1" applyBorder="1" applyAlignment="1">
      <alignment horizontal="right" vertical="top"/>
    </xf>
    <xf numFmtId="176" fontId="3" fillId="9" borderId="1" xfId="0" applyNumberFormat="1" applyFont="1" applyFill="1" applyBorder="1" applyAlignment="1">
      <alignment horizontal="right" vertical="top"/>
    </xf>
    <xf numFmtId="176" fontId="5" fillId="4" borderId="1" xfId="0" applyNumberFormat="1" applyFont="1" applyFill="1" applyBorder="1" applyAlignment="1">
      <alignment horizontal="right" vertical="top"/>
    </xf>
    <xf numFmtId="0" fontId="3" fillId="4" borderId="1" xfId="0" applyFont="1" applyFill="1" applyBorder="1" applyAlignment="1">
      <alignment vertical="top"/>
    </xf>
    <xf numFmtId="178" fontId="6" fillId="3" borderId="1" xfId="0" applyNumberFormat="1" applyFont="1" applyFill="1" applyBorder="1" applyAlignment="1">
      <alignment vertical="top"/>
    </xf>
    <xf numFmtId="178" fontId="6" fillId="9" borderId="1" xfId="0" applyNumberFormat="1" applyFont="1" applyFill="1" applyBorder="1" applyAlignment="1">
      <alignment vertical="top"/>
    </xf>
    <xf numFmtId="178" fontId="3" fillId="4" borderId="1" xfId="0" applyNumberFormat="1" applyFont="1" applyFill="1" applyBorder="1" applyAlignment="1">
      <alignment vertical="top"/>
    </xf>
    <xf numFmtId="176" fontId="3" fillId="6" borderId="1" xfId="0" applyNumberFormat="1" applyFont="1" applyFill="1" applyBorder="1" applyAlignment="1">
      <alignment vertical="top"/>
    </xf>
    <xf numFmtId="176" fontId="3" fillId="10" borderId="1" xfId="0" applyNumberFormat="1" applyFont="1" applyFill="1" applyBorder="1" applyAlignment="1">
      <alignment vertical="top"/>
    </xf>
    <xf numFmtId="0" fontId="3" fillId="6" borderId="1" xfId="0" applyFont="1" applyFill="1" applyBorder="1" applyAlignment="1">
      <alignment vertical="top"/>
    </xf>
    <xf numFmtId="176" fontId="3" fillId="6" borderId="1" xfId="0" applyNumberFormat="1" applyFont="1" applyFill="1" applyBorder="1" applyAlignment="1">
      <alignment horizontal="right" vertical="top"/>
    </xf>
    <xf numFmtId="176" fontId="3" fillId="10" borderId="1" xfId="0" applyNumberFormat="1" applyFont="1" applyFill="1" applyBorder="1" applyAlignment="1">
      <alignment horizontal="right" vertical="top"/>
    </xf>
    <xf numFmtId="178"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6" fontId="3" fillId="0" borderId="2" xfId="0" applyNumberFormat="1" applyFont="1" applyBorder="1" applyAlignment="1">
      <alignment vertical="top"/>
    </xf>
    <xf numFmtId="0" fontId="3" fillId="0" borderId="2" xfId="0" applyFont="1" applyBorder="1" applyAlignment="1">
      <alignment vertical="top"/>
    </xf>
    <xf numFmtId="178" fontId="3" fillId="0" borderId="2" xfId="0" applyNumberFormat="1" applyFont="1" applyBorder="1" applyAlignment="1">
      <alignment vertical="top"/>
    </xf>
    <xf numFmtId="178"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8" fontId="8" fillId="0" borderId="6" xfId="0" applyNumberFormat="1" applyFont="1" applyBorder="1" applyAlignment="1">
      <alignment vertical="top"/>
    </xf>
    <xf numFmtId="178" fontId="8" fillId="0" borderId="7" xfId="0" applyNumberFormat="1" applyFont="1" applyBorder="1" applyAlignment="1">
      <alignment vertical="top"/>
    </xf>
    <xf numFmtId="178"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xf>
    <xf numFmtId="0" fontId="0" fillId="0" borderId="0" xfId="0" applyAlignment="1">
      <alignment vertical="top" wrapText="1"/>
    </xf>
    <xf numFmtId="178" fontId="0" fillId="0" borderId="0" xfId="0" applyNumberFormat="1" applyAlignment="1">
      <alignment vertical="top"/>
    </xf>
    <xf numFmtId="179" fontId="0" fillId="0" borderId="0" xfId="0" applyNumberFormat="1" applyAlignment="1">
      <alignment vertical="top"/>
    </xf>
    <xf numFmtId="49" fontId="0" fillId="0" borderId="0" xfId="0" applyNumberFormat="1" applyAlignment="1">
      <alignment vertical="top"/>
    </xf>
    <xf numFmtId="178"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8" fontId="8" fillId="0" borderId="7" xfId="0" applyNumberFormat="1" applyFont="1" applyBorder="1" applyAlignment="1">
      <alignment horizontal="left" vertical="top"/>
    </xf>
    <xf numFmtId="49" fontId="10" fillId="3" borderId="8" xfId="0" applyNumberFormat="1" applyFont="1" applyFill="1" applyBorder="1" applyAlignment="1">
      <alignment horizontal="left" vertical="top"/>
    </xf>
    <xf numFmtId="178"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9"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8" fontId="11" fillId="0" borderId="7" xfId="0" applyNumberFormat="1" applyFont="1" applyBorder="1" applyAlignment="1">
      <alignment horizontal="left" vertical="top"/>
    </xf>
    <xf numFmtId="178" fontId="12" fillId="0" borderId="7" xfId="0" applyNumberFormat="1" applyFont="1" applyBorder="1" applyAlignment="1">
      <alignment horizontal="left" vertical="top"/>
    </xf>
    <xf numFmtId="178" fontId="8" fillId="0" borderId="9" xfId="0" applyNumberFormat="1" applyFont="1" applyBorder="1" applyAlignment="1">
      <alignment vertical="top"/>
    </xf>
    <xf numFmtId="178" fontId="8" fillId="0" borderId="9" xfId="0" applyNumberFormat="1" applyFont="1" applyBorder="1" applyAlignment="1">
      <alignment horizontal="left" vertical="top"/>
    </xf>
    <xf numFmtId="0" fontId="8" fillId="0" borderId="9" xfId="0" applyFont="1" applyBorder="1" applyAlignment="1">
      <alignment vertical="top"/>
    </xf>
    <xf numFmtId="178" fontId="12" fillId="0" borderId="6" xfId="0" applyNumberFormat="1" applyFont="1" applyBorder="1" applyAlignment="1">
      <alignment vertical="top"/>
    </xf>
    <xf numFmtId="178" fontId="12" fillId="0" borderId="9" xfId="0" applyNumberFormat="1" applyFont="1" applyBorder="1" applyAlignment="1">
      <alignment vertical="top"/>
    </xf>
    <xf numFmtId="178" fontId="13" fillId="0" borderId="9" xfId="0" applyNumberFormat="1" applyFont="1" applyBorder="1" applyAlignment="1">
      <alignment vertical="top"/>
    </xf>
    <xf numFmtId="178" fontId="8" fillId="0" borderId="10" xfId="0" applyNumberFormat="1" applyFont="1" applyBorder="1" applyAlignment="1">
      <alignment vertical="top"/>
    </xf>
    <xf numFmtId="178" fontId="8" fillId="12" borderId="9" xfId="0" applyNumberFormat="1" applyFont="1" applyFill="1" applyBorder="1" applyAlignment="1">
      <alignment vertical="top"/>
    </xf>
    <xf numFmtId="178" fontId="14" fillId="0" borderId="9" xfId="0" applyNumberFormat="1" applyFont="1" applyBorder="1" applyAlignment="1">
      <alignment vertical="top"/>
    </xf>
    <xf numFmtId="178"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8"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8" fontId="8" fillId="12" borderId="6" xfId="0" applyNumberFormat="1" applyFont="1" applyFill="1" applyBorder="1" applyAlignment="1">
      <alignment vertical="top"/>
    </xf>
    <xf numFmtId="0" fontId="15" fillId="0" borderId="0" xfId="0" applyFont="1" applyAlignment="1">
      <alignment vertical="top"/>
    </xf>
    <xf numFmtId="0" fontId="15" fillId="0" borderId="0" xfId="0" applyFont="1" applyAlignment="1">
      <alignment vertical="top" wrapText="1"/>
    </xf>
    <xf numFmtId="178"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12" xfId="0" applyFont="1" applyFill="1" applyBorder="1" applyAlignment="1">
      <alignment horizontal="left" vertical="top" wrapText="1"/>
    </xf>
    <xf numFmtId="0" fontId="16" fillId="0" borderId="13"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14" xfId="0" applyFont="1" applyFill="1" applyBorder="1" applyAlignment="1">
      <alignment horizontal="left" vertical="top" wrapText="1"/>
    </xf>
    <xf numFmtId="0" fontId="17" fillId="0" borderId="0" xfId="0" applyFont="1" applyFill="1" applyAlignment="1">
      <alignment vertical="top"/>
    </xf>
    <xf numFmtId="0" fontId="17" fillId="0" borderId="0" xfId="0" applyFont="1" applyFill="1" applyAlignment="1">
      <alignment vertical="top" wrapText="1"/>
    </xf>
    <xf numFmtId="0" fontId="17" fillId="0" borderId="14" xfId="0" applyFont="1" applyFill="1" applyBorder="1" applyAlignment="1">
      <alignment vertical="top" wrapText="1"/>
    </xf>
    <xf numFmtId="0" fontId="17" fillId="0" borderId="13" xfId="0" applyFont="1" applyFill="1" applyBorder="1" applyAlignment="1">
      <alignment vertical="top" wrapText="1"/>
    </xf>
    <xf numFmtId="177" fontId="17" fillId="0" borderId="13" xfId="0" applyNumberFormat="1" applyFont="1" applyFill="1" applyBorder="1" applyAlignment="1">
      <alignment vertical="top" wrapText="1"/>
    </xf>
    <xf numFmtId="177" fontId="17" fillId="0" borderId="13" xfId="0" applyNumberFormat="1" applyFont="1" applyFill="1" applyBorder="1" applyAlignment="1">
      <alignment vertical="top"/>
    </xf>
    <xf numFmtId="177" fontId="17" fillId="0" borderId="14" xfId="0" applyNumberFormat="1" applyFont="1" applyFill="1" applyBorder="1" applyAlignment="1">
      <alignment vertical="top"/>
    </xf>
    <xf numFmtId="177" fontId="17" fillId="0" borderId="0" xfId="0" applyNumberFormat="1" applyFont="1" applyFill="1" applyAlignment="1">
      <alignment vertical="top"/>
    </xf>
    <xf numFmtId="178" fontId="14" fillId="14" borderId="15" xfId="0" applyNumberFormat="1" applyFont="1" applyFill="1" applyBorder="1" applyAlignment="1">
      <alignment vertical="top"/>
    </xf>
    <xf numFmtId="178" fontId="14" fillId="0" borderId="15" xfId="0" applyNumberFormat="1" applyFont="1" applyFill="1" applyBorder="1" applyAlignment="1">
      <alignment vertical="top"/>
    </xf>
    <xf numFmtId="178" fontId="8" fillId="12" borderId="7" xfId="0" applyNumberFormat="1" applyFont="1" applyFill="1" applyBorder="1" applyAlignment="1">
      <alignment vertical="top"/>
    </xf>
    <xf numFmtId="178" fontId="14" fillId="0" borderId="7" xfId="0" applyNumberFormat="1" applyFont="1" applyBorder="1" applyAlignment="1">
      <alignment vertical="top"/>
    </xf>
    <xf numFmtId="178" fontId="12" fillId="13" borderId="9" xfId="0" applyNumberFormat="1" applyFont="1" applyFill="1" applyBorder="1" applyAlignment="1">
      <alignment vertical="top" wrapText="1"/>
    </xf>
    <xf numFmtId="0" fontId="15" fillId="0" borderId="7" xfId="0" applyFont="1" applyFill="1" applyBorder="1" applyAlignment="1">
      <alignment vertical="top"/>
    </xf>
    <xf numFmtId="178" fontId="12" fillId="13" borderId="7" xfId="0" applyNumberFormat="1" applyFont="1" applyFill="1" applyBorder="1" applyAlignment="1">
      <alignment vertical="top" wrapText="1"/>
    </xf>
    <xf numFmtId="178" fontId="12" fillId="13" borderId="7" xfId="0" applyNumberFormat="1" applyFont="1" applyFill="1" applyBorder="1" applyAlignment="1">
      <alignment vertical="top"/>
    </xf>
    <xf numFmtId="0" fontId="8" fillId="6" borderId="7" xfId="0" applyFont="1" applyFill="1" applyBorder="1" applyAlignment="1">
      <alignment vertical="top"/>
    </xf>
    <xf numFmtId="49" fontId="8" fillId="0" borderId="7" xfId="0" applyNumberFormat="1" applyFont="1" applyBorder="1" applyAlignment="1">
      <alignment vertical="top"/>
    </xf>
    <xf numFmtId="178" fontId="18" fillId="15" borderId="7" xfId="0" applyNumberFormat="1" applyFont="1" applyFill="1" applyBorder="1" applyAlignment="1">
      <alignment horizontal="center" vertical="top" wrapText="1"/>
    </xf>
    <xf numFmtId="178" fontId="19" fillId="16" borderId="7" xfId="0" applyNumberFormat="1" applyFont="1" applyFill="1" applyBorder="1" applyAlignment="1">
      <alignment horizontal="center" vertical="top"/>
    </xf>
    <xf numFmtId="178" fontId="18" fillId="15" borderId="7" xfId="0" applyNumberFormat="1" applyFont="1" applyFill="1" applyBorder="1" applyAlignment="1">
      <alignment horizontal="center" vertical="top"/>
    </xf>
    <xf numFmtId="178" fontId="8" fillId="17" borderId="7" xfId="0" applyNumberFormat="1" applyFont="1" applyFill="1" applyBorder="1" applyAlignment="1">
      <alignment vertical="top"/>
    </xf>
    <xf numFmtId="178"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Normal 2" xfId="1"/>
    <cellStyle name="Currency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1929</xdr:row>
      <xdr:rowOff>0</xdr:rowOff>
    </xdr:from>
    <xdr:to>
      <xdr:col>4</xdr:col>
      <xdr:colOff>406400</xdr:colOff>
      <xdr:row>1929</xdr:row>
      <xdr:rowOff>406400</xdr:rowOff>
    </xdr:to>
    <xdr:pic>
      <xdr:nvPicPr>
        <xdr:cNvPr id="62" name="Picture 61"/>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3" name="Picture 62"/>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4" name="Picture 63"/>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5" name="Picture 64"/>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6" name="Picture 65"/>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7" name="Picture 66"/>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8" name="Picture 67"/>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69" name="Picture 6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0" name="Picture 6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1" name="Picture 7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2" name="Picture 7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3" name="Picture 7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4" name="Picture 7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5" name="Picture 7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6" name="Picture 7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7" name="Picture 7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8" name="Picture 7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79" name="Picture 7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0" name="Picture 7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1" name="Picture 8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2" name="Picture 81"/>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3" name="Picture 82"/>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4" name="Picture 83"/>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5" name="Picture 84"/>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6" name="Picture 85"/>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7" name="Picture 86"/>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8" name="Picture 87"/>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89" name="Picture 88"/>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0" name="Picture 89"/>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twoCellAnchor editAs="oneCell">
    <xdr:from>
      <xdr:col>4</xdr:col>
      <xdr:colOff>0</xdr:colOff>
      <xdr:row>1937</xdr:row>
      <xdr:rowOff>0</xdr:rowOff>
    </xdr:from>
    <xdr:to>
      <xdr:col>4</xdr:col>
      <xdr:colOff>406400</xdr:colOff>
      <xdr:row>1937</xdr:row>
      <xdr:rowOff>406400</xdr:rowOff>
    </xdr:to>
    <xdr:pic>
      <xdr:nvPicPr>
        <xdr:cNvPr id="91" name="Picture 90"/>
        <xdr:cNvPicPr>
          <a:picLocks noChangeAspect="1"/>
        </xdr:cNvPicPr>
      </xdr:nvPicPr>
      <xdr:blipFill>
        <a:stretch>
          <a:fillRect/>
        </a:stretch>
      </xdr:blipFill>
      <xdr:spPr>
        <a:xfrm>
          <a:off x="3982720" y="1229931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6" totalsRowShown="0">
  <autoFilter ref="A1:AD2106"/>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11"/>
  <sheetViews>
    <sheetView showGridLines="0" tabSelected="1" zoomScale="97" zoomScaleNormal="97" workbookViewId="0">
      <pane ySplit="1" topLeftCell="A2054" activePane="bottomLeft" state="frozen"/>
      <selection/>
      <selection pane="bottomLeft" activeCell="A2054" sqref="A2054"/>
    </sheetView>
  </sheetViews>
  <sheetFormatPr defaultColWidth="8" defaultRowHeight="20" customHeight="1"/>
  <cols>
    <col min="1" max="1" width="93" style="56" customWidth="1"/>
    <col min="2" max="3" width="68" style="56" customWidth="1"/>
    <col min="4" max="4" width="163" style="57" customWidth="1"/>
    <col min="5" max="5" width="254.562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4.125" style="56" customWidth="1"/>
    <col min="14" max="14" width="74" style="56" hidden="1" customWidth="1"/>
    <col min="15" max="15" width="53" style="60" hidden="1" customWidth="1"/>
    <col min="16" max="16" width="72" style="60" customWidth="1"/>
    <col min="17" max="17" width="70" style="56" hidden="1" customWidth="1"/>
    <col min="18" max="18" width="106" style="56" hidden="1"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7" t="s">
        <v>4</v>
      </c>
      <c r="F1" s="65" t="s">
        <v>5</v>
      </c>
      <c r="G1" s="65" t="s">
        <v>6</v>
      </c>
      <c r="H1" s="65" t="s">
        <v>7</v>
      </c>
      <c r="I1" s="68" t="s">
        <v>8</v>
      </c>
      <c r="J1" s="69" t="s">
        <v>9</v>
      </c>
      <c r="K1" s="69" t="s">
        <v>10</v>
      </c>
      <c r="L1" s="69" t="s">
        <v>11</v>
      </c>
      <c r="M1" s="65" t="s">
        <v>12</v>
      </c>
      <c r="N1" s="68" t="s">
        <v>13</v>
      </c>
      <c r="O1" s="68" t="s">
        <v>14</v>
      </c>
      <c r="P1" s="68" t="s">
        <v>15</v>
      </c>
      <c r="Q1" s="69" t="s">
        <v>16</v>
      </c>
      <c r="R1" s="68" t="s">
        <v>17</v>
      </c>
      <c r="S1" s="68" t="s">
        <v>18</v>
      </c>
      <c r="T1" s="68" t="s">
        <v>19</v>
      </c>
      <c r="U1" s="72" t="s">
        <v>20</v>
      </c>
      <c r="V1" s="68" t="s">
        <v>21</v>
      </c>
      <c r="W1" s="68" t="s">
        <v>22</v>
      </c>
      <c r="X1" s="68" t="s">
        <v>23</v>
      </c>
      <c r="Y1" s="65" t="s">
        <v>24</v>
      </c>
      <c r="Z1" s="68" t="s">
        <v>25</v>
      </c>
      <c r="AA1" s="68" t="s">
        <v>26</v>
      </c>
      <c r="AB1" s="68" t="s">
        <v>27</v>
      </c>
      <c r="AC1" s="68" t="s">
        <v>28</v>
      </c>
      <c r="AD1" s="52" t="s">
        <v>29</v>
      </c>
      <c r="AO1" s="52" t="s">
        <v>30</v>
      </c>
    </row>
    <row r="2" s="53" customFormat="1" ht="50" customHeight="1" spans="1:28">
      <c r="A2" s="53" t="s">
        <v>31</v>
      </c>
      <c r="B2" s="66"/>
      <c r="C2" s="53" t="s">
        <v>32</v>
      </c>
      <c r="D2" s="53" t="s">
        <v>33</v>
      </c>
      <c r="E2" s="53" t="s">
        <v>34</v>
      </c>
      <c r="F2" s="53" t="s">
        <v>35</v>
      </c>
      <c r="G2" s="53" t="s">
        <v>36</v>
      </c>
      <c r="H2" s="53">
        <f>STOCK[[#This Row],[Precio Final]]</f>
        <v>8</v>
      </c>
      <c r="I2" s="53">
        <f>STOCK[[#This Row],[Precio Venta Ideal (x1.5)]]</f>
        <v>7.70583333333333</v>
      </c>
      <c r="J2" s="70">
        <v>15</v>
      </c>
      <c r="K2" s="70">
        <f>SUMIFS(VENTAS[Cantidad],VENTAS[Código del producto Vendido],STOCK[[#This Row],[Code]])</f>
        <v>13</v>
      </c>
      <c r="L2" s="70">
        <v>0</v>
      </c>
      <c r="M2" s="53">
        <f>STOCK[[#This Row],[Precio Final]]*10%</f>
        <v>0.8</v>
      </c>
      <c r="N2" s="53">
        <v>49</v>
      </c>
      <c r="O2" s="53">
        <v>18</v>
      </c>
      <c r="P2" s="53">
        <v>2.72222222222222</v>
      </c>
      <c r="Q2" s="70">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54" t="s">
        <v>39</v>
      </c>
      <c r="F3" s="54" t="s">
        <v>40</v>
      </c>
      <c r="G3" s="54" t="s">
        <v>36</v>
      </c>
      <c r="H3" s="54">
        <f>STOCK[[#This Row],[Precio Final]]</f>
        <v>28</v>
      </c>
      <c r="I3" s="54">
        <f>STOCK[[#This Row],[Precio Venta Ideal (x1.5)]]</f>
        <v>31.7566666666666</v>
      </c>
      <c r="J3" s="71">
        <v>1</v>
      </c>
      <c r="K3" s="71">
        <f>SUMIFS(VENTAS[Cantidad],VENTAS[Código del producto Vendido],STOCK[[#This Row],[Code]])</f>
        <v>1</v>
      </c>
      <c r="L3" s="71">
        <f>STOCK[[#This Row],[Entradas]]-STOCK[[#This Row],[Salidas]]</f>
        <v>0</v>
      </c>
      <c r="M3" s="54">
        <f>STOCK[[#This Row],[Precio Final]]*10%</f>
        <v>2.8</v>
      </c>
      <c r="N3" s="54">
        <v>245</v>
      </c>
      <c r="O3" s="54">
        <v>18</v>
      </c>
      <c r="P3" s="54">
        <v>13.6111111111111</v>
      </c>
      <c r="Q3" s="71">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53" t="s">
        <v>39</v>
      </c>
      <c r="F4" s="53" t="s">
        <v>42</v>
      </c>
      <c r="G4" s="53" t="s">
        <v>36</v>
      </c>
      <c r="H4" s="53">
        <f>STOCK[[#This Row],[Precio Final]]</f>
        <v>28</v>
      </c>
      <c r="I4" s="53">
        <f>STOCK[[#This Row],[Precio Venta Ideal (x1.5)]]</f>
        <v>33.5416666666667</v>
      </c>
      <c r="J4" s="70">
        <v>3</v>
      </c>
      <c r="K4" s="70">
        <f>SUMIFS(VENTAS[Cantidad],VENTAS[Código del producto Vendido],STOCK[[#This Row],[Code]])</f>
        <v>3</v>
      </c>
      <c r="L4" s="70">
        <f>STOCK[[#This Row],[Entradas]]-STOCK[[#This Row],[Salidas]]</f>
        <v>0</v>
      </c>
      <c r="M4" s="53">
        <f>STOCK[[#This Row],[Precio Final]]*10%</f>
        <v>2.8</v>
      </c>
      <c r="N4" s="53">
        <v>245</v>
      </c>
      <c r="O4" s="53">
        <v>18</v>
      </c>
      <c r="P4" s="53">
        <v>13.6111111111111</v>
      </c>
      <c r="Q4" s="70">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54" t="s">
        <v>45</v>
      </c>
      <c r="F5" s="54" t="s">
        <v>46</v>
      </c>
      <c r="G5" s="54" t="s">
        <v>36</v>
      </c>
      <c r="H5" s="54">
        <f>STOCK[[#This Row],[Precio Final]]</f>
        <v>30</v>
      </c>
      <c r="I5" s="54">
        <f>STOCK[[#This Row],[Precio Venta Ideal (x1.5)]]</f>
        <v>33.0033333333333</v>
      </c>
      <c r="J5" s="71">
        <v>1</v>
      </c>
      <c r="K5" s="71">
        <f>SUMIFS(VENTAS[Cantidad],VENTAS[Código del producto Vendido],STOCK[[#This Row],[Code]])</f>
        <v>1</v>
      </c>
      <c r="L5" s="71">
        <f>STOCK[[#This Row],[Entradas]]-STOCK[[#This Row],[Salidas]]</f>
        <v>0</v>
      </c>
      <c r="M5" s="54">
        <f>STOCK[[#This Row],[Precio Final]]*10%</f>
        <v>3</v>
      </c>
      <c r="N5" s="54">
        <v>238</v>
      </c>
      <c r="O5" s="54">
        <v>18</v>
      </c>
      <c r="P5" s="54">
        <v>13.2222222222222</v>
      </c>
      <c r="Q5" s="71">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53" t="s">
        <v>48</v>
      </c>
      <c r="F6" s="53" t="s">
        <v>49</v>
      </c>
      <c r="G6" s="53" t="s">
        <v>36</v>
      </c>
      <c r="H6" s="53">
        <f>STOCK[[#This Row],[Precio Final]]</f>
        <v>30</v>
      </c>
      <c r="I6" s="53">
        <f>STOCK[[#This Row],[Precio Venta Ideal (x1.5)]]</f>
        <v>33.0033333333333</v>
      </c>
      <c r="J6" s="70">
        <v>1</v>
      </c>
      <c r="K6" s="70">
        <f>SUMIFS(VENTAS[Cantidad],VENTAS[Código del producto Vendido],STOCK[[#This Row],[Code]])</f>
        <v>1</v>
      </c>
      <c r="L6" s="70">
        <f>STOCK[[#This Row],[Entradas]]-STOCK[[#This Row],[Salidas]]</f>
        <v>0</v>
      </c>
      <c r="M6" s="53">
        <f>STOCK[[#This Row],[Precio Final]]*10%</f>
        <v>3</v>
      </c>
      <c r="N6" s="53">
        <v>238</v>
      </c>
      <c r="O6" s="53">
        <v>18</v>
      </c>
      <c r="P6" s="53">
        <v>13.2222222222222</v>
      </c>
      <c r="Q6" s="70">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54" t="s">
        <v>48</v>
      </c>
      <c r="F7" s="54" t="s">
        <v>40</v>
      </c>
      <c r="G7" s="54" t="s">
        <v>36</v>
      </c>
      <c r="H7" s="54">
        <f>STOCK[[#This Row],[Precio Final]]</f>
        <v>30</v>
      </c>
      <c r="I7" s="54">
        <f>STOCK[[#This Row],[Precio Venta Ideal (x1.5)]]</f>
        <v>32.3658333333333</v>
      </c>
      <c r="J7" s="71">
        <v>1</v>
      </c>
      <c r="K7" s="71">
        <f>SUMIFS(VENTAS[Cantidad],VENTAS[Código del producto Vendido],STOCK[[#This Row],[Code]])</f>
        <v>1</v>
      </c>
      <c r="L7" s="71">
        <f>STOCK[[#This Row],[Entradas]]-STOCK[[#This Row],[Salidas]]</f>
        <v>0</v>
      </c>
      <c r="M7" s="54">
        <f>STOCK[[#This Row],[Precio Final]]*10%</f>
        <v>3</v>
      </c>
      <c r="N7" s="54">
        <v>238</v>
      </c>
      <c r="O7" s="54">
        <v>18</v>
      </c>
      <c r="P7" s="54">
        <v>13.2222222222222</v>
      </c>
      <c r="Q7" s="71">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53" t="s">
        <v>52</v>
      </c>
      <c r="F8" s="53" t="s">
        <v>40</v>
      </c>
      <c r="G8" s="53" t="s">
        <v>36</v>
      </c>
      <c r="H8" s="53">
        <f>STOCK[[#This Row],[Precio Final]]</f>
        <v>15</v>
      </c>
      <c r="I8" s="53">
        <f>STOCK[[#This Row],[Precio Venta Ideal (x1.5)]]</f>
        <v>17.345</v>
      </c>
      <c r="J8" s="70">
        <v>2</v>
      </c>
      <c r="K8" s="70">
        <f>SUMIFS(VENTAS[Cantidad],VENTAS[Código del producto Vendido],STOCK[[#This Row],[Code]])</f>
        <v>2</v>
      </c>
      <c r="L8" s="70">
        <f>STOCK[[#This Row],[Entradas]]-STOCK[[#This Row],[Salidas]]</f>
        <v>0</v>
      </c>
      <c r="M8" s="53">
        <f>STOCK[[#This Row],[Precio Final]]*10%</f>
        <v>1.5</v>
      </c>
      <c r="N8" s="53">
        <v>123</v>
      </c>
      <c r="O8" s="53">
        <v>18</v>
      </c>
      <c r="P8" s="53">
        <v>6.83333333333333</v>
      </c>
      <c r="Q8" s="70">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54" t="s">
        <v>55</v>
      </c>
      <c r="F9" s="54" t="s">
        <v>49</v>
      </c>
      <c r="G9" s="54" t="s">
        <v>36</v>
      </c>
      <c r="H9" s="54">
        <f>STOCK[[#This Row],[Precio Final]]</f>
        <v>15</v>
      </c>
      <c r="I9" s="54">
        <f>STOCK[[#This Row],[Precio Venta Ideal (x1.5)]]</f>
        <v>17.345</v>
      </c>
      <c r="J9" s="71">
        <v>2</v>
      </c>
      <c r="K9" s="71">
        <f>SUMIFS(VENTAS[Cantidad],VENTAS[Código del producto Vendido],STOCK[[#This Row],[Code]])</f>
        <v>2</v>
      </c>
      <c r="L9" s="71">
        <f>STOCK[[#This Row],[Entradas]]-STOCK[[#This Row],[Salidas]]</f>
        <v>0</v>
      </c>
      <c r="M9" s="54">
        <f>STOCK[[#This Row],[Precio Final]]*10%</f>
        <v>1.5</v>
      </c>
      <c r="N9" s="54">
        <v>123</v>
      </c>
      <c r="O9" s="54">
        <v>18</v>
      </c>
      <c r="P9" s="54">
        <v>6.83333333333333</v>
      </c>
      <c r="Q9" s="71">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53" t="s">
        <v>57</v>
      </c>
      <c r="F10" s="53" t="s">
        <v>46</v>
      </c>
      <c r="G10" s="53" t="s">
        <v>36</v>
      </c>
      <c r="H10" s="53">
        <f>STOCK[[#This Row],[Precio Final]]</f>
        <v>15</v>
      </c>
      <c r="I10" s="53">
        <f>STOCK[[#This Row],[Precio Venta Ideal (x1.5)]]</f>
        <v>17.345</v>
      </c>
      <c r="J10" s="70">
        <v>2</v>
      </c>
      <c r="K10" s="70">
        <f>SUMIFS(VENTAS[Cantidad],VENTAS[Código del producto Vendido],STOCK[[#This Row],[Code]])</f>
        <v>2</v>
      </c>
      <c r="L10" s="70">
        <f>STOCK[[#This Row],[Entradas]]-STOCK[[#This Row],[Salidas]]</f>
        <v>0</v>
      </c>
      <c r="M10" s="53">
        <f>STOCK[[#This Row],[Precio Final]]*10%</f>
        <v>1.5</v>
      </c>
      <c r="N10" s="53">
        <v>123</v>
      </c>
      <c r="O10" s="53">
        <v>18</v>
      </c>
      <c r="P10" s="53">
        <v>6.83333333333333</v>
      </c>
      <c r="Q10" s="70">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54" t="s">
        <v>59</v>
      </c>
      <c r="F11" s="54" t="s">
        <v>46</v>
      </c>
      <c r="G11" s="54" t="s">
        <v>36</v>
      </c>
      <c r="H11" s="54">
        <f>STOCK[[#This Row],[Precio Final]]</f>
        <v>28</v>
      </c>
      <c r="I11" s="54">
        <f>STOCK[[#This Row],[Precio Venta Ideal (x1.5)]]</f>
        <v>28.0750000000001</v>
      </c>
      <c r="J11" s="71">
        <v>1</v>
      </c>
      <c r="K11" s="71">
        <f>SUMIFS(VENTAS[Cantidad],VENTAS[Código del producto Vendido],STOCK[[#This Row],[Code]])</f>
        <v>1</v>
      </c>
      <c r="L11" s="71">
        <f>STOCK[[#This Row],[Entradas]]-STOCK[[#This Row],[Salidas]]</f>
        <v>0</v>
      </c>
      <c r="M11" s="54">
        <f>STOCK[[#This Row],[Precio Final]]*10%</f>
        <v>2.8</v>
      </c>
      <c r="N11" s="54">
        <v>210</v>
      </c>
      <c r="O11" s="54">
        <v>18</v>
      </c>
      <c r="P11" s="54">
        <v>11.6666666666667</v>
      </c>
      <c r="Q11" s="71">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53" t="s">
        <v>61</v>
      </c>
      <c r="F12" s="53" t="s">
        <v>62</v>
      </c>
      <c r="G12" s="53" t="s">
        <v>36</v>
      </c>
      <c r="H12" s="53">
        <f>STOCK[[#This Row],[Precio Final]]</f>
        <v>25</v>
      </c>
      <c r="I12" s="53">
        <f>STOCK[[#This Row],[Precio Venta Ideal (x1.5)]]</f>
        <v>25.4925</v>
      </c>
      <c r="J12" s="70">
        <v>2</v>
      </c>
      <c r="K12" s="70">
        <f>SUMIFS(VENTAS[Cantidad],VENTAS[Código del producto Vendido],STOCK[[#This Row],[Code]])</f>
        <v>2</v>
      </c>
      <c r="L12" s="70">
        <f>STOCK[[#This Row],[Entradas]]-STOCK[[#This Row],[Salidas]]</f>
        <v>0</v>
      </c>
      <c r="M12" s="53">
        <f>STOCK[[#This Row],[Precio Final]]*10%</f>
        <v>2.5</v>
      </c>
      <c r="N12" s="53">
        <v>189</v>
      </c>
      <c r="O12" s="53">
        <v>18</v>
      </c>
      <c r="P12" s="53">
        <v>10.5</v>
      </c>
      <c r="Q12" s="70">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54" t="s">
        <v>61</v>
      </c>
      <c r="F13" s="54" t="s">
        <v>49</v>
      </c>
      <c r="G13" s="54" t="s">
        <v>36</v>
      </c>
      <c r="H13" s="54">
        <f>STOCK[[#This Row],[Precio Final]]</f>
        <v>22</v>
      </c>
      <c r="I13" s="54">
        <f>STOCK[[#This Row],[Precio Venta Ideal (x1.5)]]</f>
        <v>25.0425</v>
      </c>
      <c r="J13" s="71">
        <v>2</v>
      </c>
      <c r="K13" s="71">
        <f>SUMIFS(VENTAS[Cantidad],VENTAS[Código del producto Vendido],STOCK[[#This Row],[Code]])</f>
        <v>2</v>
      </c>
      <c r="L13" s="71">
        <f>STOCK[[#This Row],[Entradas]]-STOCK[[#This Row],[Salidas]]</f>
        <v>0</v>
      </c>
      <c r="M13" s="54">
        <f>STOCK[[#This Row],[Precio Final]]*10%</f>
        <v>2.2</v>
      </c>
      <c r="N13" s="54">
        <v>189</v>
      </c>
      <c r="O13" s="54">
        <v>18</v>
      </c>
      <c r="P13" s="54">
        <v>10.5</v>
      </c>
      <c r="Q13" s="71">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53" t="s">
        <v>65</v>
      </c>
      <c r="F14" s="53" t="s">
        <v>62</v>
      </c>
      <c r="G14" s="53" t="s">
        <v>36</v>
      </c>
      <c r="H14" s="53">
        <f>STOCK[[#This Row],[Precio Final]]</f>
        <v>17</v>
      </c>
      <c r="I14" s="53">
        <f>STOCK[[#This Row],[Precio Venta Ideal (x1.5)]]</f>
        <v>21.145</v>
      </c>
      <c r="J14" s="70">
        <v>1</v>
      </c>
      <c r="K14" s="70">
        <f>SUMIFS(VENTAS[Cantidad],VENTAS[Código del producto Vendido],STOCK[[#This Row],[Code]])</f>
        <v>1</v>
      </c>
      <c r="L14" s="70">
        <f>STOCK[[#This Row],[Entradas]]-STOCK[[#This Row],[Salidas]]</f>
        <v>0</v>
      </c>
      <c r="M14" s="53">
        <f>STOCK[[#This Row],[Precio Final]]*10%</f>
        <v>1.7</v>
      </c>
      <c r="N14" s="53">
        <v>165</v>
      </c>
      <c r="O14" s="53">
        <v>18</v>
      </c>
      <c r="P14" s="53">
        <v>9.16666666666667</v>
      </c>
      <c r="Q14" s="70">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54" t="s">
        <v>67</v>
      </c>
      <c r="F15" s="54" t="s">
        <v>62</v>
      </c>
      <c r="G15" s="54" t="s">
        <v>36</v>
      </c>
      <c r="H15" s="54">
        <f>STOCK[[#This Row],[Precio Final]]</f>
        <v>22</v>
      </c>
      <c r="I15" s="54">
        <f>STOCK[[#This Row],[Precio Venta Ideal (x1.5)]]</f>
        <v>21.2575</v>
      </c>
      <c r="J15" s="71">
        <v>1</v>
      </c>
      <c r="K15" s="71">
        <f>SUMIFS(VENTAS[Cantidad],VENTAS[Código del producto Vendido],STOCK[[#This Row],[Code]])</f>
        <v>1</v>
      </c>
      <c r="L15" s="71">
        <f>STOCK[[#This Row],[Entradas]]-STOCK[[#This Row],[Salidas]]</f>
        <v>0</v>
      </c>
      <c r="M15" s="54">
        <f>STOCK[[#This Row],[Precio Final]]*10%</f>
        <v>2.2</v>
      </c>
      <c r="N15" s="54">
        <v>165</v>
      </c>
      <c r="O15" s="54">
        <v>18</v>
      </c>
      <c r="P15" s="54">
        <v>9.16666666666667</v>
      </c>
      <c r="Q15" s="71">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53" t="s">
        <v>69</v>
      </c>
      <c r="F16" s="53" t="s">
        <v>49</v>
      </c>
      <c r="G16" s="53" t="s">
        <v>36</v>
      </c>
      <c r="H16" s="53">
        <f>STOCK[[#This Row],[Precio Final]]</f>
        <v>18</v>
      </c>
      <c r="I16" s="53">
        <f>STOCK[[#This Row],[Precio Venta Ideal (x1.5)]]</f>
        <v>21.1625</v>
      </c>
      <c r="J16" s="70">
        <v>1</v>
      </c>
      <c r="K16" s="70">
        <f>SUMIFS(VENTAS[Cantidad],VENTAS[Código del producto Vendido],STOCK[[#This Row],[Code]])</f>
        <v>1</v>
      </c>
      <c r="L16" s="70">
        <f>STOCK[[#This Row],[Entradas]]-STOCK[[#This Row],[Salidas]]</f>
        <v>0</v>
      </c>
      <c r="M16" s="53">
        <f>STOCK[[#This Row],[Precio Final]]*10%</f>
        <v>1.8</v>
      </c>
      <c r="N16" s="53">
        <v>168</v>
      </c>
      <c r="O16" s="53">
        <v>18</v>
      </c>
      <c r="P16" s="53">
        <v>9.33333333333333</v>
      </c>
      <c r="Q16" s="70">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54" t="s">
        <v>69</v>
      </c>
      <c r="F17" s="54" t="s">
        <v>40</v>
      </c>
      <c r="G17" s="54" t="s">
        <v>36</v>
      </c>
      <c r="H17" s="54">
        <f>STOCK[[#This Row],[Precio Final]]</f>
        <v>18</v>
      </c>
      <c r="I17" s="54">
        <f>STOCK[[#This Row],[Precio Venta Ideal (x1.5)]]</f>
        <v>21.1625</v>
      </c>
      <c r="J17" s="71">
        <v>1</v>
      </c>
      <c r="K17" s="71">
        <f>SUMIFS(VENTAS[Cantidad],VENTAS[Código del producto Vendido],STOCK[[#This Row],[Code]])</f>
        <v>1</v>
      </c>
      <c r="L17" s="71">
        <f>STOCK[[#This Row],[Entradas]]-STOCK[[#This Row],[Salidas]]</f>
        <v>0</v>
      </c>
      <c r="M17" s="54">
        <f>STOCK[[#This Row],[Precio Final]]*10%</f>
        <v>1.8</v>
      </c>
      <c r="N17" s="54">
        <v>168</v>
      </c>
      <c r="O17" s="54">
        <v>18</v>
      </c>
      <c r="P17" s="54">
        <v>9.33333333333333</v>
      </c>
      <c r="Q17" s="71">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53" t="s">
        <v>72</v>
      </c>
      <c r="F18" s="53" t="s">
        <v>62</v>
      </c>
      <c r="G18" s="53" t="s">
        <v>36</v>
      </c>
      <c r="H18" s="53">
        <f>STOCK[[#This Row],[Precio Final]]</f>
        <v>25</v>
      </c>
      <c r="I18" s="53">
        <f>STOCK[[#This Row],[Precio Venta Ideal (x1.5)]]</f>
        <v>27.2766666666666</v>
      </c>
      <c r="J18" s="70">
        <v>1</v>
      </c>
      <c r="K18" s="70">
        <f>SUMIFS(VENTAS[Cantidad],VENTAS[Código del producto Vendido],STOCK[[#This Row],[Code]])</f>
        <v>1</v>
      </c>
      <c r="L18" s="70">
        <f>STOCK[[#This Row],[Entradas]]-STOCK[[#This Row],[Salidas]]</f>
        <v>0</v>
      </c>
      <c r="M18" s="53">
        <f>STOCK[[#This Row],[Precio Final]]*10%</f>
        <v>2.5</v>
      </c>
      <c r="N18" s="53">
        <v>215</v>
      </c>
      <c r="O18" s="53">
        <v>18</v>
      </c>
      <c r="P18" s="53">
        <v>11.9444444444444</v>
      </c>
      <c r="Q18" s="70">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54" t="s">
        <v>74</v>
      </c>
      <c r="F19" s="54" t="s">
        <v>42</v>
      </c>
      <c r="G19" s="54" t="s">
        <v>36</v>
      </c>
      <c r="H19" s="54">
        <f>STOCK[[#This Row],[Precio Final]]</f>
        <v>25</v>
      </c>
      <c r="I19" s="54">
        <f>STOCK[[#This Row],[Precio Venta Ideal (x1.5)]]</f>
        <v>33.5083333333333</v>
      </c>
      <c r="J19" s="71">
        <v>1</v>
      </c>
      <c r="K19" s="71">
        <f>SUMIFS(VENTAS[Cantidad],VENTAS[Código del producto Vendido],STOCK[[#This Row],[Code]])</f>
        <v>1</v>
      </c>
      <c r="L19" s="71">
        <f>STOCK[[#This Row],[Entradas]]-STOCK[[#This Row],[Salidas]]</f>
        <v>0</v>
      </c>
      <c r="M19" s="54">
        <f>STOCK[[#This Row],[Precio Final]]*10%</f>
        <v>2.5</v>
      </c>
      <c r="N19" s="54">
        <v>250</v>
      </c>
      <c r="O19" s="54">
        <v>18</v>
      </c>
      <c r="P19" s="54">
        <v>13.8888888888889</v>
      </c>
      <c r="Q19" s="71">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53" t="s">
        <v>76</v>
      </c>
      <c r="F20" s="53" t="s">
        <v>42</v>
      </c>
      <c r="G20" s="53" t="s">
        <v>36</v>
      </c>
      <c r="H20" s="53">
        <f>STOCK[[#This Row],[Precio Final]]</f>
        <v>28</v>
      </c>
      <c r="I20" s="53">
        <f>STOCK[[#This Row],[Precio Venta Ideal (x1.5)]]</f>
        <v>31.2808333333333</v>
      </c>
      <c r="J20" s="70">
        <v>2</v>
      </c>
      <c r="K20" s="70">
        <f>SUMIFS(VENTAS[Cantidad],VENTAS[Código del producto Vendido],STOCK[[#This Row],[Code]])</f>
        <v>2</v>
      </c>
      <c r="L20" s="70">
        <f>STOCK[[#This Row],[Entradas]]-STOCK[[#This Row],[Salidas]]</f>
        <v>0</v>
      </c>
      <c r="M20" s="53">
        <f>STOCK[[#This Row],[Precio Final]]*10%</f>
        <v>2.8</v>
      </c>
      <c r="N20" s="53">
        <v>250</v>
      </c>
      <c r="O20" s="53">
        <v>18</v>
      </c>
      <c r="P20" s="53">
        <v>13.8888888888889</v>
      </c>
      <c r="Q20" s="70">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54" t="s">
        <v>78</v>
      </c>
      <c r="F21" s="54" t="s">
        <v>40</v>
      </c>
      <c r="G21" s="54" t="s">
        <v>36</v>
      </c>
      <c r="H21" s="54">
        <f>STOCK[[#This Row],[Precio Final]]</f>
        <v>15</v>
      </c>
      <c r="I21" s="54">
        <f>STOCK[[#This Row],[Precio Venta Ideal (x1.5)]]</f>
        <v>16.2908333333333</v>
      </c>
      <c r="J21" s="71">
        <v>2</v>
      </c>
      <c r="K21" s="71">
        <f>SUMIFS(VENTAS[Cantidad],VENTAS[Código del producto Vendido],STOCK[[#This Row],[Code]])</f>
        <v>2</v>
      </c>
      <c r="L21" s="71">
        <f>STOCK[[#This Row],[Entradas]]-STOCK[[#This Row],[Salidas]]</f>
        <v>0</v>
      </c>
      <c r="M21" s="54">
        <f>STOCK[[#This Row],[Precio Final]]*10%</f>
        <v>1.5</v>
      </c>
      <c r="N21" s="54">
        <v>118</v>
      </c>
      <c r="O21" s="54">
        <v>18</v>
      </c>
      <c r="P21" s="54">
        <v>6.55555555555556</v>
      </c>
      <c r="Q21" s="71">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53" t="s">
        <v>80</v>
      </c>
      <c r="F22" s="53" t="s">
        <v>42</v>
      </c>
      <c r="G22" s="53" t="s">
        <v>36</v>
      </c>
      <c r="H22" s="53">
        <f>STOCK[[#This Row],[Precio Final]]</f>
        <v>22</v>
      </c>
      <c r="I22" s="53">
        <f>STOCK[[#This Row],[Precio Venta Ideal (x1.5)]]</f>
        <v>25.425</v>
      </c>
      <c r="J22" s="70">
        <v>1</v>
      </c>
      <c r="K22" s="70">
        <f>SUMIFS(VENTAS[Cantidad],VENTAS[Código del producto Vendido],STOCK[[#This Row],[Code]])</f>
        <v>1</v>
      </c>
      <c r="L22" s="70">
        <f>STOCK[[#This Row],[Entradas]]-STOCK[[#This Row],[Salidas]]</f>
        <v>0</v>
      </c>
      <c r="M22" s="53">
        <f>STOCK[[#This Row],[Precio Final]]*10%</f>
        <v>2.2</v>
      </c>
      <c r="N22" s="53">
        <v>189</v>
      </c>
      <c r="O22" s="53">
        <v>18</v>
      </c>
      <c r="P22" s="53">
        <v>10.5</v>
      </c>
      <c r="Q22" s="70">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54" t="s">
        <v>78</v>
      </c>
      <c r="F23" s="54" t="s">
        <v>83</v>
      </c>
      <c r="G23" s="54" t="s">
        <v>36</v>
      </c>
      <c r="H23" s="54">
        <f>STOCK[[#This Row],[Precio Final]]</f>
        <v>15</v>
      </c>
      <c r="I23" s="54">
        <f>STOCK[[#This Row],[Precio Venta Ideal (x1.5)]]</f>
        <v>17.1833333333333</v>
      </c>
      <c r="J23" s="71">
        <v>2</v>
      </c>
      <c r="K23" s="71">
        <f>SUMIFS(VENTAS[Cantidad],VENTAS[Código del producto Vendido],STOCK[[#This Row],[Code]])</f>
        <v>2</v>
      </c>
      <c r="L23" s="71">
        <f>STOCK[[#This Row],[Entradas]]-STOCK[[#This Row],[Salidas]]</f>
        <v>0</v>
      </c>
      <c r="M23" s="54">
        <f>STOCK[[#This Row],[Precio Final]]*10%</f>
        <v>1.5</v>
      </c>
      <c r="N23" s="54">
        <v>118</v>
      </c>
      <c r="O23" s="54">
        <v>18</v>
      </c>
      <c r="P23" s="54">
        <v>6.55555555555556</v>
      </c>
      <c r="Q23" s="71">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53" t="s">
        <v>85</v>
      </c>
      <c r="F24" s="53" t="s">
        <v>42</v>
      </c>
      <c r="G24" s="53" t="s">
        <v>36</v>
      </c>
      <c r="H24" s="53">
        <f>STOCK[[#This Row],[Precio Final]]</f>
        <v>15</v>
      </c>
      <c r="I24" s="53">
        <f>STOCK[[#This Row],[Precio Venta Ideal (x1.5)]]</f>
        <v>22.2475</v>
      </c>
      <c r="J24" s="70">
        <v>1</v>
      </c>
      <c r="K24" s="70">
        <f>SUMIFS(VENTAS[Cantidad],VENTAS[Código del producto Vendido],STOCK[[#This Row],[Code]])</f>
        <v>1</v>
      </c>
      <c r="L24" s="70">
        <f>STOCK[[#This Row],[Entradas]]-STOCK[[#This Row],[Salidas]]</f>
        <v>0</v>
      </c>
      <c r="M24" s="53">
        <f>STOCK[[#This Row],[Precio Final]]*10%</f>
        <v>1.5</v>
      </c>
      <c r="N24" s="53">
        <v>165</v>
      </c>
      <c r="O24" s="53">
        <v>18</v>
      </c>
      <c r="P24" s="53">
        <v>9.16666666666667</v>
      </c>
      <c r="Q24" s="70">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54" t="s">
        <v>87</v>
      </c>
      <c r="F25" s="54" t="s">
        <v>88</v>
      </c>
      <c r="G25" s="54" t="s">
        <v>36</v>
      </c>
      <c r="H25" s="54">
        <f>STOCK[[#This Row],[Precio Final]]</f>
        <v>18</v>
      </c>
      <c r="I25" s="54">
        <f>STOCK[[#This Row],[Precio Venta Ideal (x1.5)]]</f>
        <v>21.7458333333333</v>
      </c>
      <c r="J25" s="71">
        <v>1</v>
      </c>
      <c r="K25" s="71">
        <f>SUMIFS(VENTAS[Cantidad],VENTAS[Código del producto Vendido],STOCK[[#This Row],[Code]])</f>
        <v>1</v>
      </c>
      <c r="L25" s="71">
        <f>STOCK[[#This Row],[Entradas]]-STOCK[[#This Row],[Salidas]]</f>
        <v>0</v>
      </c>
      <c r="M25" s="54">
        <f>STOCK[[#This Row],[Precio Final]]*10%</f>
        <v>1.8</v>
      </c>
      <c r="N25" s="54">
        <v>175</v>
      </c>
      <c r="O25" s="54">
        <v>18</v>
      </c>
      <c r="P25" s="54">
        <v>9.72222222222222</v>
      </c>
      <c r="Q25" s="71">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53" t="s">
        <v>69</v>
      </c>
      <c r="F26" s="53" t="s">
        <v>40</v>
      </c>
      <c r="G26" s="53" t="s">
        <v>36</v>
      </c>
      <c r="H26" s="53">
        <f>STOCK[[#This Row],[Precio Final]]</f>
        <v>18</v>
      </c>
      <c r="I26" s="53">
        <f>STOCK[[#This Row],[Precio Venta Ideal (x1.5)]]</f>
        <v>21.7458333333333</v>
      </c>
      <c r="J26" s="70">
        <v>1</v>
      </c>
      <c r="K26" s="70">
        <f>SUMIFS(VENTAS[Cantidad],VENTAS[Código del producto Vendido],STOCK[[#This Row],[Code]])</f>
        <v>1</v>
      </c>
      <c r="L26" s="70">
        <f>STOCK[[#This Row],[Entradas]]-STOCK[[#This Row],[Salidas]]</f>
        <v>0</v>
      </c>
      <c r="M26" s="53">
        <f>STOCK[[#This Row],[Precio Final]]*10%</f>
        <v>1.8</v>
      </c>
      <c r="N26" s="53">
        <v>175</v>
      </c>
      <c r="O26" s="53">
        <v>18</v>
      </c>
      <c r="P26" s="53">
        <v>9.72222222222222</v>
      </c>
      <c r="Q26" s="70">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54" t="s">
        <v>91</v>
      </c>
      <c r="F27" s="54" t="s">
        <v>92</v>
      </c>
      <c r="G27" s="54" t="s">
        <v>36</v>
      </c>
      <c r="H27" s="54">
        <f>STOCK[[#This Row],[Precio Final]]</f>
        <v>28</v>
      </c>
      <c r="I27" s="54">
        <f>STOCK[[#This Row],[Precio Venta Ideal (x1.5)]]</f>
        <v>35.8208333333334</v>
      </c>
      <c r="J27" s="71">
        <v>1</v>
      </c>
      <c r="K27" s="71">
        <f>SUMIFS(VENTAS[Cantidad],VENTAS[Código del producto Vendido],STOCK[[#This Row],[Code]])</f>
        <v>1</v>
      </c>
      <c r="L27" s="71">
        <f>STOCK[[#This Row],[Entradas]]-STOCK[[#This Row],[Salidas]]</f>
        <v>0</v>
      </c>
      <c r="M27" s="54">
        <f>STOCK[[#This Row],[Precio Final]]*10%</f>
        <v>2.8</v>
      </c>
      <c r="N27" s="54">
        <v>280</v>
      </c>
      <c r="O27" s="54">
        <v>18</v>
      </c>
      <c r="P27" s="54">
        <v>15.5555555555556</v>
      </c>
      <c r="Q27" s="71">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53" t="s">
        <v>94</v>
      </c>
      <c r="F28" s="53" t="s">
        <v>49</v>
      </c>
      <c r="G28" s="53" t="s">
        <v>36</v>
      </c>
      <c r="H28" s="53">
        <f>STOCK[[#This Row],[Precio Final]]</f>
        <v>22</v>
      </c>
      <c r="I28" s="53">
        <f>STOCK[[#This Row],[Precio Venta Ideal (x1.5)]]</f>
        <v>24.3949999999999</v>
      </c>
      <c r="J28" s="70">
        <v>1</v>
      </c>
      <c r="K28" s="70">
        <f>SUMIFS(VENTAS[Cantidad],VENTAS[Código del producto Vendido],STOCK[[#This Row],[Code]])</f>
        <v>1</v>
      </c>
      <c r="L28" s="70">
        <f>STOCK[[#This Row],[Entradas]]-STOCK[[#This Row],[Salidas]]</f>
        <v>0</v>
      </c>
      <c r="M28" s="53">
        <f>STOCK[[#This Row],[Precio Final]]*10%</f>
        <v>2.2</v>
      </c>
      <c r="N28" s="53">
        <v>195</v>
      </c>
      <c r="O28" s="53">
        <v>18</v>
      </c>
      <c r="P28" s="53">
        <v>10.8333333333333</v>
      </c>
      <c r="Q28" s="70">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54" t="s">
        <v>96</v>
      </c>
      <c r="F29" s="54" t="s">
        <v>46</v>
      </c>
      <c r="G29" s="54" t="s">
        <v>36</v>
      </c>
      <c r="H29" s="54">
        <f>STOCK[[#This Row],[Precio Final]]</f>
        <v>25</v>
      </c>
      <c r="I29" s="54">
        <f>STOCK[[#This Row],[Precio Venta Ideal (x1.5)]]</f>
        <v>25.3891666666666</v>
      </c>
      <c r="J29" s="71">
        <v>1</v>
      </c>
      <c r="K29" s="71">
        <f>SUMIFS(VENTAS[Cantidad],VENTAS[Código del producto Vendido],STOCK[[#This Row],[Code]])</f>
        <v>1</v>
      </c>
      <c r="L29" s="71">
        <f>STOCK[[#This Row],[Entradas]]-STOCK[[#This Row],[Salidas]]</f>
        <v>0</v>
      </c>
      <c r="M29" s="54">
        <f>STOCK[[#This Row],[Precio Final]]*10%</f>
        <v>2.5</v>
      </c>
      <c r="N29" s="54">
        <v>200</v>
      </c>
      <c r="O29" s="54">
        <v>18</v>
      </c>
      <c r="P29" s="54">
        <v>11.1111111111111</v>
      </c>
      <c r="Q29" s="71">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53" t="s">
        <v>98</v>
      </c>
      <c r="F30" s="53" t="s">
        <v>62</v>
      </c>
      <c r="G30" s="53" t="s">
        <v>36</v>
      </c>
      <c r="H30" s="53">
        <f>STOCK[[#This Row],[Precio Final]]</f>
        <v>25</v>
      </c>
      <c r="I30" s="53">
        <f>STOCK[[#This Row],[Precio Venta Ideal (x1.5)]]</f>
        <v>26.4433333333334</v>
      </c>
      <c r="J30" s="70">
        <v>1</v>
      </c>
      <c r="K30" s="70">
        <f>SUMIFS(VENTAS[Cantidad],VENTAS[Código del producto Vendido],STOCK[[#This Row],[Code]])</f>
        <v>1</v>
      </c>
      <c r="L30" s="70">
        <f>STOCK[[#This Row],[Entradas]]-STOCK[[#This Row],[Salidas]]</f>
        <v>0</v>
      </c>
      <c r="M30" s="53">
        <f>STOCK[[#This Row],[Precio Final]]*10%</f>
        <v>2.5</v>
      </c>
      <c r="N30" s="53">
        <v>205</v>
      </c>
      <c r="O30" s="53">
        <v>18</v>
      </c>
      <c r="P30" s="53">
        <v>11.3888888888889</v>
      </c>
      <c r="Q30" s="70">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54" t="s">
        <v>100</v>
      </c>
      <c r="F31" s="54" t="s">
        <v>49</v>
      </c>
      <c r="G31" s="54" t="s">
        <v>36</v>
      </c>
      <c r="H31" s="54">
        <f>STOCK[[#This Row],[Precio Final]]</f>
        <v>25</v>
      </c>
      <c r="I31" s="54">
        <f>STOCK[[#This Row],[Precio Venta Ideal (x1.5)]]</f>
        <v>27.7183333333333</v>
      </c>
      <c r="J31" s="71">
        <v>3</v>
      </c>
      <c r="K31" s="71">
        <f>SUMIFS(VENTAS[Cantidad],VENTAS[Código del producto Vendido],STOCK[[#This Row],[Code]])</f>
        <v>3</v>
      </c>
      <c r="L31" s="71">
        <f>STOCK[[#This Row],[Entradas]]-STOCK[[#This Row],[Salidas]]</f>
        <v>0</v>
      </c>
      <c r="M31" s="54">
        <f>STOCK[[#This Row],[Precio Final]]*10%</f>
        <v>2.5</v>
      </c>
      <c r="N31" s="54">
        <v>205</v>
      </c>
      <c r="O31" s="54">
        <v>18</v>
      </c>
      <c r="P31" s="54">
        <v>11.3888888888889</v>
      </c>
      <c r="Q31" s="71">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53" t="s">
        <v>100</v>
      </c>
      <c r="F32" s="53" t="s">
        <v>46</v>
      </c>
      <c r="G32" s="53" t="s">
        <v>36</v>
      </c>
      <c r="H32" s="53">
        <f>STOCK[[#This Row],[Precio Final]]</f>
        <v>25</v>
      </c>
      <c r="I32" s="53">
        <f>STOCK[[#This Row],[Precio Venta Ideal (x1.5)]]</f>
        <v>27.7183333333333</v>
      </c>
      <c r="J32" s="70">
        <v>1</v>
      </c>
      <c r="K32" s="70">
        <f>SUMIFS(VENTAS[Cantidad],VENTAS[Código del producto Vendido],STOCK[[#This Row],[Code]])</f>
        <v>1</v>
      </c>
      <c r="L32" s="70">
        <f>STOCK[[#This Row],[Entradas]]-STOCK[[#This Row],[Salidas]]</f>
        <v>0</v>
      </c>
      <c r="M32" s="53">
        <f>STOCK[[#This Row],[Precio Final]]*10%</f>
        <v>2.5</v>
      </c>
      <c r="N32" s="53">
        <v>205</v>
      </c>
      <c r="O32" s="53">
        <v>18</v>
      </c>
      <c r="P32" s="53">
        <v>11.3888888888889</v>
      </c>
      <c r="Q32" s="70">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54" t="s">
        <v>78</v>
      </c>
      <c r="F33" s="54" t="s">
        <v>88</v>
      </c>
      <c r="G33" s="54" t="s">
        <v>36</v>
      </c>
      <c r="H33" s="54">
        <f>STOCK[[#This Row],[Precio Final]]</f>
        <v>15</v>
      </c>
      <c r="I33" s="54">
        <f>STOCK[[#This Row],[Precio Venta Ideal (x1.5)]]</f>
        <v>16.9283333333333</v>
      </c>
      <c r="J33" s="71">
        <v>4</v>
      </c>
      <c r="K33" s="71">
        <f>SUMIFS(VENTAS[Cantidad],VENTAS[Código del producto Vendido],STOCK[[#This Row],[Code]])</f>
        <v>4</v>
      </c>
      <c r="L33" s="71">
        <f>STOCK[[#This Row],[Entradas]]-STOCK[[#This Row],[Salidas]]</f>
        <v>0</v>
      </c>
      <c r="M33" s="54">
        <f>STOCK[[#This Row],[Precio Final]]*10%</f>
        <v>1.5</v>
      </c>
      <c r="N33" s="54">
        <v>118</v>
      </c>
      <c r="O33" s="54">
        <v>18</v>
      </c>
      <c r="P33" s="54">
        <v>6.55555555555556</v>
      </c>
      <c r="Q33" s="71">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53" t="s">
        <v>105</v>
      </c>
      <c r="F34" s="53" t="s">
        <v>49</v>
      </c>
      <c r="G34" s="53" t="s">
        <v>36</v>
      </c>
      <c r="H34" s="53">
        <f>STOCK[[#This Row],[Precio Final]]</f>
        <v>22</v>
      </c>
      <c r="I34" s="53">
        <f>STOCK[[#This Row],[Precio Venta Ideal (x1.5)]]</f>
        <v>25.5425</v>
      </c>
      <c r="J34" s="70">
        <v>1</v>
      </c>
      <c r="K34" s="70">
        <f>SUMIFS(VENTAS[Cantidad],VENTAS[Código del producto Vendido],STOCK[[#This Row],[Code]])</f>
        <v>1</v>
      </c>
      <c r="L34" s="70">
        <f>STOCK[[#This Row],[Entradas]]-STOCK[[#This Row],[Salidas]]</f>
        <v>0</v>
      </c>
      <c r="M34" s="53">
        <f>STOCK[[#This Row],[Precio Final]]*10%</f>
        <v>2.2</v>
      </c>
      <c r="N34" s="53">
        <v>195</v>
      </c>
      <c r="O34" s="53">
        <v>18</v>
      </c>
      <c r="P34" s="53">
        <v>10.8333333333333</v>
      </c>
      <c r="Q34" s="70">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54" t="s">
        <v>69</v>
      </c>
      <c r="F35" s="54" t="s">
        <v>49</v>
      </c>
      <c r="G35" s="54" t="s">
        <v>36</v>
      </c>
      <c r="H35" s="54">
        <f>STOCK[[#This Row],[Precio Final]]</f>
        <v>18</v>
      </c>
      <c r="I35" s="54">
        <f>STOCK[[#This Row],[Precio Venta Ideal (x1.5)]]</f>
        <v>21.3291666666667</v>
      </c>
      <c r="J35" s="71">
        <v>1</v>
      </c>
      <c r="K35" s="71">
        <f>SUMIFS(VENTAS[Cantidad],VENTAS[Código del producto Vendido],STOCK[[#This Row],[Code]])</f>
        <v>1</v>
      </c>
      <c r="L35" s="71">
        <f>STOCK[[#This Row],[Entradas]]-STOCK[[#This Row],[Salidas]]</f>
        <v>0</v>
      </c>
      <c r="M35" s="54">
        <f>STOCK[[#This Row],[Precio Final]]*10%</f>
        <v>1.8</v>
      </c>
      <c r="N35" s="54">
        <v>170</v>
      </c>
      <c r="O35" s="54">
        <v>18</v>
      </c>
      <c r="P35" s="54">
        <v>9.44444444444444</v>
      </c>
      <c r="Q35" s="71">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53" t="s">
        <v>108</v>
      </c>
      <c r="F36" s="53" t="s">
        <v>40</v>
      </c>
      <c r="G36" s="53" t="s">
        <v>36</v>
      </c>
      <c r="H36" s="53">
        <f>STOCK[[#This Row],[Precio Final]]</f>
        <v>20</v>
      </c>
      <c r="I36" s="53">
        <f>STOCK[[#This Row],[Precio Venta Ideal (x1.5)]]</f>
        <v>21.6291666666667</v>
      </c>
      <c r="J36" s="70">
        <v>2</v>
      </c>
      <c r="K36" s="70">
        <f>SUMIFS(VENTAS[Cantidad],VENTAS[Código del producto Vendido],STOCK[[#This Row],[Code]])</f>
        <v>1</v>
      </c>
      <c r="L36" s="70">
        <f>STOCK[[#This Row],[Entradas]]-STOCK[[#This Row],[Salidas]]</f>
        <v>1</v>
      </c>
      <c r="M36" s="53">
        <f>STOCK[[#This Row],[Precio Final]]*10%</f>
        <v>2</v>
      </c>
      <c r="N36" s="53">
        <v>170</v>
      </c>
      <c r="O36" s="53">
        <v>18</v>
      </c>
      <c r="P36" s="53">
        <v>9.44444444444444</v>
      </c>
      <c r="Q36" s="70">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54" t="s">
        <v>110</v>
      </c>
      <c r="F37" s="54" t="s">
        <v>62</v>
      </c>
      <c r="G37" s="54" t="s">
        <v>36</v>
      </c>
      <c r="H37" s="54">
        <f>STOCK[[#This Row],[Precio Final]]</f>
        <v>25</v>
      </c>
      <c r="I37" s="54">
        <f>STOCK[[#This Row],[Precio Venta Ideal (x1.5)]]</f>
        <v>31.4683333333333</v>
      </c>
      <c r="J37" s="71">
        <v>1</v>
      </c>
      <c r="K37" s="71">
        <f>SUMIFS(VENTAS[Cantidad],VENTAS[Código del producto Vendido],STOCK[[#This Row],[Code]])</f>
        <v>1</v>
      </c>
      <c r="L37" s="71">
        <f>STOCK[[#This Row],[Entradas]]-STOCK[[#This Row],[Salidas]]</f>
        <v>0</v>
      </c>
      <c r="M37" s="54">
        <f>STOCK[[#This Row],[Precio Final]]*10%</f>
        <v>2.5</v>
      </c>
      <c r="N37" s="54">
        <v>250</v>
      </c>
      <c r="O37" s="54">
        <v>18</v>
      </c>
      <c r="P37" s="54">
        <v>13.8888888888889</v>
      </c>
      <c r="Q37" s="71">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53" t="s">
        <v>112</v>
      </c>
      <c r="F38" s="53" t="s">
        <v>83</v>
      </c>
      <c r="G38" s="53" t="s">
        <v>36</v>
      </c>
      <c r="H38" s="53">
        <f>STOCK[[#This Row],[Precio Final]]</f>
        <v>25</v>
      </c>
      <c r="I38" s="53">
        <f>STOCK[[#This Row],[Precio Venta Ideal (x1.5)]]</f>
        <v>32.4883333333334</v>
      </c>
      <c r="J38" s="70">
        <v>2</v>
      </c>
      <c r="K38" s="70">
        <f>SUMIFS(VENTAS[Cantidad],VENTAS[Código del producto Vendido],STOCK[[#This Row],[Code]])</f>
        <v>2</v>
      </c>
      <c r="L38" s="70">
        <f>STOCK[[#This Row],[Entradas]]-STOCK[[#This Row],[Salidas]]</f>
        <v>0</v>
      </c>
      <c r="M38" s="53">
        <f>STOCK[[#This Row],[Precio Final]]*10%</f>
        <v>2.5</v>
      </c>
      <c r="N38" s="53">
        <v>250</v>
      </c>
      <c r="O38" s="53">
        <v>18</v>
      </c>
      <c r="P38" s="53">
        <v>13.8888888888889</v>
      </c>
      <c r="Q38" s="70">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54" t="s">
        <v>39</v>
      </c>
      <c r="F39" s="54" t="s">
        <v>62</v>
      </c>
      <c r="G39" s="54" t="s">
        <v>36</v>
      </c>
      <c r="H39" s="54">
        <f>STOCK[[#This Row],[Precio Final]]</f>
        <v>28</v>
      </c>
      <c r="I39" s="54">
        <f>STOCK[[#This Row],[Precio Venta Ideal (x1.5)]]</f>
        <v>32.3008333333334</v>
      </c>
      <c r="J39" s="71">
        <v>1</v>
      </c>
      <c r="K39" s="71">
        <f>SUMIFS(VENTAS[Cantidad],VENTAS[Código del producto Vendido],STOCK[[#This Row],[Code]])</f>
        <v>1</v>
      </c>
      <c r="L39" s="71">
        <f>STOCK[[#This Row],[Entradas]]-STOCK[[#This Row],[Salidas]]</f>
        <v>0</v>
      </c>
      <c r="M39" s="54">
        <f>STOCK[[#This Row],[Precio Final]]*10%</f>
        <v>2.8</v>
      </c>
      <c r="N39" s="54">
        <v>250</v>
      </c>
      <c r="O39" s="54">
        <v>18</v>
      </c>
      <c r="P39" s="54">
        <v>13.8888888888889</v>
      </c>
      <c r="Q39" s="71">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53" t="s">
        <v>115</v>
      </c>
      <c r="F40" s="53" t="s">
        <v>49</v>
      </c>
      <c r="G40" s="53" t="s">
        <v>36</v>
      </c>
      <c r="H40" s="53">
        <f>STOCK[[#This Row],[Precio Final]]</f>
        <v>25</v>
      </c>
      <c r="I40" s="53">
        <f>STOCK[[#This Row],[Precio Venta Ideal (x1.5)]]</f>
        <v>24.8108333333334</v>
      </c>
      <c r="J40" s="70">
        <v>1</v>
      </c>
      <c r="K40" s="70">
        <f>SUMIFS(VENTAS[Cantidad],VENTAS[Código del producto Vendido],STOCK[[#This Row],[Code]])</f>
        <v>1</v>
      </c>
      <c r="L40" s="70">
        <f>STOCK[[#This Row],[Entradas]]-STOCK[[#This Row],[Salidas]]</f>
        <v>0</v>
      </c>
      <c r="M40" s="53">
        <f>STOCK[[#This Row],[Precio Final]]*10%</f>
        <v>2.5</v>
      </c>
      <c r="N40" s="53">
        <v>190</v>
      </c>
      <c r="O40" s="53">
        <v>18</v>
      </c>
      <c r="P40" s="53">
        <v>10.5555555555556</v>
      </c>
      <c r="Q40" s="70">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54" t="s">
        <v>80</v>
      </c>
      <c r="F41" s="54" t="s">
        <v>49</v>
      </c>
      <c r="G41" s="54" t="s">
        <v>36</v>
      </c>
      <c r="H41" s="54">
        <f>STOCK[[#This Row],[Precio Final]]</f>
        <v>22</v>
      </c>
      <c r="I41" s="54">
        <f>STOCK[[#This Row],[Precio Venta Ideal (x1.5)]]</f>
        <v>25.1258333333334</v>
      </c>
      <c r="J41" s="71">
        <v>1</v>
      </c>
      <c r="K41" s="71">
        <f>SUMIFS(VENTAS[Cantidad],VENTAS[Código del producto Vendido],STOCK[[#This Row],[Code]])</f>
        <v>1</v>
      </c>
      <c r="L41" s="71">
        <f>STOCK[[#This Row],[Entradas]]-STOCK[[#This Row],[Salidas]]</f>
        <v>0</v>
      </c>
      <c r="M41" s="54">
        <f>STOCK[[#This Row],[Precio Final]]*10%</f>
        <v>2.2</v>
      </c>
      <c r="N41" s="54">
        <v>190</v>
      </c>
      <c r="O41" s="54">
        <v>18</v>
      </c>
      <c r="P41" s="54">
        <v>10.5555555555556</v>
      </c>
      <c r="Q41" s="71">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53" t="s">
        <v>74</v>
      </c>
      <c r="F42" s="53" t="s">
        <v>49</v>
      </c>
      <c r="G42" s="53" t="s">
        <v>36</v>
      </c>
      <c r="H42" s="53">
        <f>STOCK[[#This Row],[Precio Final]]</f>
        <v>25</v>
      </c>
      <c r="I42" s="53">
        <f>STOCK[[#This Row],[Precio Venta Ideal (x1.5)]]</f>
        <v>30.7966666666667</v>
      </c>
      <c r="J42" s="70">
        <v>1</v>
      </c>
      <c r="K42" s="70">
        <f>SUMIFS(VENTAS[Cantidad],VENTAS[Código del producto Vendido],STOCK[[#This Row],[Code]])</f>
        <v>1</v>
      </c>
      <c r="L42" s="70">
        <f>STOCK[[#This Row],[Entradas]]-STOCK[[#This Row],[Salidas]]</f>
        <v>0</v>
      </c>
      <c r="M42" s="53">
        <f>STOCK[[#This Row],[Precio Final]]*10%</f>
        <v>2.5</v>
      </c>
      <c r="N42" s="53">
        <v>245</v>
      </c>
      <c r="O42" s="53">
        <v>18</v>
      </c>
      <c r="P42" s="53">
        <v>13.6111111111111</v>
      </c>
      <c r="Q42" s="70">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54" t="s">
        <v>119</v>
      </c>
      <c r="F43" s="54" t="s">
        <v>62</v>
      </c>
      <c r="G43" s="54" t="s">
        <v>36</v>
      </c>
      <c r="H43" s="54">
        <f>STOCK[[#This Row],[Precio Final]]</f>
        <v>25</v>
      </c>
      <c r="I43" s="54">
        <f>STOCK[[#This Row],[Precio Venta Ideal (x1.5)]]</f>
        <v>28.7816666666667</v>
      </c>
      <c r="J43" s="71">
        <v>1</v>
      </c>
      <c r="K43" s="71">
        <f>SUMIFS(VENTAS[Cantidad],VENTAS[Código del producto Vendido],STOCK[[#This Row],[Code]])</f>
        <v>1</v>
      </c>
      <c r="L43" s="71">
        <f>STOCK[[#This Row],[Entradas]]-STOCK[[#This Row],[Salidas]]</f>
        <v>0</v>
      </c>
      <c r="M43" s="54">
        <f>STOCK[[#This Row],[Precio Final]]*10%</f>
        <v>2.5</v>
      </c>
      <c r="N43" s="54">
        <v>230</v>
      </c>
      <c r="O43" s="54">
        <v>18</v>
      </c>
      <c r="P43" s="54">
        <v>12.7777777777778</v>
      </c>
      <c r="Q43" s="71">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53" t="s">
        <v>121</v>
      </c>
      <c r="F44" s="53" t="s">
        <v>62</v>
      </c>
      <c r="G44" s="53" t="s">
        <v>36</v>
      </c>
      <c r="H44" s="53">
        <f>STOCK[[#This Row],[Precio Final]]</f>
        <v>25</v>
      </c>
      <c r="I44" s="53">
        <f>STOCK[[#This Row],[Precio Venta Ideal (x1.5)]]</f>
        <v>28.9091666666667</v>
      </c>
      <c r="J44" s="70">
        <v>2</v>
      </c>
      <c r="K44" s="70">
        <f>SUMIFS(VENTAS[Cantidad],VENTAS[Código del producto Vendido],STOCK[[#This Row],[Code]])</f>
        <v>2</v>
      </c>
      <c r="L44" s="70">
        <f>STOCK[[#This Row],[Entradas]]-STOCK[[#This Row],[Salidas]]</f>
        <v>0</v>
      </c>
      <c r="M44" s="53">
        <f>STOCK[[#This Row],[Precio Final]]*10%</f>
        <v>2.5</v>
      </c>
      <c r="N44" s="53">
        <v>230</v>
      </c>
      <c r="O44" s="53">
        <v>18</v>
      </c>
      <c r="P44" s="53">
        <v>12.7777777777778</v>
      </c>
      <c r="Q44" s="70">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54" t="s">
        <v>123</v>
      </c>
      <c r="F45" s="54" t="s">
        <v>62</v>
      </c>
      <c r="G45" s="54" t="s">
        <v>36</v>
      </c>
      <c r="H45" s="54">
        <f>STOCK[[#This Row],[Precio Final]]</f>
        <v>25</v>
      </c>
      <c r="I45" s="54">
        <f>STOCK[[#This Row],[Precio Venta Ideal (x1.5)]]</f>
        <v>25.5166666666666</v>
      </c>
      <c r="J45" s="71">
        <v>1</v>
      </c>
      <c r="K45" s="71">
        <f>SUMIFS(VENTAS[Cantidad],VENTAS[Código del producto Vendido],STOCK[[#This Row],[Code]])</f>
        <v>1</v>
      </c>
      <c r="L45" s="71">
        <f>STOCK[[#This Row],[Entradas]]-STOCK[[#This Row],[Salidas]]</f>
        <v>0</v>
      </c>
      <c r="M45" s="54">
        <f>STOCK[[#This Row],[Precio Final]]*10%</f>
        <v>2.5</v>
      </c>
      <c r="N45" s="54">
        <v>200</v>
      </c>
      <c r="O45" s="54">
        <v>18</v>
      </c>
      <c r="P45" s="54">
        <v>11.1111111111111</v>
      </c>
      <c r="Q45" s="71">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53" t="s">
        <v>126</v>
      </c>
      <c r="F46" s="53" t="s">
        <v>127</v>
      </c>
      <c r="G46" s="53" t="s">
        <v>36</v>
      </c>
      <c r="H46" s="53">
        <f>STOCK[[#This Row],[Precio Final]]</f>
        <v>20</v>
      </c>
      <c r="I46" s="53">
        <f>STOCK[[#This Row],[Precio Venta Ideal (x1.5)]]</f>
        <v>22.2666666666667</v>
      </c>
      <c r="J46" s="70">
        <v>1</v>
      </c>
      <c r="K46" s="70">
        <f>SUMIFS(VENTAS[Cantidad],VENTAS[Código del producto Vendido],STOCK[[#This Row],[Code]])</f>
        <v>1</v>
      </c>
      <c r="L46" s="70">
        <f>STOCK[[#This Row],[Entradas]]-STOCK[[#This Row],[Salidas]]</f>
        <v>0</v>
      </c>
      <c r="M46" s="53">
        <f>STOCK[[#This Row],[Precio Final]]*10%</f>
        <v>2</v>
      </c>
      <c r="N46" s="53">
        <v>170</v>
      </c>
      <c r="O46" s="53">
        <v>18</v>
      </c>
      <c r="P46" s="53">
        <v>9.44444444444444</v>
      </c>
      <c r="Q46" s="70">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54" t="s">
        <v>129</v>
      </c>
      <c r="F47" s="54" t="s">
        <v>130</v>
      </c>
      <c r="G47" s="54" t="s">
        <v>36</v>
      </c>
      <c r="H47" s="54">
        <f>STOCK[[#This Row],[Precio Final]]</f>
        <v>20</v>
      </c>
      <c r="I47" s="54">
        <f>STOCK[[#This Row],[Precio Venta Ideal (x1.5)]]</f>
        <v>25.1491666666667</v>
      </c>
      <c r="J47" s="71">
        <v>1</v>
      </c>
      <c r="K47" s="71">
        <f>SUMIFS(VENTAS[Cantidad],VENTAS[Código del producto Vendido],STOCK[[#This Row],[Code]])</f>
        <v>1</v>
      </c>
      <c r="L47" s="71">
        <f>STOCK[[#This Row],[Entradas]]-STOCK[[#This Row],[Salidas]]</f>
        <v>0</v>
      </c>
      <c r="M47" s="54">
        <f>STOCK[[#This Row],[Precio Final]]*10%</f>
        <v>2</v>
      </c>
      <c r="N47" s="54">
        <v>200</v>
      </c>
      <c r="O47" s="54">
        <v>18</v>
      </c>
      <c r="P47" s="54">
        <v>11.1111111111111</v>
      </c>
      <c r="Q47" s="71">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53" t="s">
        <v>133</v>
      </c>
      <c r="F48" s="53" t="s">
        <v>134</v>
      </c>
      <c r="G48" s="53" t="s">
        <v>36</v>
      </c>
      <c r="H48" s="53">
        <f>STOCK[[#This Row],[Precio Final]]</f>
        <v>18</v>
      </c>
      <c r="I48" s="53">
        <f>STOCK[[#This Row],[Precio Venta Ideal (x1.5)]]</f>
        <v>19.3483333333333</v>
      </c>
      <c r="J48" s="70">
        <v>1</v>
      </c>
      <c r="K48" s="70">
        <f>SUMIFS(VENTAS[Cantidad],VENTAS[Código del producto Vendido],STOCK[[#This Row],[Code]])</f>
        <v>1</v>
      </c>
      <c r="L48" s="70">
        <f>STOCK[[#This Row],[Entradas]]-STOCK[[#This Row],[Salidas]]</f>
        <v>0</v>
      </c>
      <c r="M48" s="53">
        <f>STOCK[[#This Row],[Precio Final]]*10%</f>
        <v>1.8</v>
      </c>
      <c r="N48" s="53">
        <v>160</v>
      </c>
      <c r="O48" s="53">
        <v>18</v>
      </c>
      <c r="P48" s="53">
        <v>8.88888888888889</v>
      </c>
      <c r="Q48" s="70">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54" t="s">
        <v>137</v>
      </c>
      <c r="F49" s="54" t="s">
        <v>138</v>
      </c>
      <c r="G49" s="54" t="s">
        <v>36</v>
      </c>
      <c r="H49" s="54">
        <f>STOCK[[#This Row],[Precio Final]]</f>
        <v>25</v>
      </c>
      <c r="I49" s="54">
        <f>STOCK[[#This Row],[Precio Venta Ideal (x1.5)]]</f>
        <v>26.1883333333334</v>
      </c>
      <c r="J49" s="71">
        <v>1</v>
      </c>
      <c r="K49" s="71">
        <f>SUMIFS(VENTAS[Cantidad],VENTAS[Código del producto Vendido],STOCK[[#This Row],[Code]])</f>
        <v>0</v>
      </c>
      <c r="L49" s="71">
        <f>STOCK[[#This Row],[Entradas]]-STOCK[[#This Row],[Salidas]]</f>
        <v>1</v>
      </c>
      <c r="M49" s="54">
        <f>STOCK[[#This Row],[Precio Final]]*10%</f>
        <v>2.5</v>
      </c>
      <c r="N49" s="54">
        <v>205</v>
      </c>
      <c r="O49" s="54">
        <v>18</v>
      </c>
      <c r="P49" s="54">
        <v>11.3888888888889</v>
      </c>
      <c r="Q49" s="71">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53" t="s">
        <v>140</v>
      </c>
      <c r="F50" s="53" t="s">
        <v>141</v>
      </c>
      <c r="G50" s="53" t="s">
        <v>36</v>
      </c>
      <c r="H50" s="53">
        <f>STOCK[[#This Row],[Precio Final]]</f>
        <v>20</v>
      </c>
      <c r="I50" s="53">
        <f>STOCK[[#This Row],[Precio Venta Ideal (x1.5)]]</f>
        <v>22.2075</v>
      </c>
      <c r="J50" s="70">
        <v>1</v>
      </c>
      <c r="K50" s="70">
        <f>SUMIFS(VENTAS[Cantidad],VENTAS[Código del producto Vendido],STOCK[[#This Row],[Code]])</f>
        <v>1</v>
      </c>
      <c r="L50" s="70">
        <f>STOCK[[#This Row],[Entradas]]-STOCK[[#This Row],[Salidas]]</f>
        <v>0</v>
      </c>
      <c r="M50" s="53">
        <f>STOCK[[#This Row],[Precio Final]]*10%</f>
        <v>2</v>
      </c>
      <c r="N50" s="53">
        <v>180</v>
      </c>
      <c r="O50" s="53">
        <v>18</v>
      </c>
      <c r="P50" s="53">
        <v>10</v>
      </c>
      <c r="Q50" s="70">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F51" s="53"/>
      <c r="J51" s="71"/>
      <c r="K51" s="71"/>
      <c r="L51" s="71"/>
      <c r="Q51" s="71"/>
      <c r="T51" s="53"/>
    </row>
    <row r="52" s="53" customFormat="1" ht="50" customHeight="1" spans="1:29">
      <c r="A52" s="53" t="s">
        <v>142</v>
      </c>
      <c r="B52" s="66"/>
      <c r="C52" s="53" t="s">
        <v>32</v>
      </c>
      <c r="D52" s="53" t="s">
        <v>132</v>
      </c>
      <c r="E52" s="53" t="s">
        <v>143</v>
      </c>
      <c r="F52" s="53" t="s">
        <v>144</v>
      </c>
      <c r="G52" s="53" t="s">
        <v>36</v>
      </c>
      <c r="H52" s="53">
        <f>STOCK[[#This Row],[Precio Final]]</f>
        <v>20</v>
      </c>
      <c r="I52" s="53">
        <f>STOCK[[#This Row],[Precio Venta Ideal (x1.5)]]</f>
        <v>19.9033333333333</v>
      </c>
      <c r="J52" s="70">
        <v>1</v>
      </c>
      <c r="K52" s="70">
        <f>SUMIFS(VENTAS[Cantidad],VENTAS[Código del producto Vendido],STOCK[[#This Row],[Code]])</f>
        <v>0</v>
      </c>
      <c r="L52" s="70">
        <f>STOCK[[#This Row],[Entradas]]-STOCK[[#This Row],[Salidas]]</f>
        <v>1</v>
      </c>
      <c r="M52" s="53">
        <f>STOCK[[#This Row],[Precio Final]]*10%</f>
        <v>2</v>
      </c>
      <c r="N52" s="53">
        <v>160</v>
      </c>
      <c r="O52" s="53">
        <v>18</v>
      </c>
      <c r="P52" s="53">
        <v>8.88888888888889</v>
      </c>
      <c r="Q52" s="70">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54" t="s">
        <v>146</v>
      </c>
      <c r="F53" s="54" t="s">
        <v>147</v>
      </c>
      <c r="G53" s="54" t="s">
        <v>36</v>
      </c>
      <c r="H53" s="54">
        <f>STOCK[[#This Row],[Precio Final]]</f>
        <v>18</v>
      </c>
      <c r="I53" s="54">
        <f>STOCK[[#This Row],[Precio Venta Ideal (x1.5)]]</f>
        <v>20.53</v>
      </c>
      <c r="J53" s="71">
        <v>1</v>
      </c>
      <c r="K53" s="71">
        <f>SUMIFS(VENTAS[Cantidad],VENTAS[Código del producto Vendido],STOCK[[#This Row],[Code]])</f>
        <v>1</v>
      </c>
      <c r="L53" s="71">
        <f>STOCK[[#This Row],[Entradas]]-STOCK[[#This Row],[Salidas]]</f>
        <v>0</v>
      </c>
      <c r="M53" s="54">
        <f>STOCK[[#This Row],[Precio Final]]*10%</f>
        <v>1.8</v>
      </c>
      <c r="N53" s="54">
        <v>165</v>
      </c>
      <c r="O53" s="54">
        <v>18</v>
      </c>
      <c r="P53" s="54">
        <v>9.16666666666667</v>
      </c>
      <c r="Q53" s="71">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53" t="s">
        <v>149</v>
      </c>
      <c r="F54" s="53" t="s">
        <v>150</v>
      </c>
      <c r="G54" s="53" t="s">
        <v>36</v>
      </c>
      <c r="H54" s="53">
        <f>STOCK[[#This Row],[Precio Final]]</f>
        <v>18</v>
      </c>
      <c r="I54" s="53">
        <f>STOCK[[#This Row],[Precio Venta Ideal (x1.5)]]</f>
        <v>17.3491666666667</v>
      </c>
      <c r="J54" s="70">
        <v>1</v>
      </c>
      <c r="K54" s="70">
        <f>SUMIFS(VENTAS[Cantidad],VENTAS[Código del producto Vendido],STOCK[[#This Row],[Code]])</f>
        <v>1</v>
      </c>
      <c r="L54" s="70">
        <f>STOCK[[#This Row],[Entradas]]-STOCK[[#This Row],[Salidas]]</f>
        <v>0</v>
      </c>
      <c r="M54" s="53">
        <f>STOCK[[#This Row],[Precio Final]]*10%</f>
        <v>1.8</v>
      </c>
      <c r="N54" s="53">
        <v>110</v>
      </c>
      <c r="O54" s="53">
        <v>18</v>
      </c>
      <c r="P54" s="53">
        <v>6.11111111111111</v>
      </c>
      <c r="Q54" s="70">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54" t="s">
        <v>153</v>
      </c>
      <c r="F55" s="54" t="s">
        <v>49</v>
      </c>
      <c r="G55" s="54" t="s">
        <v>36</v>
      </c>
      <c r="H55" s="54">
        <f>STOCK[[#This Row],[Precio Final]]</f>
        <v>30</v>
      </c>
      <c r="I55" s="54">
        <f>STOCK[[#This Row],[Precio Venta Ideal (x1.5)]]</f>
        <v>32.53</v>
      </c>
      <c r="J55" s="71">
        <v>4</v>
      </c>
      <c r="K55" s="71">
        <f>SUMIFS(VENTAS[Cantidad],VENTAS[Código del producto Vendido],STOCK[[#This Row],[Code]])</f>
        <v>4</v>
      </c>
      <c r="L55" s="71">
        <f>STOCK[[#This Row],[Entradas]]-STOCK[[#This Row],[Salidas]]</f>
        <v>0</v>
      </c>
      <c r="M55" s="54">
        <f>STOCK[[#This Row],[Precio Final]]*10%</f>
        <v>3</v>
      </c>
      <c r="N55" s="54">
        <v>165</v>
      </c>
      <c r="O55" s="54">
        <v>18</v>
      </c>
      <c r="P55" s="54">
        <v>9.16666666666667</v>
      </c>
      <c r="Q55" s="71">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53" t="s">
        <v>156</v>
      </c>
      <c r="F56" s="53" t="s">
        <v>46</v>
      </c>
      <c r="G56" s="53" t="s">
        <v>36</v>
      </c>
      <c r="H56" s="53">
        <f>STOCK[[#This Row],[Precio Final]]</f>
        <v>30</v>
      </c>
      <c r="I56" s="53">
        <f>STOCK[[#This Row],[Precio Venta Ideal (x1.5)]]</f>
        <v>32.53</v>
      </c>
      <c r="J56" s="70">
        <v>3</v>
      </c>
      <c r="K56" s="70">
        <f>SUMIFS(VENTAS[Cantidad],VENTAS[Código del producto Vendido],STOCK[[#This Row],[Code]])</f>
        <v>3</v>
      </c>
      <c r="L56" s="70">
        <f>STOCK[[#This Row],[Entradas]]-STOCK[[#This Row],[Salidas]]</f>
        <v>0</v>
      </c>
      <c r="M56" s="53">
        <f>STOCK[[#This Row],[Precio Final]]*10%</f>
        <v>3</v>
      </c>
      <c r="N56" s="53">
        <v>165</v>
      </c>
      <c r="O56" s="53">
        <v>18</v>
      </c>
      <c r="P56" s="53">
        <v>9.16666666666667</v>
      </c>
      <c r="Q56" s="70">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54" t="s">
        <v>156</v>
      </c>
      <c r="F57" s="54" t="s">
        <v>49</v>
      </c>
      <c r="G57" s="54" t="s">
        <v>36</v>
      </c>
      <c r="H57" s="54">
        <f>STOCK[[#This Row],[Precio Final]]</f>
        <v>30</v>
      </c>
      <c r="I57" s="54">
        <f>STOCK[[#This Row],[Precio Venta Ideal (x1.5)]]</f>
        <v>32.53</v>
      </c>
      <c r="J57" s="71">
        <v>5</v>
      </c>
      <c r="K57" s="71">
        <f>SUMIFS(VENTAS[Cantidad],VENTAS[Código del producto Vendido],STOCK[[#This Row],[Code]])</f>
        <v>5</v>
      </c>
      <c r="L57" s="71">
        <f>STOCK[[#This Row],[Entradas]]-STOCK[[#This Row],[Salidas]]</f>
        <v>0</v>
      </c>
      <c r="M57" s="54">
        <f>STOCK[[#This Row],[Precio Final]]*10%</f>
        <v>3</v>
      </c>
      <c r="N57" s="54">
        <v>165</v>
      </c>
      <c r="O57" s="54">
        <v>18</v>
      </c>
      <c r="P57" s="54">
        <v>9.16666666666667</v>
      </c>
      <c r="Q57" s="71">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53" t="s">
        <v>156</v>
      </c>
      <c r="F58" s="53" t="s">
        <v>40</v>
      </c>
      <c r="G58" s="53" t="s">
        <v>36</v>
      </c>
      <c r="H58" s="53">
        <f>STOCK[[#This Row],[Precio Final]]</f>
        <v>30</v>
      </c>
      <c r="I58" s="53">
        <f>STOCK[[#This Row],[Precio Venta Ideal (x1.5)]]</f>
        <v>32.53</v>
      </c>
      <c r="J58" s="70">
        <v>3</v>
      </c>
      <c r="K58" s="70">
        <f>SUMIFS(VENTAS[Cantidad],VENTAS[Código del producto Vendido],STOCK[[#This Row],[Code]])</f>
        <v>3</v>
      </c>
      <c r="L58" s="70">
        <f>STOCK[[#This Row],[Entradas]]-STOCK[[#This Row],[Salidas]]</f>
        <v>0</v>
      </c>
      <c r="M58" s="53">
        <f>STOCK[[#This Row],[Precio Final]]*10%</f>
        <v>3</v>
      </c>
      <c r="N58" s="53">
        <v>165</v>
      </c>
      <c r="O58" s="53">
        <v>18</v>
      </c>
      <c r="P58" s="53">
        <v>9.16666666666667</v>
      </c>
      <c r="Q58" s="70">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54" t="s">
        <v>74</v>
      </c>
      <c r="F59" s="54" t="s">
        <v>62</v>
      </c>
      <c r="G59" s="54" t="s">
        <v>36</v>
      </c>
      <c r="H59" s="54">
        <f>STOCK[[#This Row],[Precio Final]]</f>
        <v>25</v>
      </c>
      <c r="I59" s="54">
        <f>STOCK[[#This Row],[Precio Venta Ideal (x1.5)]]</f>
        <v>31.2133333333334</v>
      </c>
      <c r="J59" s="71">
        <v>1</v>
      </c>
      <c r="K59" s="71">
        <f>SUMIFS(VENTAS[Cantidad],VENTAS[Código del producto Vendido],STOCK[[#This Row],[Code]])</f>
        <v>1</v>
      </c>
      <c r="L59" s="71">
        <f>STOCK[[#This Row],[Entradas]]-STOCK[[#This Row],[Salidas]]</f>
        <v>0</v>
      </c>
      <c r="M59" s="54">
        <f>STOCK[[#This Row],[Precio Final]]*10%</f>
        <v>2.5</v>
      </c>
      <c r="N59" s="54">
        <v>250</v>
      </c>
      <c r="O59" s="54">
        <v>18</v>
      </c>
      <c r="P59" s="54">
        <v>13.8888888888889</v>
      </c>
      <c r="Q59" s="71">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53" t="s">
        <v>161</v>
      </c>
      <c r="F60" s="53" t="s">
        <v>147</v>
      </c>
      <c r="G60" s="53" t="s">
        <v>36</v>
      </c>
      <c r="H60" s="53">
        <f>STOCK[[#This Row],[Precio Final]]</f>
        <v>18</v>
      </c>
      <c r="I60" s="53">
        <f>STOCK[[#This Row],[Precio Venta Ideal (x1.5)]]</f>
        <v>20.02</v>
      </c>
      <c r="J60" s="70">
        <v>1</v>
      </c>
      <c r="K60" s="70">
        <f>SUMIFS(VENTAS[Cantidad],VENTAS[Código del producto Vendido],STOCK[[#This Row],[Code]])</f>
        <v>1</v>
      </c>
      <c r="L60" s="70">
        <f>STOCK[[#This Row],[Entradas]]-STOCK[[#This Row],[Salidas]]</f>
        <v>0</v>
      </c>
      <c r="M60" s="53">
        <f>STOCK[[#This Row],[Precio Final]]*10%</f>
        <v>1.8</v>
      </c>
      <c r="N60" s="53">
        <v>165</v>
      </c>
      <c r="O60" s="53">
        <v>18</v>
      </c>
      <c r="P60" s="53">
        <v>9.16666666666667</v>
      </c>
      <c r="Q60" s="70">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54" t="s">
        <v>163</v>
      </c>
      <c r="F61" s="54" t="s">
        <v>62</v>
      </c>
      <c r="G61" s="54" t="s">
        <v>36</v>
      </c>
      <c r="H61" s="54">
        <f>STOCK[[#This Row],[Precio Final]]</f>
        <v>20</v>
      </c>
      <c r="I61" s="54">
        <f>STOCK[[#This Row],[Precio Venta Ideal (x1.5)]]</f>
        <v>22.1141666666667</v>
      </c>
      <c r="J61" s="71">
        <v>1</v>
      </c>
      <c r="K61" s="71">
        <f>SUMIFS(VENTAS[Cantidad],VENTAS[Código del producto Vendido],STOCK[[#This Row],[Code]])</f>
        <v>1</v>
      </c>
      <c r="L61" s="71">
        <f>STOCK[[#This Row],[Entradas]]-STOCK[[#This Row],[Salidas]]</f>
        <v>0</v>
      </c>
      <c r="M61" s="54">
        <f>STOCK[[#This Row],[Precio Final]]*10%</f>
        <v>2</v>
      </c>
      <c r="N61" s="54">
        <v>185</v>
      </c>
      <c r="O61" s="54">
        <v>18</v>
      </c>
      <c r="P61" s="54">
        <v>10.2777777777778</v>
      </c>
      <c r="Q61" s="71">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53" t="s">
        <v>165</v>
      </c>
      <c r="F62" s="53" t="s">
        <v>141</v>
      </c>
      <c r="G62" s="53" t="s">
        <v>36</v>
      </c>
      <c r="H62" s="53">
        <f>STOCK[[#This Row],[Precio Final]]</f>
        <v>20</v>
      </c>
      <c r="I62" s="53">
        <f>STOCK[[#This Row],[Precio Venta Ideal (x1.5)]]</f>
        <v>21.6633333333333</v>
      </c>
      <c r="J62" s="70">
        <v>1</v>
      </c>
      <c r="K62" s="70">
        <f>SUMIFS(VENTAS[Cantidad],VENTAS[Código del producto Vendido],STOCK[[#This Row],[Code]])</f>
        <v>1</v>
      </c>
      <c r="L62" s="70">
        <f>STOCK[[#This Row],[Entradas]]-STOCK[[#This Row],[Salidas]]</f>
        <v>0</v>
      </c>
      <c r="M62" s="53">
        <f>STOCK[[#This Row],[Precio Final]]*10%</f>
        <v>2</v>
      </c>
      <c r="N62" s="53">
        <v>175</v>
      </c>
      <c r="O62" s="53">
        <v>18</v>
      </c>
      <c r="P62" s="53">
        <v>9.72222222222222</v>
      </c>
      <c r="Q62" s="70">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54" t="s">
        <v>167</v>
      </c>
      <c r="F63" s="54" t="s">
        <v>62</v>
      </c>
      <c r="G63" s="54" t="s">
        <v>36</v>
      </c>
      <c r="H63" s="54">
        <f>STOCK[[#This Row],[Precio Final]]</f>
        <v>25</v>
      </c>
      <c r="I63" s="54">
        <f>STOCK[[#This Row],[Precio Venta Ideal (x1.5)]]</f>
        <v>29.7333333333333</v>
      </c>
      <c r="J63" s="71">
        <v>1</v>
      </c>
      <c r="K63" s="71">
        <f>SUMIFS(VENTAS[Cantidad],VENTAS[Código del producto Vendido],STOCK[[#This Row],[Code]])</f>
        <v>1</v>
      </c>
      <c r="L63" s="71">
        <f>STOCK[[#This Row],[Entradas]]-STOCK[[#This Row],[Salidas]]</f>
        <v>0</v>
      </c>
      <c r="M63" s="54">
        <f>STOCK[[#This Row],[Precio Final]]*10%</f>
        <v>2.5</v>
      </c>
      <c r="N63" s="54">
        <v>265</v>
      </c>
      <c r="O63" s="54">
        <v>18</v>
      </c>
      <c r="P63" s="54">
        <v>14.7222222222222</v>
      </c>
      <c r="Q63" s="71">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53" t="s">
        <v>170</v>
      </c>
      <c r="F64" s="53" t="s">
        <v>62</v>
      </c>
      <c r="G64" s="53" t="s">
        <v>36</v>
      </c>
      <c r="H64" s="53">
        <f>STOCK[[#This Row],[Precio Final]]</f>
        <v>30</v>
      </c>
      <c r="I64" s="53">
        <f>STOCK[[#This Row],[Precio Venta Ideal (x1.5)]]</f>
        <v>35.7833333333334</v>
      </c>
      <c r="J64" s="70">
        <v>1</v>
      </c>
      <c r="K64" s="70">
        <f>SUMIFS(VENTAS[Cantidad],VENTAS[Código del producto Vendido],STOCK[[#This Row],[Code]])</f>
        <v>1</v>
      </c>
      <c r="L64" s="70">
        <f>STOCK[[#This Row],[Entradas]]-STOCK[[#This Row],[Salidas]]</f>
        <v>0</v>
      </c>
      <c r="M64" s="53">
        <f>STOCK[[#This Row],[Precio Final]]*10%</f>
        <v>3</v>
      </c>
      <c r="N64" s="53">
        <v>325</v>
      </c>
      <c r="O64" s="53">
        <v>18</v>
      </c>
      <c r="P64" s="53">
        <v>18.0555555555556</v>
      </c>
      <c r="Q64" s="70">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54" t="s">
        <v>172</v>
      </c>
      <c r="F65" s="54" t="s">
        <v>62</v>
      </c>
      <c r="G65" s="54" t="s">
        <v>36</v>
      </c>
      <c r="H65" s="54">
        <f>STOCK[[#This Row],[Precio Final]]</f>
        <v>30</v>
      </c>
      <c r="I65" s="54">
        <f>STOCK[[#This Row],[Precio Venta Ideal (x1.5)]]</f>
        <v>30.9</v>
      </c>
      <c r="J65" s="71">
        <v>1</v>
      </c>
      <c r="K65" s="71">
        <f>SUMIFS(VENTAS[Cantidad],VENTAS[Código del producto Vendido],STOCK[[#This Row],[Code]])</f>
        <v>1</v>
      </c>
      <c r="L65" s="71">
        <f>STOCK[[#This Row],[Entradas]]-STOCK[[#This Row],[Salidas]]</f>
        <v>0</v>
      </c>
      <c r="M65" s="54">
        <f>STOCK[[#This Row],[Precio Final]]*10%</f>
        <v>3</v>
      </c>
      <c r="N65" s="54">
        <v>270</v>
      </c>
      <c r="O65" s="54">
        <v>18</v>
      </c>
      <c r="P65" s="54">
        <v>15</v>
      </c>
      <c r="Q65" s="71">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53" t="s">
        <v>175</v>
      </c>
      <c r="F66" s="53" t="s">
        <v>49</v>
      </c>
      <c r="G66" s="53" t="s">
        <v>36</v>
      </c>
      <c r="H66" s="53">
        <f>STOCK[[#This Row],[Precio Final]]</f>
        <v>12</v>
      </c>
      <c r="I66" s="53">
        <f>STOCK[[#This Row],[Precio Venta Ideal (x1.5)]]</f>
        <v>12.13</v>
      </c>
      <c r="J66" s="70">
        <v>1</v>
      </c>
      <c r="K66" s="70">
        <f>SUMIFS(VENTAS[Cantidad],VENTAS[Código del producto Vendido],STOCK[[#This Row],[Code]])</f>
        <v>1</v>
      </c>
      <c r="L66" s="70">
        <f>STOCK[[#This Row],[Entradas]]-STOCK[[#This Row],[Salidas]]</f>
        <v>0</v>
      </c>
      <c r="M66" s="53">
        <f>STOCK[[#This Row],[Precio Final]]*10%</f>
        <v>1.2</v>
      </c>
      <c r="N66" s="53">
        <v>111</v>
      </c>
      <c r="O66" s="53">
        <v>18</v>
      </c>
      <c r="P66" s="53">
        <v>6.16666666666667</v>
      </c>
      <c r="Q66" s="70">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54" t="s">
        <v>177</v>
      </c>
      <c r="F67" s="54" t="s">
        <v>62</v>
      </c>
      <c r="G67" s="54" t="s">
        <v>36</v>
      </c>
      <c r="H67" s="54">
        <f>STOCK[[#This Row],[Precio Final]]</f>
        <v>28</v>
      </c>
      <c r="I67" s="54">
        <f>STOCK[[#This Row],[Precio Venta Ideal (x1.5)]]</f>
        <v>29.3533333333333</v>
      </c>
      <c r="J67" s="71">
        <v>1</v>
      </c>
      <c r="K67" s="71">
        <f>SUMIFS(VENTAS[Cantidad],VENTAS[Código del producto Vendido],STOCK[[#This Row],[Code]])</f>
        <v>1</v>
      </c>
      <c r="L67" s="71">
        <f>STOCK[[#This Row],[Entradas]]-STOCK[[#This Row],[Salidas]]</f>
        <v>0</v>
      </c>
      <c r="M67" s="54">
        <f>STOCK[[#This Row],[Precio Final]]*10%</f>
        <v>2.8</v>
      </c>
      <c r="N67" s="54">
        <v>250</v>
      </c>
      <c r="O67" s="54">
        <v>18</v>
      </c>
      <c r="P67" s="54">
        <v>13.8888888888889</v>
      </c>
      <c r="Q67" s="71">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53" t="s">
        <v>179</v>
      </c>
      <c r="F68" s="53" t="s">
        <v>49</v>
      </c>
      <c r="G68" s="53" t="s">
        <v>36</v>
      </c>
      <c r="H68" s="53">
        <f>STOCK[[#This Row],[Precio Final]]</f>
        <v>28</v>
      </c>
      <c r="I68" s="53">
        <f>STOCK[[#This Row],[Precio Venta Ideal (x1.5)]]</f>
        <v>29.3533333333333</v>
      </c>
      <c r="J68" s="70">
        <v>1</v>
      </c>
      <c r="K68" s="70">
        <f>SUMIFS(VENTAS[Cantidad],VENTAS[Código del producto Vendido],STOCK[[#This Row],[Code]])</f>
        <v>1</v>
      </c>
      <c r="L68" s="70">
        <f>STOCK[[#This Row],[Entradas]]-STOCK[[#This Row],[Salidas]]</f>
        <v>0</v>
      </c>
      <c r="M68" s="53">
        <f>STOCK[[#This Row],[Precio Final]]*10%</f>
        <v>2.8</v>
      </c>
      <c r="N68" s="53">
        <v>250</v>
      </c>
      <c r="O68" s="53">
        <v>18</v>
      </c>
      <c r="P68" s="53">
        <v>13.8888888888889</v>
      </c>
      <c r="Q68" s="70">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54" t="s">
        <v>181</v>
      </c>
      <c r="F69" s="54" t="s">
        <v>40</v>
      </c>
      <c r="G69" s="54" t="s">
        <v>36</v>
      </c>
      <c r="H69" s="54">
        <f>STOCK[[#This Row],[Precio Final]]</f>
        <v>14</v>
      </c>
      <c r="I69" s="54">
        <f>STOCK[[#This Row],[Precio Venta Ideal (x1.5)]]</f>
        <v>15.3866666666667</v>
      </c>
      <c r="J69" s="71">
        <v>1</v>
      </c>
      <c r="K69" s="71">
        <f>SUMIFS(VENTAS[Cantidad],VENTAS[Código del producto Vendido],STOCK[[#This Row],[Code]])</f>
        <v>1</v>
      </c>
      <c r="L69" s="71">
        <f>STOCK[[#This Row],[Entradas]]-STOCK[[#This Row],[Salidas]]</f>
        <v>0</v>
      </c>
      <c r="M69" s="54">
        <f>STOCK[[#This Row],[Precio Final]]*10%</f>
        <v>1.4</v>
      </c>
      <c r="N69" s="54">
        <v>140</v>
      </c>
      <c r="O69" s="54">
        <v>18</v>
      </c>
      <c r="P69" s="54">
        <v>7.77777777777778</v>
      </c>
      <c r="Q69" s="71">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53" t="s">
        <v>181</v>
      </c>
      <c r="F70" s="53" t="s">
        <v>49</v>
      </c>
      <c r="G70" s="53" t="s">
        <v>36</v>
      </c>
      <c r="H70" s="53">
        <f>STOCK[[#This Row],[Precio Final]]</f>
        <v>14</v>
      </c>
      <c r="I70" s="53">
        <f>STOCK[[#This Row],[Precio Venta Ideal (x1.5)]]</f>
        <v>15.4466666666667</v>
      </c>
      <c r="J70" s="70">
        <v>1</v>
      </c>
      <c r="K70" s="70">
        <f>SUMIFS(VENTAS[Cantidad],VENTAS[Código del producto Vendido],STOCK[[#This Row],[Code]])</f>
        <v>1</v>
      </c>
      <c r="L70" s="70">
        <f>STOCK[[#This Row],[Entradas]]-STOCK[[#This Row],[Salidas]]</f>
        <v>0</v>
      </c>
      <c r="M70" s="53">
        <f>STOCK[[#This Row],[Precio Final]]*10%</f>
        <v>1.4</v>
      </c>
      <c r="N70" s="53">
        <v>140</v>
      </c>
      <c r="O70" s="53">
        <v>18</v>
      </c>
      <c r="P70" s="53">
        <v>7.77777777777778</v>
      </c>
      <c r="Q70" s="70">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54" t="s">
        <v>184</v>
      </c>
      <c r="F71" s="54" t="s">
        <v>46</v>
      </c>
      <c r="G71" s="54" t="s">
        <v>36</v>
      </c>
      <c r="H71" s="54">
        <f>STOCK[[#This Row],[Precio Final]]</f>
        <v>14</v>
      </c>
      <c r="I71" s="54">
        <f>STOCK[[#This Row],[Precio Venta Ideal (x1.5)]]</f>
        <v>15.3866666666667</v>
      </c>
      <c r="J71" s="71">
        <v>1</v>
      </c>
      <c r="K71" s="71">
        <f>SUMIFS(VENTAS[Cantidad],VENTAS[Código del producto Vendido],STOCK[[#This Row],[Code]])</f>
        <v>1</v>
      </c>
      <c r="L71" s="71">
        <f>STOCK[[#This Row],[Entradas]]-STOCK[[#This Row],[Salidas]]</f>
        <v>0</v>
      </c>
      <c r="M71" s="54">
        <f>STOCK[[#This Row],[Precio Final]]*10%</f>
        <v>1.4</v>
      </c>
      <c r="N71" s="54">
        <v>140</v>
      </c>
      <c r="O71" s="54">
        <v>18</v>
      </c>
      <c r="P71" s="54">
        <v>7.77777777777778</v>
      </c>
      <c r="Q71" s="71">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53" t="s">
        <v>186</v>
      </c>
      <c r="F72" s="53" t="s">
        <v>187</v>
      </c>
      <c r="G72" s="53" t="s">
        <v>36</v>
      </c>
      <c r="H72" s="53">
        <f>STOCK[[#This Row],[Precio Final]]</f>
        <v>12</v>
      </c>
      <c r="I72" s="53">
        <f>STOCK[[#This Row],[Precio Venta Ideal (x1.5)]]</f>
        <v>14.7866666666667</v>
      </c>
      <c r="J72" s="70">
        <v>1</v>
      </c>
      <c r="K72" s="70">
        <f>SUMIFS(VENTAS[Cantidad],VENTAS[Código del producto Vendido],STOCK[[#This Row],[Code]])</f>
        <v>1</v>
      </c>
      <c r="L72" s="70">
        <f>STOCK[[#This Row],[Entradas]]-STOCK[[#This Row],[Salidas]]</f>
        <v>0</v>
      </c>
      <c r="M72" s="53">
        <f>STOCK[[#This Row],[Precio Final]]*10%</f>
        <v>1.2</v>
      </c>
      <c r="N72" s="53">
        <v>140</v>
      </c>
      <c r="O72" s="53">
        <v>18</v>
      </c>
      <c r="P72" s="53">
        <v>7.77777777777778</v>
      </c>
      <c r="Q72" s="70">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54" t="s">
        <v>189</v>
      </c>
      <c r="F73" s="54" t="s">
        <v>190</v>
      </c>
      <c r="G73" s="54" t="s">
        <v>36</v>
      </c>
      <c r="H73" s="54">
        <f>STOCK[[#This Row],[Precio Final]]</f>
        <v>14</v>
      </c>
      <c r="I73" s="54">
        <f>STOCK[[#This Row],[Precio Venta Ideal (x1.5)]]</f>
        <v>15.4466666666667</v>
      </c>
      <c r="J73" s="71">
        <v>1</v>
      </c>
      <c r="K73" s="71">
        <f>SUMIFS(VENTAS[Cantidad],VENTAS[Código del producto Vendido],STOCK[[#This Row],[Code]])</f>
        <v>1</v>
      </c>
      <c r="L73" s="71">
        <f>STOCK[[#This Row],[Entradas]]-STOCK[[#This Row],[Salidas]]</f>
        <v>0</v>
      </c>
      <c r="M73" s="54">
        <f>STOCK[[#This Row],[Precio Final]]*10%</f>
        <v>1.4</v>
      </c>
      <c r="N73" s="54">
        <v>140</v>
      </c>
      <c r="O73" s="54">
        <v>18</v>
      </c>
      <c r="P73" s="54">
        <v>7.77777777777778</v>
      </c>
      <c r="Q73" s="71">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53" t="s">
        <v>192</v>
      </c>
      <c r="F74" s="53" t="s">
        <v>46</v>
      </c>
      <c r="G74" s="53" t="s">
        <v>36</v>
      </c>
      <c r="H74" s="53">
        <f>STOCK[[#This Row],[Precio Final]]</f>
        <v>23</v>
      </c>
      <c r="I74" s="53">
        <f>STOCK[[#This Row],[Precio Venta Ideal (x1.5)]]</f>
        <v>23.0566666666667</v>
      </c>
      <c r="J74" s="70">
        <v>1</v>
      </c>
      <c r="K74" s="70">
        <f>SUMIFS(VENTAS[Cantidad],VENTAS[Código del producto Vendido],STOCK[[#This Row],[Code]])</f>
        <v>1</v>
      </c>
      <c r="L74" s="70">
        <f>STOCK[[#This Row],[Entradas]]-STOCK[[#This Row],[Salidas]]</f>
        <v>0</v>
      </c>
      <c r="M74" s="53">
        <f>STOCK[[#This Row],[Precio Final]]*10%</f>
        <v>2.3</v>
      </c>
      <c r="N74" s="53">
        <v>200</v>
      </c>
      <c r="O74" s="53">
        <v>18</v>
      </c>
      <c r="P74" s="53">
        <v>11.1111111111111</v>
      </c>
      <c r="Q74" s="70">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54" t="s">
        <v>192</v>
      </c>
      <c r="F75" s="54" t="s">
        <v>62</v>
      </c>
      <c r="G75" s="54" t="s">
        <v>36</v>
      </c>
      <c r="H75" s="54">
        <f>STOCK[[#This Row],[Precio Final]]</f>
        <v>23</v>
      </c>
      <c r="I75" s="54">
        <f>STOCK[[#This Row],[Precio Venta Ideal (x1.5)]]</f>
        <v>23.1766666666666</v>
      </c>
      <c r="J75" s="71">
        <v>1</v>
      </c>
      <c r="K75" s="71">
        <f>SUMIFS(VENTAS[Cantidad],VENTAS[Código del producto Vendido],STOCK[[#This Row],[Code]])</f>
        <v>1</v>
      </c>
      <c r="L75" s="71">
        <f>STOCK[[#This Row],[Entradas]]-STOCK[[#This Row],[Salidas]]</f>
        <v>0</v>
      </c>
      <c r="M75" s="54">
        <f>STOCK[[#This Row],[Precio Final]]*10%</f>
        <v>2.3</v>
      </c>
      <c r="N75" s="54">
        <v>200</v>
      </c>
      <c r="O75" s="54">
        <v>18</v>
      </c>
      <c r="P75" s="54">
        <v>11.1111111111111</v>
      </c>
      <c r="Q75" s="71">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53" t="s">
        <v>192</v>
      </c>
      <c r="F76" s="53" t="s">
        <v>49</v>
      </c>
      <c r="G76" s="53" t="s">
        <v>36</v>
      </c>
      <c r="H76" s="53">
        <f>STOCK[[#This Row],[Precio Final]]</f>
        <v>23</v>
      </c>
      <c r="I76" s="53">
        <f>STOCK[[#This Row],[Precio Venta Ideal (x1.5)]]</f>
        <v>23.1766666666666</v>
      </c>
      <c r="J76" s="70">
        <v>1</v>
      </c>
      <c r="K76" s="70">
        <f>SUMIFS(VENTAS[Cantidad],VENTAS[Código del producto Vendido],STOCK[[#This Row],[Code]])</f>
        <v>1</v>
      </c>
      <c r="L76" s="70">
        <f>STOCK[[#This Row],[Entradas]]-STOCK[[#This Row],[Salidas]]</f>
        <v>0</v>
      </c>
      <c r="M76" s="53">
        <f>STOCK[[#This Row],[Precio Final]]*10%</f>
        <v>2.3</v>
      </c>
      <c r="N76" s="53">
        <v>200</v>
      </c>
      <c r="O76" s="53">
        <v>18</v>
      </c>
      <c r="P76" s="53">
        <v>11.1111111111111</v>
      </c>
      <c r="Q76" s="70">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54" t="s">
        <v>197</v>
      </c>
      <c r="F77" s="54" t="s">
        <v>49</v>
      </c>
      <c r="G77" s="54" t="s">
        <v>36</v>
      </c>
      <c r="H77" s="54">
        <f>STOCK[[#This Row],[Precio Final]]</f>
        <v>12</v>
      </c>
      <c r="I77" s="54">
        <f>STOCK[[#This Row],[Precio Venta Ideal (x1.5)]]</f>
        <v>12.53</v>
      </c>
      <c r="J77" s="71">
        <v>1</v>
      </c>
      <c r="K77" s="71">
        <f>SUMIFS(VENTAS[Cantidad],VENTAS[Código del producto Vendido],STOCK[[#This Row],[Code]])</f>
        <v>0</v>
      </c>
      <c r="L77" s="71">
        <f>STOCK[[#This Row],[Entradas]]-STOCK[[#This Row],[Salidas]]</f>
        <v>1</v>
      </c>
      <c r="M77" s="54">
        <f>STOCK[[#This Row],[Precio Final]]*10%</f>
        <v>1.2</v>
      </c>
      <c r="N77" s="54">
        <v>105</v>
      </c>
      <c r="O77" s="54">
        <v>18</v>
      </c>
      <c r="P77" s="54">
        <v>5.83333333333333</v>
      </c>
      <c r="Q77" s="71">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53" t="s">
        <v>197</v>
      </c>
      <c r="F78" s="53" t="s">
        <v>46</v>
      </c>
      <c r="G78" s="53" t="s">
        <v>36</v>
      </c>
      <c r="H78" s="53">
        <f>STOCK[[#This Row],[Precio Final]]</f>
        <v>12</v>
      </c>
      <c r="I78" s="53">
        <f>STOCK[[#This Row],[Precio Venta Ideal (x1.5)]]</f>
        <v>12.71</v>
      </c>
      <c r="J78" s="70">
        <v>2</v>
      </c>
      <c r="K78" s="70">
        <f>SUMIFS(VENTAS[Cantidad],VENTAS[Código del producto Vendido],STOCK[[#This Row],[Code]])</f>
        <v>2</v>
      </c>
      <c r="L78" s="70">
        <f>STOCK[[#This Row],[Entradas]]-STOCK[[#This Row],[Salidas]]</f>
        <v>0</v>
      </c>
      <c r="M78" s="53">
        <f>STOCK[[#This Row],[Precio Final]]*10%</f>
        <v>1.2</v>
      </c>
      <c r="N78" s="53">
        <v>105</v>
      </c>
      <c r="O78" s="53">
        <v>18</v>
      </c>
      <c r="P78" s="53">
        <v>5.83333333333333</v>
      </c>
      <c r="Q78" s="70">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54" t="s">
        <v>201</v>
      </c>
      <c r="F79" s="54" t="s">
        <v>62</v>
      </c>
      <c r="G79" s="54" t="s">
        <v>36</v>
      </c>
      <c r="H79" s="54">
        <f>STOCK[[#This Row],[Precio Final]]</f>
        <v>16</v>
      </c>
      <c r="I79" s="54">
        <f>STOCK[[#This Row],[Precio Venta Ideal (x1.5)]]</f>
        <v>13.96</v>
      </c>
      <c r="J79" s="71">
        <v>1</v>
      </c>
      <c r="K79" s="71">
        <f>SUMIFS(VENTAS[Cantidad],VENTAS[Código del producto Vendido],STOCK[[#This Row],[Code]])</f>
        <v>1</v>
      </c>
      <c r="L79" s="71">
        <f>STOCK[[#This Row],[Entradas]]-STOCK[[#This Row],[Salidas]]</f>
        <v>0</v>
      </c>
      <c r="M79" s="54">
        <f>STOCK[[#This Row],[Precio Final]]*10%</f>
        <v>1.6</v>
      </c>
      <c r="N79" s="54">
        <v>120</v>
      </c>
      <c r="O79" s="54">
        <v>18</v>
      </c>
      <c r="P79" s="54">
        <v>6.66666666666667</v>
      </c>
      <c r="Q79" s="71">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53" t="s">
        <v>204</v>
      </c>
      <c r="F80" s="53" t="s">
        <v>205</v>
      </c>
      <c r="G80" s="53" t="s">
        <v>36</v>
      </c>
      <c r="H80" s="53">
        <f>STOCK[[#This Row],[Precio Final]]</f>
        <v>18</v>
      </c>
      <c r="I80" s="53">
        <f>STOCK[[#This Row],[Precio Venta Ideal (x1.5)]]</f>
        <v>21.4733333333334</v>
      </c>
      <c r="J80" s="70">
        <v>1</v>
      </c>
      <c r="K80" s="70">
        <f>SUMIFS(VENTAS[Cantidad],VENTAS[Código del producto Vendido],STOCK[[#This Row],[Code]])</f>
        <v>1</v>
      </c>
      <c r="L80" s="70">
        <f>STOCK[[#This Row],[Entradas]]-STOCK[[#This Row],[Salidas]]</f>
        <v>0</v>
      </c>
      <c r="M80" s="53">
        <f>STOCK[[#This Row],[Precio Final]]*10%</f>
        <v>1.8</v>
      </c>
      <c r="N80" s="53">
        <v>190</v>
      </c>
      <c r="O80" s="53">
        <v>18</v>
      </c>
      <c r="P80" s="53">
        <v>10.5555555555556</v>
      </c>
      <c r="Q80" s="70">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54" t="s">
        <v>207</v>
      </c>
      <c r="F81" s="54" t="s">
        <v>49</v>
      </c>
      <c r="G81" s="54" t="s">
        <v>36</v>
      </c>
      <c r="H81" s="54">
        <f>STOCK[[#This Row],[Precio Final]]</f>
        <v>20</v>
      </c>
      <c r="I81" s="54">
        <f>STOCK[[#This Row],[Precio Venta Ideal (x1.5)]]</f>
        <v>22.3133333333334</v>
      </c>
      <c r="J81" s="71">
        <v>1</v>
      </c>
      <c r="K81" s="71">
        <f>SUMIFS(VENTAS[Cantidad],VENTAS[Código del producto Vendido],STOCK[[#This Row],[Code]])</f>
        <v>1</v>
      </c>
      <c r="L81" s="71">
        <f>STOCK[[#This Row],[Entradas]]-STOCK[[#This Row],[Salidas]]</f>
        <v>0</v>
      </c>
      <c r="M81" s="54">
        <f>STOCK[[#This Row],[Precio Final]]*10%</f>
        <v>2</v>
      </c>
      <c r="N81" s="54">
        <v>190</v>
      </c>
      <c r="O81" s="54">
        <v>18</v>
      </c>
      <c r="P81" s="54">
        <v>10.5555555555556</v>
      </c>
      <c r="Q81" s="71">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53" t="s">
        <v>209</v>
      </c>
      <c r="F82" s="53" t="s">
        <v>88</v>
      </c>
      <c r="G82" s="53" t="s">
        <v>36</v>
      </c>
      <c r="H82" s="53">
        <f>STOCK[[#This Row],[Precio Final]]</f>
        <v>25</v>
      </c>
      <c r="I82" s="53">
        <f>STOCK[[#This Row],[Precio Venta Ideal (x1.5)]]</f>
        <v>25.5</v>
      </c>
      <c r="J82" s="70">
        <v>1</v>
      </c>
      <c r="K82" s="70">
        <f>SUMIFS(VENTAS[Cantidad],VENTAS[Código del producto Vendido],STOCK[[#This Row],[Code]])</f>
        <v>1</v>
      </c>
      <c r="L82" s="70">
        <f>STOCK[[#This Row],[Entradas]]-STOCK[[#This Row],[Salidas]]</f>
        <v>0</v>
      </c>
      <c r="M82" s="53">
        <f>STOCK[[#This Row],[Precio Final]]*10%</f>
        <v>2.5</v>
      </c>
      <c r="N82" s="53">
        <v>225</v>
      </c>
      <c r="O82" s="53">
        <v>18</v>
      </c>
      <c r="P82" s="53">
        <v>12.5</v>
      </c>
      <c r="Q82" s="70">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54" t="s">
        <v>209</v>
      </c>
      <c r="F83" s="54" t="s">
        <v>211</v>
      </c>
      <c r="G83" s="54" t="s">
        <v>36</v>
      </c>
      <c r="H83" s="54">
        <f>STOCK[[#This Row],[Precio Final]]</f>
        <v>25</v>
      </c>
      <c r="I83" s="54">
        <f>STOCK[[#This Row],[Precio Venta Ideal (x1.5)]]</f>
        <v>24.84</v>
      </c>
      <c r="J83" s="71">
        <v>1</v>
      </c>
      <c r="K83" s="71">
        <f>SUMIFS(VENTAS[Cantidad],VENTAS[Código del producto Vendido],STOCK[[#This Row],[Code]])</f>
        <v>1</v>
      </c>
      <c r="L83" s="71">
        <f>STOCK[[#This Row],[Entradas]]-STOCK[[#This Row],[Salidas]]</f>
        <v>0</v>
      </c>
      <c r="M83" s="54">
        <f>STOCK[[#This Row],[Precio Final]]*10%</f>
        <v>2.5</v>
      </c>
      <c r="N83" s="54">
        <v>225</v>
      </c>
      <c r="O83" s="54">
        <v>18</v>
      </c>
      <c r="P83" s="54">
        <v>12.5</v>
      </c>
      <c r="Q83" s="71">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53" t="s">
        <v>214</v>
      </c>
      <c r="F84" s="53" t="s">
        <v>46</v>
      </c>
      <c r="G84" s="53" t="s">
        <v>36</v>
      </c>
      <c r="H84" s="53">
        <f>STOCK[[#This Row],[Precio Final]]</f>
        <v>25</v>
      </c>
      <c r="I84" s="53">
        <f>STOCK[[#This Row],[Precio Venta Ideal (x1.5)]]</f>
        <v>25.26</v>
      </c>
      <c r="J84" s="70">
        <v>1</v>
      </c>
      <c r="K84" s="70">
        <f>SUMIFS(VENTAS[Cantidad],VENTAS[Código del producto Vendido],STOCK[[#This Row],[Code]])</f>
        <v>1</v>
      </c>
      <c r="L84" s="70">
        <f>STOCK[[#This Row],[Entradas]]-STOCK[[#This Row],[Salidas]]</f>
        <v>0</v>
      </c>
      <c r="M84" s="53">
        <f>STOCK[[#This Row],[Precio Final]]*10%</f>
        <v>2.5</v>
      </c>
      <c r="N84" s="53">
        <v>225</v>
      </c>
      <c r="O84" s="53">
        <v>18</v>
      </c>
      <c r="P84" s="53">
        <v>12.5</v>
      </c>
      <c r="Q84" s="70">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54" t="s">
        <v>217</v>
      </c>
      <c r="F85" s="54" t="s">
        <v>49</v>
      </c>
      <c r="G85" s="54" t="s">
        <v>36</v>
      </c>
      <c r="H85" s="54">
        <f>STOCK[[#This Row],[Precio Final]]</f>
        <v>30</v>
      </c>
      <c r="I85" s="54">
        <f>STOCK[[#This Row],[Precio Venta Ideal (x1.5)]]</f>
        <v>31.3766666666667</v>
      </c>
      <c r="J85" s="71">
        <v>1</v>
      </c>
      <c r="K85" s="71">
        <f>SUMIFS(VENTAS[Cantidad],VENTAS[Código del producto Vendido],STOCK[[#This Row],[Code]])</f>
        <v>0</v>
      </c>
      <c r="L85" s="71">
        <f>STOCK[[#This Row],[Entradas]]-STOCK[[#This Row],[Salidas]]</f>
        <v>1</v>
      </c>
      <c r="M85" s="54">
        <f>STOCK[[#This Row],[Precio Final]]*10%</f>
        <v>3</v>
      </c>
      <c r="N85" s="54">
        <v>275</v>
      </c>
      <c r="O85" s="54">
        <v>18</v>
      </c>
      <c r="P85" s="54">
        <v>15.2777777777778</v>
      </c>
      <c r="Q85" s="71">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53" t="s">
        <v>217</v>
      </c>
      <c r="F86" s="53" t="s">
        <v>40</v>
      </c>
      <c r="G86" s="53" t="s">
        <v>36</v>
      </c>
      <c r="H86" s="53">
        <f>STOCK[[#This Row],[Precio Final]]</f>
        <v>30</v>
      </c>
      <c r="I86" s="53">
        <f>STOCK[[#This Row],[Precio Venta Ideal (x1.5)]]</f>
        <v>31.3766666666667</v>
      </c>
      <c r="J86" s="70">
        <v>1</v>
      </c>
      <c r="K86" s="70">
        <f>SUMIFS(VENTAS[Cantidad],VENTAS[Código del producto Vendido],STOCK[[#This Row],[Code]])</f>
        <v>0</v>
      </c>
      <c r="L86" s="70">
        <f>STOCK[[#This Row],[Entradas]]-STOCK[[#This Row],[Salidas]]</f>
        <v>1</v>
      </c>
      <c r="M86" s="53">
        <f>STOCK[[#This Row],[Precio Final]]*10%</f>
        <v>3</v>
      </c>
      <c r="N86" s="53">
        <v>275</v>
      </c>
      <c r="O86" s="53">
        <v>18</v>
      </c>
      <c r="P86" s="53">
        <v>15.2777777777778</v>
      </c>
      <c r="Q86" s="70">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54" t="s">
        <v>220</v>
      </c>
      <c r="F87" s="54" t="s">
        <v>49</v>
      </c>
      <c r="G87" s="54" t="s">
        <v>36</v>
      </c>
      <c r="H87" s="54">
        <f>STOCK[[#This Row],[Precio Final]]</f>
        <v>14</v>
      </c>
      <c r="I87" s="54">
        <f>STOCK[[#This Row],[Precio Venta Ideal (x1.5)]]</f>
        <v>15.3866666666667</v>
      </c>
      <c r="J87" s="71">
        <v>1</v>
      </c>
      <c r="K87" s="71">
        <f>SUMIFS(VENTAS[Cantidad],VENTAS[Código del producto Vendido],STOCK[[#This Row],[Code]])</f>
        <v>1</v>
      </c>
      <c r="L87" s="71">
        <f>STOCK[[#This Row],[Entradas]]-STOCK[[#This Row],[Salidas]]</f>
        <v>0</v>
      </c>
      <c r="M87" s="54">
        <f>STOCK[[#This Row],[Precio Final]]*10%</f>
        <v>1.4</v>
      </c>
      <c r="N87" s="54">
        <v>140</v>
      </c>
      <c r="O87" s="54">
        <v>18</v>
      </c>
      <c r="P87" s="54">
        <v>7.77777777777778</v>
      </c>
      <c r="Q87" s="71">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53" t="s">
        <v>222</v>
      </c>
      <c r="F88" s="53" t="s">
        <v>40</v>
      </c>
      <c r="G88" s="53" t="s">
        <v>36</v>
      </c>
      <c r="H88" s="53">
        <f>STOCK[[#This Row],[Precio Final]]</f>
        <v>30</v>
      </c>
      <c r="I88" s="53">
        <f>STOCK[[#This Row],[Precio Venta Ideal (x1.5)]]</f>
        <v>29.2300000000001</v>
      </c>
      <c r="J88" s="70">
        <v>1</v>
      </c>
      <c r="K88" s="70">
        <f>SUMIFS(VENTAS[Cantidad],VENTAS[Código del producto Vendido],STOCK[[#This Row],[Code]])</f>
        <v>1</v>
      </c>
      <c r="L88" s="70">
        <f>STOCK[[#This Row],[Entradas]]-STOCK[[#This Row],[Salidas]]</f>
        <v>0</v>
      </c>
      <c r="M88" s="53">
        <f>STOCK[[#This Row],[Precio Final]]*10%</f>
        <v>3</v>
      </c>
      <c r="N88" s="53">
        <v>255</v>
      </c>
      <c r="O88" s="53">
        <v>18</v>
      </c>
      <c r="P88" s="53">
        <v>14.1666666666667</v>
      </c>
      <c r="Q88" s="70">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54" t="s">
        <v>224</v>
      </c>
      <c r="F89" s="54" t="s">
        <v>40</v>
      </c>
      <c r="G89" s="54" t="s">
        <v>36</v>
      </c>
      <c r="H89" s="54">
        <f>STOCK[[#This Row],[Precio Final]]</f>
        <v>18</v>
      </c>
      <c r="I89" s="54">
        <f>STOCK[[#This Row],[Precio Venta Ideal (x1.5)]]</f>
        <v>16.47</v>
      </c>
      <c r="J89" s="71">
        <v>1</v>
      </c>
      <c r="K89" s="71">
        <f>SUMIFS(VENTAS[Cantidad],VENTAS[Código del producto Vendido],STOCK[[#This Row],[Code]])</f>
        <v>1</v>
      </c>
      <c r="L89" s="71">
        <f>STOCK[[#This Row],[Entradas]]-STOCK[[#This Row],[Salidas]]</f>
        <v>0</v>
      </c>
      <c r="M89" s="54">
        <f>STOCK[[#This Row],[Precio Final]]*10%</f>
        <v>1.8</v>
      </c>
      <c r="N89" s="54">
        <v>135</v>
      </c>
      <c r="O89" s="54">
        <v>18</v>
      </c>
      <c r="P89" s="54">
        <v>7.5</v>
      </c>
      <c r="Q89" s="71">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53" t="s">
        <v>167</v>
      </c>
      <c r="F90" s="53" t="s">
        <v>49</v>
      </c>
      <c r="G90" s="53" t="s">
        <v>36</v>
      </c>
      <c r="H90" s="53">
        <f>STOCK[[#This Row],[Precio Final]]</f>
        <v>22</v>
      </c>
      <c r="I90" s="53">
        <f>STOCK[[#This Row],[Precio Venta Ideal (x1.5)]]</f>
        <v>22.6066666666667</v>
      </c>
      <c r="J90" s="70">
        <v>1</v>
      </c>
      <c r="K90" s="70">
        <f>SUMIFS(VENTAS[Cantidad],VENTAS[Código del producto Vendido],STOCK[[#This Row],[Code]])</f>
        <v>1</v>
      </c>
      <c r="L90" s="70">
        <f>STOCK[[#This Row],[Entradas]]-STOCK[[#This Row],[Salidas]]</f>
        <v>0</v>
      </c>
      <c r="M90" s="53">
        <f>STOCK[[#This Row],[Precio Final]]*10%</f>
        <v>2.2</v>
      </c>
      <c r="N90" s="53">
        <v>200</v>
      </c>
      <c r="O90" s="53">
        <v>18</v>
      </c>
      <c r="P90" s="53">
        <v>11.1111111111111</v>
      </c>
      <c r="Q90" s="70">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54" t="s">
        <v>227</v>
      </c>
      <c r="F91" s="54" t="s">
        <v>228</v>
      </c>
      <c r="G91" s="54" t="s">
        <v>36</v>
      </c>
      <c r="H91" s="54">
        <f>STOCK[[#This Row],[Precio Final]]</f>
        <v>23</v>
      </c>
      <c r="I91" s="54">
        <f>STOCK[[#This Row],[Precio Venta Ideal (x1.5)]]</f>
        <v>24.3666666666666</v>
      </c>
      <c r="J91" s="71">
        <v>1</v>
      </c>
      <c r="K91" s="71">
        <f>SUMIFS(VENTAS[Cantidad],VENTAS[Código del producto Vendido],STOCK[[#This Row],[Code]])</f>
        <v>1</v>
      </c>
      <c r="L91" s="71">
        <f>STOCK[[#This Row],[Entradas]]-STOCK[[#This Row],[Salidas]]</f>
        <v>0</v>
      </c>
      <c r="M91" s="54">
        <f>STOCK[[#This Row],[Precio Final]]*10%</f>
        <v>2.3</v>
      </c>
      <c r="N91" s="54">
        <v>215</v>
      </c>
      <c r="O91" s="54">
        <v>18</v>
      </c>
      <c r="P91" s="54">
        <v>11.9444444444444</v>
      </c>
      <c r="Q91" s="71">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53" t="s">
        <v>230</v>
      </c>
      <c r="F92" s="53" t="s">
        <v>228</v>
      </c>
      <c r="G92" s="53" t="s">
        <v>36</v>
      </c>
      <c r="H92" s="53">
        <f>STOCK[[#This Row],[Precio Final]]</f>
        <v>23</v>
      </c>
      <c r="I92" s="53">
        <f>STOCK[[#This Row],[Precio Venta Ideal (x1.5)]]</f>
        <v>24.3666666666666</v>
      </c>
      <c r="J92" s="70">
        <v>1</v>
      </c>
      <c r="K92" s="70">
        <f>SUMIFS(VENTAS[Cantidad],VENTAS[Código del producto Vendido],STOCK[[#This Row],[Code]])</f>
        <v>1</v>
      </c>
      <c r="L92" s="70">
        <f>STOCK[[#This Row],[Entradas]]-STOCK[[#This Row],[Salidas]]</f>
        <v>0</v>
      </c>
      <c r="M92" s="53">
        <f>STOCK[[#This Row],[Precio Final]]*10%</f>
        <v>2.3</v>
      </c>
      <c r="N92" s="53">
        <v>215</v>
      </c>
      <c r="O92" s="53">
        <v>18</v>
      </c>
      <c r="P92" s="53">
        <v>11.9444444444444</v>
      </c>
      <c r="Q92" s="70">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54" t="s">
        <v>232</v>
      </c>
      <c r="F93" s="54" t="s">
        <v>62</v>
      </c>
      <c r="G93" s="54" t="s">
        <v>36</v>
      </c>
      <c r="H93" s="54">
        <f>STOCK[[#This Row],[Precio Final]]</f>
        <v>28</v>
      </c>
      <c r="I93" s="54">
        <f>STOCK[[#This Row],[Precio Venta Ideal (x1.5)]]</f>
        <v>31.92</v>
      </c>
      <c r="J93" s="71">
        <v>1</v>
      </c>
      <c r="K93" s="71">
        <f>SUMIFS(VENTAS[Cantidad],VENTAS[Código del producto Vendido],STOCK[[#This Row],[Code]])</f>
        <v>1</v>
      </c>
      <c r="L93" s="71">
        <f>STOCK[[#This Row],[Entradas]]-STOCK[[#This Row],[Salidas]]</f>
        <v>0</v>
      </c>
      <c r="M93" s="54">
        <f>STOCK[[#This Row],[Precio Final]]*10%</f>
        <v>2.8</v>
      </c>
      <c r="N93" s="54">
        <v>270</v>
      </c>
      <c r="O93" s="54">
        <v>18</v>
      </c>
      <c r="P93" s="54">
        <v>15</v>
      </c>
      <c r="Q93" s="71">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53" t="s">
        <v>234</v>
      </c>
      <c r="F94" s="53" t="s">
        <v>49</v>
      </c>
      <c r="G94" s="53" t="s">
        <v>36</v>
      </c>
      <c r="H94" s="53">
        <f>STOCK[[#This Row],[Precio Final]]</f>
        <v>14</v>
      </c>
      <c r="I94" s="53">
        <f>STOCK[[#This Row],[Precio Venta Ideal (x1.5)]]</f>
        <v>14.4333333333333</v>
      </c>
      <c r="J94" s="70">
        <v>1</v>
      </c>
      <c r="K94" s="70">
        <f>SUMIFS(VENTAS[Cantidad],VENTAS[Código del producto Vendido],STOCK[[#This Row],[Code]])</f>
        <v>1</v>
      </c>
      <c r="L94" s="70">
        <f>STOCK[[#This Row],[Entradas]]-STOCK[[#This Row],[Salidas]]</f>
        <v>0</v>
      </c>
      <c r="M94" s="53">
        <f>STOCK[[#This Row],[Precio Final]]*10%</f>
        <v>1.4</v>
      </c>
      <c r="N94" s="53">
        <v>130</v>
      </c>
      <c r="O94" s="53">
        <v>18</v>
      </c>
      <c r="P94" s="53">
        <v>7.22222222222222</v>
      </c>
      <c r="Q94" s="70">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54" t="s">
        <v>236</v>
      </c>
      <c r="F95" s="54" t="s">
        <v>40</v>
      </c>
      <c r="G95" s="54" t="s">
        <v>36</v>
      </c>
      <c r="H95" s="54">
        <f>STOCK[[#This Row],[Precio Final]]</f>
        <v>12</v>
      </c>
      <c r="I95" s="54">
        <f>STOCK[[#This Row],[Precio Venta Ideal (x1.5)]]</f>
        <v>13.6566666666667</v>
      </c>
      <c r="J95" s="71">
        <v>1</v>
      </c>
      <c r="K95" s="71">
        <f>SUMIFS(VENTAS[Cantidad],VENTAS[Código del producto Vendido],STOCK[[#This Row],[Code]])</f>
        <v>1</v>
      </c>
      <c r="L95" s="71">
        <f>STOCK[[#This Row],[Entradas]]-STOCK[[#This Row],[Salidas]]</f>
        <v>0</v>
      </c>
      <c r="M95" s="54">
        <f>STOCK[[#This Row],[Precio Final]]*10%</f>
        <v>1.2</v>
      </c>
      <c r="N95" s="54">
        <v>125</v>
      </c>
      <c r="O95" s="54">
        <v>18</v>
      </c>
      <c r="P95" s="54">
        <v>6.94444444444444</v>
      </c>
      <c r="Q95" s="71">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53" t="s">
        <v>236</v>
      </c>
      <c r="F96" s="53" t="s">
        <v>49</v>
      </c>
      <c r="G96" s="53" t="s">
        <v>36</v>
      </c>
      <c r="H96" s="53">
        <f>STOCK[[#This Row],[Precio Final]]</f>
        <v>12</v>
      </c>
      <c r="I96" s="53">
        <f>STOCK[[#This Row],[Precio Venta Ideal (x1.5)]]</f>
        <v>13.6566666666667</v>
      </c>
      <c r="J96" s="70">
        <v>1</v>
      </c>
      <c r="K96" s="70">
        <f>SUMIFS(VENTAS[Cantidad],VENTAS[Código del producto Vendido],STOCK[[#This Row],[Code]])</f>
        <v>1</v>
      </c>
      <c r="L96" s="70">
        <f>STOCK[[#This Row],[Entradas]]-STOCK[[#This Row],[Salidas]]</f>
        <v>0</v>
      </c>
      <c r="M96" s="53">
        <f>STOCK[[#This Row],[Precio Final]]*10%</f>
        <v>1.2</v>
      </c>
      <c r="N96" s="53">
        <v>125</v>
      </c>
      <c r="O96" s="53">
        <v>18</v>
      </c>
      <c r="P96" s="53">
        <v>6.94444444444444</v>
      </c>
      <c r="Q96" s="70">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54" t="s">
        <v>239</v>
      </c>
      <c r="F97" s="54" t="s">
        <v>49</v>
      </c>
      <c r="G97" s="54" t="s">
        <v>36</v>
      </c>
      <c r="H97" s="54">
        <f>STOCK[[#This Row],[Precio Final]]</f>
        <v>28</v>
      </c>
      <c r="I97" s="54">
        <f>STOCK[[#This Row],[Precio Venta Ideal (x1.5)]]</f>
        <v>31.7966666666667</v>
      </c>
      <c r="J97" s="71">
        <v>1</v>
      </c>
      <c r="K97" s="71">
        <f>SUMIFS(VENTAS[Cantidad],VENTAS[Código del producto Vendido],STOCK[[#This Row],[Code]])</f>
        <v>1</v>
      </c>
      <c r="L97" s="71">
        <f>STOCK[[#This Row],[Entradas]]-STOCK[[#This Row],[Salidas]]</f>
        <v>0</v>
      </c>
      <c r="M97" s="54">
        <f>STOCK[[#This Row],[Precio Final]]*10%</f>
        <v>2.8</v>
      </c>
      <c r="N97" s="54">
        <v>275</v>
      </c>
      <c r="O97" s="54">
        <v>18</v>
      </c>
      <c r="P97" s="54">
        <v>15.2777777777778</v>
      </c>
      <c r="Q97" s="71">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53" t="s">
        <v>239</v>
      </c>
      <c r="F98" s="53" t="s">
        <v>40</v>
      </c>
      <c r="G98" s="53" t="s">
        <v>36</v>
      </c>
      <c r="H98" s="53">
        <f>STOCK[[#This Row],[Precio Final]]</f>
        <v>28</v>
      </c>
      <c r="I98" s="53">
        <f>STOCK[[#This Row],[Precio Venta Ideal (x1.5)]]</f>
        <v>30.6566666666667</v>
      </c>
      <c r="J98" s="70">
        <v>1</v>
      </c>
      <c r="K98" s="70">
        <f>SUMIFS(VENTAS[Cantidad],VENTAS[Código del producto Vendido],STOCK[[#This Row],[Code]])</f>
        <v>1</v>
      </c>
      <c r="L98" s="70">
        <f>STOCK[[#This Row],[Entradas]]-STOCK[[#This Row],[Salidas]]</f>
        <v>0</v>
      </c>
      <c r="M98" s="53">
        <f>STOCK[[#This Row],[Precio Final]]*10%</f>
        <v>2.8</v>
      </c>
      <c r="N98" s="53">
        <v>275</v>
      </c>
      <c r="O98" s="53">
        <v>18</v>
      </c>
      <c r="P98" s="53">
        <v>15.2777777777778</v>
      </c>
      <c r="Q98" s="70">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54" t="s">
        <v>242</v>
      </c>
      <c r="F99" s="54" t="s">
        <v>46</v>
      </c>
      <c r="G99" s="54" t="s">
        <v>36</v>
      </c>
      <c r="H99" s="54">
        <f>STOCK[[#This Row],[Precio Final]]</f>
        <v>20</v>
      </c>
      <c r="I99" s="54">
        <f>STOCK[[#This Row],[Precio Venta Ideal (x1.5)]]</f>
        <v>20.8133333333334</v>
      </c>
      <c r="J99" s="71">
        <v>1</v>
      </c>
      <c r="K99" s="71">
        <f>SUMIFS(VENTAS[Cantidad],VENTAS[Código del producto Vendido],STOCK[[#This Row],[Code]])</f>
        <v>1</v>
      </c>
      <c r="L99" s="71">
        <f>STOCK[[#This Row],[Entradas]]-STOCK[[#This Row],[Salidas]]</f>
        <v>0</v>
      </c>
      <c r="M99" s="54">
        <f>STOCK[[#This Row],[Precio Final]]*10%</f>
        <v>2</v>
      </c>
      <c r="N99" s="54">
        <v>190</v>
      </c>
      <c r="O99" s="54">
        <v>18</v>
      </c>
      <c r="P99" s="54">
        <v>10.5555555555556</v>
      </c>
      <c r="Q99" s="71">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53" t="s">
        <v>242</v>
      </c>
      <c r="F100" s="53" t="s">
        <v>49</v>
      </c>
      <c r="G100" s="53" t="s">
        <v>36</v>
      </c>
      <c r="H100" s="53">
        <f>STOCK[[#This Row],[Precio Final]]</f>
        <v>20</v>
      </c>
      <c r="I100" s="53">
        <f>STOCK[[#This Row],[Precio Venta Ideal (x1.5)]]</f>
        <v>20.6933333333334</v>
      </c>
      <c r="J100" s="70">
        <v>1</v>
      </c>
      <c r="K100" s="70">
        <f>SUMIFS(VENTAS[Cantidad],VENTAS[Código del producto Vendido],STOCK[[#This Row],[Code]])</f>
        <v>1</v>
      </c>
      <c r="L100" s="70">
        <f>STOCK[[#This Row],[Entradas]]-STOCK[[#This Row],[Salidas]]</f>
        <v>0</v>
      </c>
      <c r="M100" s="53">
        <f>STOCK[[#This Row],[Precio Final]]*10%</f>
        <v>2</v>
      </c>
      <c r="N100" s="53">
        <v>190</v>
      </c>
      <c r="O100" s="53">
        <v>18</v>
      </c>
      <c r="P100" s="53">
        <v>10.5555555555556</v>
      </c>
      <c r="Q100" s="70">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54" t="s">
        <v>245</v>
      </c>
      <c r="F101" s="54" t="s">
        <v>49</v>
      </c>
      <c r="G101" s="54" t="s">
        <v>36</v>
      </c>
      <c r="H101" s="54">
        <f>STOCK[[#This Row],[Precio Final]]</f>
        <v>14</v>
      </c>
      <c r="I101" s="54">
        <f>STOCK[[#This Row],[Precio Venta Ideal (x1.5)]]</f>
        <v>15.7566666666667</v>
      </c>
      <c r="J101" s="71">
        <v>1</v>
      </c>
      <c r="K101" s="71">
        <f>SUMIFS(VENTAS[Cantidad],VENTAS[Código del producto Vendido],STOCK[[#This Row],[Code]])</f>
        <v>1</v>
      </c>
      <c r="L101" s="71">
        <f>STOCK[[#This Row],[Entradas]]-STOCK[[#This Row],[Salidas]]</f>
        <v>0</v>
      </c>
      <c r="M101" s="54">
        <f>STOCK[[#This Row],[Precio Final]]*10%</f>
        <v>1.4</v>
      </c>
      <c r="N101" s="54">
        <v>143</v>
      </c>
      <c r="O101" s="54">
        <v>18</v>
      </c>
      <c r="P101" s="54">
        <v>7.94444444444444</v>
      </c>
      <c r="Q101" s="71">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53" t="s">
        <v>248</v>
      </c>
      <c r="F102" s="53" t="s">
        <v>205</v>
      </c>
      <c r="G102" s="53" t="s">
        <v>36</v>
      </c>
      <c r="H102" s="53">
        <f>STOCK[[#This Row],[Precio Final]]</f>
        <v>13</v>
      </c>
      <c r="I102" s="53">
        <f>STOCK[[#This Row],[Precio Venta Ideal (x1.5)]]</f>
        <v>14.0133333333333</v>
      </c>
      <c r="J102" s="70">
        <v>1</v>
      </c>
      <c r="K102" s="70">
        <f>SUMIFS(VENTAS[Cantidad],VENTAS[Código del producto Vendido],STOCK[[#This Row],[Code]])</f>
        <v>1</v>
      </c>
      <c r="L102" s="70">
        <f>STOCK[[#This Row],[Entradas]]-STOCK[[#This Row],[Salidas]]</f>
        <v>0</v>
      </c>
      <c r="M102" s="53">
        <f>STOCK[[#This Row],[Precio Final]]*10%</f>
        <v>1.3</v>
      </c>
      <c r="N102" s="53">
        <v>121</v>
      </c>
      <c r="O102" s="53">
        <v>18</v>
      </c>
      <c r="P102" s="53">
        <v>6.72222222222222</v>
      </c>
      <c r="Q102" s="70">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54" t="s">
        <v>250</v>
      </c>
      <c r="F103" s="54" t="s">
        <v>42</v>
      </c>
      <c r="G103" s="54" t="s">
        <v>36</v>
      </c>
      <c r="H103" s="54">
        <f>STOCK[[#This Row],[Precio Final]]</f>
        <v>25</v>
      </c>
      <c r="I103" s="54">
        <f>STOCK[[#This Row],[Precio Venta Ideal (x1.5)]]</f>
        <v>29.55</v>
      </c>
      <c r="J103" s="71">
        <v>1</v>
      </c>
      <c r="K103" s="71">
        <f>SUMIFS(VENTAS[Cantidad],VENTAS[Código del producto Vendido],STOCK[[#This Row],[Code]])</f>
        <v>1</v>
      </c>
      <c r="L103" s="71">
        <f>STOCK[[#This Row],[Entradas]]-STOCK[[#This Row],[Salidas]]</f>
        <v>0</v>
      </c>
      <c r="M103" s="54">
        <f>STOCK[[#This Row],[Precio Final]]*10%</f>
        <v>2.5</v>
      </c>
      <c r="N103" s="54">
        <v>270</v>
      </c>
      <c r="O103" s="54">
        <v>18</v>
      </c>
      <c r="P103" s="54">
        <v>15</v>
      </c>
      <c r="Q103" s="71">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53" t="s">
        <v>252</v>
      </c>
      <c r="F104" s="53" t="s">
        <v>211</v>
      </c>
      <c r="G104" s="53" t="s">
        <v>36</v>
      </c>
      <c r="H104" s="53">
        <f>STOCK[[#This Row],[Precio Final]]</f>
        <v>25</v>
      </c>
      <c r="I104" s="53">
        <f>STOCK[[#This Row],[Precio Venta Ideal (x1.5)]]</f>
        <v>28.89</v>
      </c>
      <c r="J104" s="70">
        <v>1</v>
      </c>
      <c r="K104" s="70">
        <f>SUMIFS(VENTAS[Cantidad],VENTAS[Código del producto Vendido],STOCK[[#This Row],[Code]])</f>
        <v>1</v>
      </c>
      <c r="L104" s="70">
        <f>STOCK[[#This Row],[Entradas]]-STOCK[[#This Row],[Salidas]]</f>
        <v>0</v>
      </c>
      <c r="M104" s="53">
        <f>STOCK[[#This Row],[Precio Final]]*10%</f>
        <v>2.5</v>
      </c>
      <c r="N104" s="53">
        <v>270</v>
      </c>
      <c r="O104" s="53">
        <v>18</v>
      </c>
      <c r="P104" s="53">
        <v>15</v>
      </c>
      <c r="Q104" s="70">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54" t="s">
        <v>250</v>
      </c>
      <c r="F105" s="54" t="s">
        <v>62</v>
      </c>
      <c r="G105" s="54" t="s">
        <v>36</v>
      </c>
      <c r="H105" s="54">
        <f>STOCK[[#This Row],[Precio Final]]</f>
        <v>25</v>
      </c>
      <c r="I105" s="54">
        <f>STOCK[[#This Row],[Precio Venta Ideal (x1.5)]]</f>
        <v>28.95</v>
      </c>
      <c r="J105" s="71">
        <v>1</v>
      </c>
      <c r="K105" s="71">
        <f>SUMIFS(VENTAS[Cantidad],VENTAS[Código del producto Vendido],STOCK[[#This Row],[Code]])</f>
        <v>1</v>
      </c>
      <c r="L105" s="71">
        <f>STOCK[[#This Row],[Entradas]]-STOCK[[#This Row],[Salidas]]</f>
        <v>0</v>
      </c>
      <c r="M105" s="54">
        <f>STOCK[[#This Row],[Precio Final]]*10%</f>
        <v>2.5</v>
      </c>
      <c r="N105" s="54">
        <v>270</v>
      </c>
      <c r="O105" s="54">
        <v>18</v>
      </c>
      <c r="P105" s="54">
        <v>15</v>
      </c>
      <c r="Q105" s="71">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53" t="s">
        <v>255</v>
      </c>
      <c r="F106" s="53" t="s">
        <v>187</v>
      </c>
      <c r="G106" s="53" t="s">
        <v>36</v>
      </c>
      <c r="H106" s="53">
        <f>STOCK[[#This Row],[Precio Final]]</f>
        <v>12</v>
      </c>
      <c r="I106" s="53">
        <f>STOCK[[#This Row],[Precio Venta Ideal (x1.5)]]</f>
        <v>14.3133333333333</v>
      </c>
      <c r="J106" s="70">
        <v>1</v>
      </c>
      <c r="K106" s="70">
        <f>SUMIFS(VENTAS[Cantidad],VENTAS[Código del producto Vendido],STOCK[[#This Row],[Code]])</f>
        <v>1</v>
      </c>
      <c r="L106" s="70">
        <f>STOCK[[#This Row],[Entradas]]-STOCK[[#This Row],[Salidas]]</f>
        <v>0</v>
      </c>
      <c r="M106" s="53">
        <f>STOCK[[#This Row],[Precio Final]]*10%</f>
        <v>1.2</v>
      </c>
      <c r="N106" s="53">
        <v>130</v>
      </c>
      <c r="O106" s="53">
        <v>18</v>
      </c>
      <c r="P106" s="53">
        <v>7.22222222222222</v>
      </c>
      <c r="Q106" s="70">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54" t="s">
        <v>257</v>
      </c>
      <c r="F107" s="54" t="s">
        <v>258</v>
      </c>
      <c r="G107" s="54" t="s">
        <v>36</v>
      </c>
      <c r="H107" s="54">
        <f>STOCK[[#This Row],[Precio Final]]</f>
        <v>14</v>
      </c>
      <c r="I107" s="54">
        <f>STOCK[[#This Row],[Precio Venta Ideal (x1.5)]]</f>
        <v>14.6133333333333</v>
      </c>
      <c r="J107" s="71">
        <v>1</v>
      </c>
      <c r="K107" s="71">
        <f>SUMIFS(VENTAS[Cantidad],VENTAS[Código del producto Vendido],STOCK[[#This Row],[Code]])</f>
        <v>1</v>
      </c>
      <c r="L107" s="71">
        <f>STOCK[[#This Row],[Entradas]]-STOCK[[#This Row],[Salidas]]</f>
        <v>0</v>
      </c>
      <c r="M107" s="54">
        <f>STOCK[[#This Row],[Precio Final]]*10%</f>
        <v>1.4</v>
      </c>
      <c r="N107" s="54">
        <v>130</v>
      </c>
      <c r="O107" s="54">
        <v>18</v>
      </c>
      <c r="P107" s="54">
        <v>7.22222222222222</v>
      </c>
      <c r="Q107" s="71">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53" t="s">
        <v>260</v>
      </c>
      <c r="F108" s="53" t="s">
        <v>62</v>
      </c>
      <c r="G108" s="53" t="s">
        <v>36</v>
      </c>
      <c r="H108" s="53">
        <f>STOCK[[#This Row],[Precio Final]]</f>
        <v>12</v>
      </c>
      <c r="I108" s="53">
        <f>STOCK[[#This Row],[Precio Venta Ideal (x1.5)]]</f>
        <v>13.0666666666667</v>
      </c>
      <c r="J108" s="70">
        <v>1</v>
      </c>
      <c r="K108" s="70">
        <f>SUMIFS(VENTAS[Cantidad],VENTAS[Código del producto Vendido],STOCK[[#This Row],[Code]])</f>
        <v>1</v>
      </c>
      <c r="L108" s="70">
        <f>STOCK[[#This Row],[Entradas]]-STOCK[[#This Row],[Salidas]]</f>
        <v>0</v>
      </c>
      <c r="M108" s="53">
        <f>STOCK[[#This Row],[Precio Final]]*10%</f>
        <v>1.2</v>
      </c>
      <c r="N108" s="53">
        <v>110</v>
      </c>
      <c r="O108" s="53">
        <v>18</v>
      </c>
      <c r="P108" s="53">
        <v>6.11111111111111</v>
      </c>
      <c r="Q108" s="70">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54" t="s">
        <v>262</v>
      </c>
      <c r="F109" s="54" t="s">
        <v>62</v>
      </c>
      <c r="G109" s="54" t="s">
        <v>36</v>
      </c>
      <c r="H109" s="54">
        <f>STOCK[[#This Row],[Precio Final]]</f>
        <v>14</v>
      </c>
      <c r="I109" s="54">
        <f>STOCK[[#This Row],[Precio Venta Ideal (x1.5)]]</f>
        <v>14.2533333333333</v>
      </c>
      <c r="J109" s="71">
        <v>1</v>
      </c>
      <c r="K109" s="71">
        <f>SUMIFS(VENTAS[Cantidad],VENTAS[Código del producto Vendido],STOCK[[#This Row],[Code]])</f>
        <v>1</v>
      </c>
      <c r="L109" s="71">
        <f>STOCK[[#This Row],[Entradas]]-STOCK[[#This Row],[Salidas]]</f>
        <v>0</v>
      </c>
      <c r="M109" s="54">
        <f>STOCK[[#This Row],[Precio Final]]*10%</f>
        <v>1.4</v>
      </c>
      <c r="N109" s="54">
        <v>130</v>
      </c>
      <c r="O109" s="54">
        <v>18</v>
      </c>
      <c r="P109" s="54">
        <v>7.22222222222222</v>
      </c>
      <c r="Q109" s="71">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53" t="s">
        <v>262</v>
      </c>
      <c r="F110" s="53" t="s">
        <v>49</v>
      </c>
      <c r="G110" s="53" t="s">
        <v>36</v>
      </c>
      <c r="H110" s="53">
        <f>STOCK[[#This Row],[Precio Final]]</f>
        <v>14</v>
      </c>
      <c r="I110" s="53">
        <f>STOCK[[#This Row],[Precio Venta Ideal (x1.5)]]</f>
        <v>14.1333333333333</v>
      </c>
      <c r="J110" s="70">
        <v>1</v>
      </c>
      <c r="K110" s="70">
        <f>SUMIFS(VENTAS[Cantidad],VENTAS[Código del producto Vendido],STOCK[[#This Row],[Code]])</f>
        <v>1</v>
      </c>
      <c r="L110" s="70">
        <f>STOCK[[#This Row],[Entradas]]-STOCK[[#This Row],[Salidas]]</f>
        <v>0</v>
      </c>
      <c r="M110" s="53">
        <f>STOCK[[#This Row],[Precio Final]]*10%</f>
        <v>1.4</v>
      </c>
      <c r="N110" s="53">
        <v>130</v>
      </c>
      <c r="O110" s="53">
        <v>18</v>
      </c>
      <c r="P110" s="53">
        <v>7.22222222222222</v>
      </c>
      <c r="Q110" s="70">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54" t="s">
        <v>262</v>
      </c>
      <c r="F111" s="54" t="s">
        <v>46</v>
      </c>
      <c r="G111" s="54" t="s">
        <v>36</v>
      </c>
      <c r="H111" s="54">
        <f>STOCK[[#This Row],[Precio Final]]</f>
        <v>14</v>
      </c>
      <c r="I111" s="54">
        <f>STOCK[[#This Row],[Precio Venta Ideal (x1.5)]]</f>
        <v>14.4933333333333</v>
      </c>
      <c r="J111" s="71">
        <v>1</v>
      </c>
      <c r="K111" s="71">
        <f>SUMIFS(VENTAS[Cantidad],VENTAS[Código del producto Vendido],STOCK[[#This Row],[Code]])</f>
        <v>1</v>
      </c>
      <c r="L111" s="71">
        <f>STOCK[[#This Row],[Entradas]]-STOCK[[#This Row],[Salidas]]</f>
        <v>0</v>
      </c>
      <c r="M111" s="54">
        <f>STOCK[[#This Row],[Precio Final]]*10%</f>
        <v>1.4</v>
      </c>
      <c r="N111" s="54">
        <v>130</v>
      </c>
      <c r="O111" s="54">
        <v>18</v>
      </c>
      <c r="P111" s="54">
        <v>7.22222222222222</v>
      </c>
      <c r="Q111" s="71">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53" t="s">
        <v>266</v>
      </c>
      <c r="F112" s="53" t="s">
        <v>62</v>
      </c>
      <c r="G112" s="53" t="s">
        <v>36</v>
      </c>
      <c r="H112" s="53">
        <f>STOCK[[#This Row],[Precio Final]]</f>
        <v>0</v>
      </c>
      <c r="I112" s="53">
        <f>STOCK[[#This Row],[Precio Venta Ideal (x1.5)]]</f>
        <v>26.8733333333334</v>
      </c>
      <c r="J112" s="70">
        <v>1</v>
      </c>
      <c r="K112" s="70">
        <f>SUMIFS(VENTAS[Cantidad],VENTAS[Código del producto Vendido],STOCK[[#This Row],[Code]])</f>
        <v>1</v>
      </c>
      <c r="L112" s="70">
        <f>STOCK[[#This Row],[Entradas]]-STOCK[[#This Row],[Salidas]]</f>
        <v>0</v>
      </c>
      <c r="M112" s="53">
        <f>STOCK[[#This Row],[Precio Final]]*10%</f>
        <v>0</v>
      </c>
      <c r="N112" s="53">
        <v>280</v>
      </c>
      <c r="O112" s="53">
        <v>18</v>
      </c>
      <c r="P112" s="53">
        <v>15.5555555555556</v>
      </c>
      <c r="Q112" s="70">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54" t="s">
        <v>268</v>
      </c>
      <c r="F113" s="54" t="s">
        <v>49</v>
      </c>
      <c r="G113" s="54" t="s">
        <v>36</v>
      </c>
      <c r="H113" s="54">
        <f>STOCK[[#This Row],[Precio Final]]</f>
        <v>25</v>
      </c>
      <c r="I113" s="54">
        <f>STOCK[[#This Row],[Precio Venta Ideal (x1.5)]]</f>
        <v>23.4166666666667</v>
      </c>
      <c r="J113" s="71">
        <v>1</v>
      </c>
      <c r="K113" s="71">
        <f>SUMIFS(VENTAS[Cantidad],VENTAS[Código del producto Vendido],STOCK[[#This Row],[Code]])</f>
        <v>1</v>
      </c>
      <c r="L113" s="71">
        <f>STOCK[[#This Row],[Entradas]]-STOCK[[#This Row],[Salidas]]</f>
        <v>0</v>
      </c>
      <c r="M113" s="54">
        <f>STOCK[[#This Row],[Precio Final]]*10%</f>
        <v>2.5</v>
      </c>
      <c r="N113" s="54">
        <v>200</v>
      </c>
      <c r="O113" s="54">
        <v>18</v>
      </c>
      <c r="P113" s="54">
        <v>11.1111111111111</v>
      </c>
      <c r="Q113" s="71">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53" t="s">
        <v>268</v>
      </c>
      <c r="F114" s="53" t="s">
        <v>62</v>
      </c>
      <c r="G114" s="53" t="s">
        <v>36</v>
      </c>
      <c r="H114" s="53">
        <f>STOCK[[#This Row],[Precio Final]]</f>
        <v>25</v>
      </c>
      <c r="I114" s="53">
        <f>STOCK[[#This Row],[Precio Venta Ideal (x1.5)]]</f>
        <v>23.3566666666667</v>
      </c>
      <c r="J114" s="70">
        <v>1</v>
      </c>
      <c r="K114" s="70">
        <f>SUMIFS(VENTAS[Cantidad],VENTAS[Código del producto Vendido],STOCK[[#This Row],[Code]])</f>
        <v>1</v>
      </c>
      <c r="L114" s="70">
        <f>STOCK[[#This Row],[Entradas]]-STOCK[[#This Row],[Salidas]]</f>
        <v>0</v>
      </c>
      <c r="M114" s="53">
        <f>STOCK[[#This Row],[Precio Final]]*10%</f>
        <v>2.5</v>
      </c>
      <c r="N114" s="53">
        <v>200</v>
      </c>
      <c r="O114" s="53">
        <v>18</v>
      </c>
      <c r="P114" s="53">
        <v>11.1111111111111</v>
      </c>
      <c r="Q114" s="70">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54" t="s">
        <v>271</v>
      </c>
      <c r="F115" s="54" t="s">
        <v>211</v>
      </c>
      <c r="G115" s="54" t="s">
        <v>36</v>
      </c>
      <c r="H115" s="54">
        <f>STOCK[[#This Row],[Precio Final]]</f>
        <v>20</v>
      </c>
      <c r="I115" s="54">
        <f>STOCK[[#This Row],[Precio Venta Ideal (x1.5)]]</f>
        <v>23.0833333333333</v>
      </c>
      <c r="J115" s="71">
        <v>1</v>
      </c>
      <c r="K115" s="71">
        <f>SUMIFS(VENTAS[Cantidad],VENTAS[Código del producto Vendido],STOCK[[#This Row],[Code]])</f>
        <v>1</v>
      </c>
      <c r="L115" s="71">
        <f>STOCK[[#This Row],[Entradas]]-STOCK[[#This Row],[Salidas]]</f>
        <v>0</v>
      </c>
      <c r="M115" s="54">
        <f>STOCK[[#This Row],[Precio Final]]*10%</f>
        <v>2</v>
      </c>
      <c r="N115" s="54">
        <v>205</v>
      </c>
      <c r="O115" s="54">
        <v>18</v>
      </c>
      <c r="P115" s="54">
        <v>11.3888888888889</v>
      </c>
      <c r="Q115" s="71">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53" t="s">
        <v>273</v>
      </c>
      <c r="F116" s="53" t="s">
        <v>62</v>
      </c>
      <c r="G116" s="53" t="s">
        <v>36</v>
      </c>
      <c r="H116" s="53">
        <f>STOCK[[#This Row],[Precio Final]]</f>
        <v>22</v>
      </c>
      <c r="I116" s="53">
        <f>STOCK[[#This Row],[Precio Venta Ideal (x1.5)]]</f>
        <v>23.3833333333333</v>
      </c>
      <c r="J116" s="70">
        <v>1</v>
      </c>
      <c r="K116" s="70">
        <f>SUMIFS(VENTAS[Cantidad],VENTAS[Código del producto Vendido],STOCK[[#This Row],[Code]])</f>
        <v>1</v>
      </c>
      <c r="L116" s="70">
        <f>STOCK[[#This Row],[Entradas]]-STOCK[[#This Row],[Salidas]]</f>
        <v>0</v>
      </c>
      <c r="M116" s="53">
        <f>STOCK[[#This Row],[Precio Final]]*10%</f>
        <v>2.2</v>
      </c>
      <c r="N116" s="53">
        <v>205</v>
      </c>
      <c r="O116" s="53">
        <v>18</v>
      </c>
      <c r="P116" s="53">
        <v>11.3888888888889</v>
      </c>
      <c r="Q116" s="70">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54" t="s">
        <v>271</v>
      </c>
      <c r="F117" s="54" t="s">
        <v>83</v>
      </c>
      <c r="G117" s="54" t="s">
        <v>36</v>
      </c>
      <c r="H117" s="54">
        <f>STOCK[[#This Row],[Precio Final]]</f>
        <v>20</v>
      </c>
      <c r="I117" s="54">
        <f>STOCK[[#This Row],[Precio Venta Ideal (x1.5)]]</f>
        <v>23.6833333333334</v>
      </c>
      <c r="J117" s="71">
        <v>1</v>
      </c>
      <c r="K117" s="71">
        <f>SUMIFS(VENTAS[Cantidad],VENTAS[Código del producto Vendido],STOCK[[#This Row],[Code]])</f>
        <v>1</v>
      </c>
      <c r="L117" s="71">
        <f>STOCK[[#This Row],[Entradas]]-STOCK[[#This Row],[Salidas]]</f>
        <v>0</v>
      </c>
      <c r="M117" s="54">
        <f>STOCK[[#This Row],[Precio Final]]*10%</f>
        <v>2</v>
      </c>
      <c r="N117" s="54">
        <v>205</v>
      </c>
      <c r="O117" s="54">
        <v>18</v>
      </c>
      <c r="P117" s="54">
        <v>11.3888888888889</v>
      </c>
      <c r="Q117" s="71">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53" t="s">
        <v>273</v>
      </c>
      <c r="F118" s="53" t="s">
        <v>46</v>
      </c>
      <c r="G118" s="53" t="s">
        <v>36</v>
      </c>
      <c r="H118" s="53">
        <f>STOCK[[#This Row],[Precio Final]]</f>
        <v>22</v>
      </c>
      <c r="I118" s="53">
        <f>STOCK[[#This Row],[Precio Venta Ideal (x1.5)]]</f>
        <v>23.9833333333334</v>
      </c>
      <c r="J118" s="70">
        <v>1</v>
      </c>
      <c r="K118" s="70">
        <f>SUMIFS(VENTAS[Cantidad],VENTAS[Código del producto Vendido],STOCK[[#This Row],[Code]])</f>
        <v>1</v>
      </c>
      <c r="L118" s="70">
        <f>STOCK[[#This Row],[Entradas]]-STOCK[[#This Row],[Salidas]]</f>
        <v>0</v>
      </c>
      <c r="M118" s="53">
        <f>STOCK[[#This Row],[Precio Final]]*10%</f>
        <v>2.2</v>
      </c>
      <c r="N118" s="53">
        <v>205</v>
      </c>
      <c r="O118" s="53">
        <v>18</v>
      </c>
      <c r="P118" s="53">
        <v>11.3888888888889</v>
      </c>
      <c r="Q118" s="70">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54" t="s">
        <v>277</v>
      </c>
      <c r="F119" s="54" t="s">
        <v>49</v>
      </c>
      <c r="G119" s="54" t="s">
        <v>36</v>
      </c>
      <c r="H119" s="54">
        <f>STOCK[[#This Row],[Precio Final]]</f>
        <v>25</v>
      </c>
      <c r="I119" s="54">
        <f>STOCK[[#This Row],[Precio Venta Ideal (x1.5)]]</f>
        <v>22.8166666666666</v>
      </c>
      <c r="J119" s="71">
        <v>1</v>
      </c>
      <c r="K119" s="71">
        <f>SUMIFS(VENTAS[Cantidad],VENTAS[Código del producto Vendido],STOCK[[#This Row],[Code]])</f>
        <v>0</v>
      </c>
      <c r="L119" s="71">
        <f>STOCK[[#This Row],[Entradas]]-STOCK[[#This Row],[Salidas]]</f>
        <v>1</v>
      </c>
      <c r="M119" s="54">
        <f>STOCK[[#This Row],[Precio Final]]*10%</f>
        <v>2.5</v>
      </c>
      <c r="N119" s="54">
        <v>200</v>
      </c>
      <c r="O119" s="54">
        <v>18</v>
      </c>
      <c r="P119" s="54">
        <v>11.1111111111111</v>
      </c>
      <c r="Q119" s="71">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53" t="s">
        <v>280</v>
      </c>
      <c r="F120" s="53" t="s">
        <v>281</v>
      </c>
      <c r="G120" s="53" t="s">
        <v>36</v>
      </c>
      <c r="H120" s="53">
        <f>STOCK[[#This Row],[Precio Final]]</f>
        <v>14</v>
      </c>
      <c r="I120" s="53">
        <f>STOCK[[#This Row],[Precio Venta Ideal (x1.5)]]</f>
        <v>12.5933333333333</v>
      </c>
      <c r="J120" s="70">
        <v>1</v>
      </c>
      <c r="K120" s="70">
        <f>SUMIFS(VENTAS[Cantidad],VENTAS[Código del producto Vendido],STOCK[[#This Row],[Code]])</f>
        <v>1</v>
      </c>
      <c r="L120" s="70">
        <f>STOCK[[#This Row],[Entradas]]-STOCK[[#This Row],[Salidas]]</f>
        <v>0</v>
      </c>
      <c r="M120" s="53">
        <f>STOCK[[#This Row],[Precio Final]]*10%</f>
        <v>1.4</v>
      </c>
      <c r="N120" s="53">
        <v>100</v>
      </c>
      <c r="O120" s="53">
        <v>18</v>
      </c>
      <c r="P120" s="53">
        <v>5.55555555555556</v>
      </c>
      <c r="Q120" s="70">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54" t="s">
        <v>284</v>
      </c>
      <c r="F121" s="54" t="s">
        <v>187</v>
      </c>
      <c r="G121" s="54" t="s">
        <v>36</v>
      </c>
      <c r="H121" s="54">
        <f>STOCK[[#This Row],[Precio Final]]</f>
        <v>20</v>
      </c>
      <c r="I121" s="54">
        <f>STOCK[[#This Row],[Precio Venta Ideal (x1.5)]]</f>
        <v>21.3033333333333</v>
      </c>
      <c r="J121" s="71">
        <v>1</v>
      </c>
      <c r="K121" s="71">
        <f>SUMIFS(VENTAS[Cantidad],VENTAS[Código del producto Vendido],STOCK[[#This Row],[Code]])</f>
        <v>1</v>
      </c>
      <c r="L121" s="71">
        <f>STOCK[[#This Row],[Entradas]]-STOCK[[#This Row],[Salidas]]</f>
        <v>0</v>
      </c>
      <c r="M121" s="54">
        <f>STOCK[[#This Row],[Precio Final]]*10%</f>
        <v>2</v>
      </c>
      <c r="N121" s="54">
        <v>175</v>
      </c>
      <c r="O121" s="54">
        <v>18</v>
      </c>
      <c r="P121" s="54">
        <v>9.72222222222222</v>
      </c>
      <c r="Q121" s="71">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53" t="s">
        <v>286</v>
      </c>
      <c r="F122" s="53" t="s">
        <v>62</v>
      </c>
      <c r="G122" s="53" t="s">
        <v>36</v>
      </c>
      <c r="H122" s="53">
        <f>STOCK[[#This Row],[Precio Final]]</f>
        <v>20</v>
      </c>
      <c r="I122" s="53">
        <f>STOCK[[#This Row],[Precio Venta Ideal (x1.5)]]</f>
        <v>23.2666666666667</v>
      </c>
      <c r="J122" s="70">
        <v>1</v>
      </c>
      <c r="K122" s="70">
        <f>SUMIFS(VENTAS[Cantidad],VENTAS[Código del producto Vendido],STOCK[[#This Row],[Code]])</f>
        <v>1</v>
      </c>
      <c r="L122" s="70">
        <f>STOCK[[#This Row],[Entradas]]-STOCK[[#This Row],[Salidas]]</f>
        <v>0</v>
      </c>
      <c r="M122" s="53">
        <f>STOCK[[#This Row],[Precio Final]]*10%</f>
        <v>2</v>
      </c>
      <c r="N122" s="53">
        <v>200</v>
      </c>
      <c r="O122" s="53">
        <v>18</v>
      </c>
      <c r="P122" s="53">
        <v>11.1111111111111</v>
      </c>
      <c r="Q122" s="70">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54" t="s">
        <v>289</v>
      </c>
      <c r="F123" s="54" t="s">
        <v>62</v>
      </c>
      <c r="G123" s="54" t="s">
        <v>36</v>
      </c>
      <c r="H123" s="54">
        <f>STOCK[[#This Row],[Precio Final]]</f>
        <v>30</v>
      </c>
      <c r="I123" s="54">
        <f>STOCK[[#This Row],[Precio Venta Ideal (x1.5)]]</f>
        <v>24.11</v>
      </c>
      <c r="J123" s="71">
        <v>1</v>
      </c>
      <c r="K123" s="71">
        <f>SUMIFS(VENTAS[Cantidad],VENTAS[Código del producto Vendido],STOCK[[#This Row],[Code]])</f>
        <v>1</v>
      </c>
      <c r="L123" s="71">
        <f>STOCK[[#This Row],[Entradas]]-STOCK[[#This Row],[Salidas]]</f>
        <v>0</v>
      </c>
      <c r="M123" s="54">
        <f>STOCK[[#This Row],[Precio Final]]*10%</f>
        <v>3</v>
      </c>
      <c r="N123" s="54">
        <v>195</v>
      </c>
      <c r="O123" s="54">
        <v>18</v>
      </c>
      <c r="P123" s="54">
        <v>10.8333333333333</v>
      </c>
      <c r="Q123" s="71">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53" t="s">
        <v>289</v>
      </c>
      <c r="F124" s="53" t="s">
        <v>49</v>
      </c>
      <c r="G124" s="53" t="s">
        <v>36</v>
      </c>
      <c r="H124" s="53">
        <f>STOCK[[#This Row],[Precio Final]]</f>
        <v>30</v>
      </c>
      <c r="I124" s="53">
        <f>STOCK[[#This Row],[Precio Venta Ideal (x1.5)]]</f>
        <v>24.3499999999999</v>
      </c>
      <c r="J124" s="70">
        <v>1</v>
      </c>
      <c r="K124" s="70">
        <f>SUMIFS(VENTAS[Cantidad],VENTAS[Código del producto Vendido],STOCK[[#This Row],[Code]])</f>
        <v>1</v>
      </c>
      <c r="L124" s="70">
        <f>STOCK[[#This Row],[Entradas]]-STOCK[[#This Row],[Salidas]]</f>
        <v>0</v>
      </c>
      <c r="M124" s="53">
        <f>STOCK[[#This Row],[Precio Final]]*10%</f>
        <v>3</v>
      </c>
      <c r="N124" s="53">
        <v>195</v>
      </c>
      <c r="O124" s="53">
        <v>18</v>
      </c>
      <c r="P124" s="53">
        <v>10.8333333333333</v>
      </c>
      <c r="Q124" s="70">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54" t="s">
        <v>292</v>
      </c>
      <c r="F125" s="54" t="s">
        <v>62</v>
      </c>
      <c r="G125" s="54" t="s">
        <v>36</v>
      </c>
      <c r="H125" s="54">
        <f>STOCK[[#This Row],[Precio Final]]</f>
        <v>30</v>
      </c>
      <c r="I125" s="54">
        <f>STOCK[[#This Row],[Precio Venta Ideal (x1.5)]]</f>
        <v>26.69</v>
      </c>
      <c r="J125" s="71">
        <v>1</v>
      </c>
      <c r="K125" s="71">
        <f>SUMIFS(VENTAS[Cantidad],VENTAS[Código del producto Vendido],STOCK[[#This Row],[Code]])</f>
        <v>1</v>
      </c>
      <c r="L125" s="71">
        <f>STOCK[[#This Row],[Entradas]]-STOCK[[#This Row],[Salidas]]</f>
        <v>0</v>
      </c>
      <c r="M125" s="54">
        <f>STOCK[[#This Row],[Precio Final]]*10%</f>
        <v>3</v>
      </c>
      <c r="N125" s="54">
        <v>213</v>
      </c>
      <c r="O125" s="54">
        <v>18</v>
      </c>
      <c r="P125" s="54">
        <v>11.8333333333333</v>
      </c>
      <c r="Q125" s="71">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53" t="s">
        <v>295</v>
      </c>
      <c r="F126" s="53" t="s">
        <v>49</v>
      </c>
      <c r="G126" s="53" t="s">
        <v>36</v>
      </c>
      <c r="H126" s="53">
        <f>STOCK[[#This Row],[Precio Final]]</f>
        <v>20</v>
      </c>
      <c r="I126" s="53">
        <f>STOCK[[#This Row],[Precio Venta Ideal (x1.5)]]</f>
        <v>16.86</v>
      </c>
      <c r="J126" s="70">
        <v>1</v>
      </c>
      <c r="K126" s="70">
        <f>SUMIFS(VENTAS[Cantidad],VENTAS[Código del producto Vendido],STOCK[[#This Row],[Code]])</f>
        <v>0</v>
      </c>
      <c r="L126" s="70">
        <f>STOCK[[#This Row],[Entradas]]-STOCK[[#This Row],[Salidas]]</f>
        <v>1</v>
      </c>
      <c r="M126" s="53">
        <f>STOCK[[#This Row],[Precio Final]]*10%</f>
        <v>2</v>
      </c>
      <c r="N126" s="53">
        <v>287</v>
      </c>
      <c r="O126" s="53">
        <v>18</v>
      </c>
      <c r="P126" s="53">
        <v>5</v>
      </c>
      <c r="Q126" s="70">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54" t="s">
        <v>297</v>
      </c>
      <c r="F127" s="54" t="s">
        <v>49</v>
      </c>
      <c r="G127" s="54" t="s">
        <v>36</v>
      </c>
      <c r="H127" s="54">
        <f>STOCK[[#This Row],[Precio Final]]</f>
        <v>45</v>
      </c>
      <c r="I127" s="54">
        <f>STOCK[[#This Row],[Precio Venta Ideal (x1.5)]]</f>
        <v>35.4799999999999</v>
      </c>
      <c r="J127" s="71">
        <v>1</v>
      </c>
      <c r="K127" s="71">
        <f>SUMIFS(VENTAS[Cantidad],VENTAS[Código del producto Vendido],STOCK[[#This Row],[Code]])</f>
        <v>1</v>
      </c>
      <c r="L127" s="71">
        <f>STOCK[[#This Row],[Entradas]]-STOCK[[#This Row],[Salidas]]</f>
        <v>0</v>
      </c>
      <c r="M127" s="54">
        <f>STOCK[[#This Row],[Precio Final]]*10%</f>
        <v>4.5</v>
      </c>
      <c r="N127" s="54">
        <v>267</v>
      </c>
      <c r="O127" s="54">
        <v>18</v>
      </c>
      <c r="P127" s="54">
        <v>14.8333333333333</v>
      </c>
      <c r="Q127" s="71">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53" t="s">
        <v>300</v>
      </c>
      <c r="F128" s="53" t="s">
        <v>62</v>
      </c>
      <c r="G128" s="53" t="s">
        <v>36</v>
      </c>
      <c r="H128" s="53">
        <f>STOCK[[#This Row],[Precio Final]]</f>
        <v>30</v>
      </c>
      <c r="I128" s="53">
        <f>STOCK[[#This Row],[Precio Venta Ideal (x1.5)]]</f>
        <v>29</v>
      </c>
      <c r="J128" s="70">
        <v>1</v>
      </c>
      <c r="K128" s="70">
        <f>SUMIFS(VENTAS[Cantidad],VENTAS[Código del producto Vendido],STOCK[[#This Row],[Code]])</f>
        <v>0</v>
      </c>
      <c r="L128" s="70">
        <f>STOCK[[#This Row],[Entradas]]-STOCK[[#This Row],[Salidas]]</f>
        <v>1</v>
      </c>
      <c r="M128" s="53">
        <f>STOCK[[#This Row],[Precio Final]]*10%</f>
        <v>3</v>
      </c>
      <c r="N128" s="53">
        <v>258</v>
      </c>
      <c r="O128" s="53">
        <v>18</v>
      </c>
      <c r="P128" s="53">
        <v>14.3333333333333</v>
      </c>
      <c r="Q128" s="70">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54" t="s">
        <v>303</v>
      </c>
      <c r="F129" s="54" t="s">
        <v>49</v>
      </c>
      <c r="G129" s="54" t="s">
        <v>36</v>
      </c>
      <c r="H129" s="54">
        <f>STOCK[[#This Row],[Precio Final]]</f>
        <v>30</v>
      </c>
      <c r="I129" s="54">
        <f>STOCK[[#This Row],[Precio Venta Ideal (x1.5)]]</f>
        <v>29</v>
      </c>
      <c r="J129" s="71">
        <v>1</v>
      </c>
      <c r="K129" s="71">
        <f>SUMIFS(VENTAS[Cantidad],VENTAS[Código del producto Vendido],STOCK[[#This Row],[Code]])</f>
        <v>1</v>
      </c>
      <c r="L129" s="71">
        <f>STOCK[[#This Row],[Entradas]]-STOCK[[#This Row],[Salidas]]</f>
        <v>0</v>
      </c>
      <c r="M129" s="54">
        <f>STOCK[[#This Row],[Precio Final]]*10%</f>
        <v>3</v>
      </c>
      <c r="N129" s="54">
        <v>258</v>
      </c>
      <c r="O129" s="54">
        <v>18</v>
      </c>
      <c r="P129" s="54">
        <v>14.3333333333333</v>
      </c>
      <c r="Q129" s="71">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53" t="s">
        <v>303</v>
      </c>
      <c r="F130" s="53" t="s">
        <v>46</v>
      </c>
      <c r="G130" s="53" t="s">
        <v>36</v>
      </c>
      <c r="H130" s="53">
        <f>STOCK[[#This Row],[Precio Final]]</f>
        <v>30</v>
      </c>
      <c r="I130" s="53">
        <f>STOCK[[#This Row],[Precio Venta Ideal (x1.5)]]</f>
        <v>29</v>
      </c>
      <c r="J130" s="70">
        <v>1</v>
      </c>
      <c r="K130" s="70">
        <f>SUMIFS(VENTAS[Cantidad],VENTAS[Código del producto Vendido],STOCK[[#This Row],[Code]])</f>
        <v>1</v>
      </c>
      <c r="L130" s="70">
        <f>STOCK[[#This Row],[Entradas]]-STOCK[[#This Row],[Salidas]]</f>
        <v>0</v>
      </c>
      <c r="M130" s="53">
        <f>STOCK[[#This Row],[Precio Final]]*10%</f>
        <v>3</v>
      </c>
      <c r="N130" s="53">
        <v>258</v>
      </c>
      <c r="O130" s="53">
        <v>18</v>
      </c>
      <c r="P130" s="53">
        <v>14.3333333333333</v>
      </c>
      <c r="Q130" s="70">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54" t="s">
        <v>306</v>
      </c>
      <c r="F131" s="54" t="s">
        <v>49</v>
      </c>
      <c r="G131" s="54" t="s">
        <v>36</v>
      </c>
      <c r="H131" s="54">
        <f>STOCK[[#This Row],[Precio Final]]</f>
        <v>28</v>
      </c>
      <c r="I131" s="54">
        <f>STOCK[[#This Row],[Precio Venta Ideal (x1.5)]]</f>
        <v>29.45</v>
      </c>
      <c r="J131" s="71">
        <v>1</v>
      </c>
      <c r="K131" s="71">
        <f>SUMIFS(VENTAS[Cantidad],VENTAS[Código del producto Vendido],STOCK[[#This Row],[Code]])</f>
        <v>1</v>
      </c>
      <c r="L131" s="71">
        <f>STOCK[[#This Row],[Entradas]]-STOCK[[#This Row],[Salidas]]</f>
        <v>0</v>
      </c>
      <c r="M131" s="54">
        <f>STOCK[[#This Row],[Precio Final]]*10%</f>
        <v>2.8</v>
      </c>
      <c r="N131" s="54">
        <v>267</v>
      </c>
      <c r="O131" s="54">
        <v>18</v>
      </c>
      <c r="P131" s="54">
        <v>14.8333333333333</v>
      </c>
      <c r="Q131" s="71">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53" t="s">
        <v>306</v>
      </c>
      <c r="F132" s="53" t="s">
        <v>40</v>
      </c>
      <c r="G132" s="53" t="s">
        <v>36</v>
      </c>
      <c r="H132" s="53">
        <f>STOCK[[#This Row],[Precio Final]]</f>
        <v>28</v>
      </c>
      <c r="I132" s="53">
        <f>STOCK[[#This Row],[Precio Venta Ideal (x1.5)]]</f>
        <v>29.45</v>
      </c>
      <c r="J132" s="70">
        <v>1</v>
      </c>
      <c r="K132" s="70">
        <f>SUMIFS(VENTAS[Cantidad],VENTAS[Código del producto Vendido],STOCK[[#This Row],[Code]])</f>
        <v>1</v>
      </c>
      <c r="L132" s="70">
        <f>STOCK[[#This Row],[Entradas]]-STOCK[[#This Row],[Salidas]]</f>
        <v>0</v>
      </c>
      <c r="M132" s="53">
        <f>STOCK[[#This Row],[Precio Final]]*10%</f>
        <v>2.8</v>
      </c>
      <c r="N132" s="53">
        <v>267</v>
      </c>
      <c r="O132" s="53">
        <v>18</v>
      </c>
      <c r="P132" s="53">
        <v>14.8333333333333</v>
      </c>
      <c r="Q132" s="70">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54" t="s">
        <v>309</v>
      </c>
      <c r="F133" s="54" t="s">
        <v>49</v>
      </c>
      <c r="G133" s="54" t="s">
        <v>36</v>
      </c>
      <c r="H133" s="54">
        <f>STOCK[[#This Row],[Precio Final]]</f>
        <v>35</v>
      </c>
      <c r="I133" s="54">
        <f>STOCK[[#This Row],[Precio Venta Ideal (x1.5)]]</f>
        <v>31.7</v>
      </c>
      <c r="J133" s="71">
        <v>1</v>
      </c>
      <c r="K133" s="71">
        <f>SUMIFS(VENTAS[Cantidad],VENTAS[Código del producto Vendido],STOCK[[#This Row],[Code]])</f>
        <v>0</v>
      </c>
      <c r="L133" s="71">
        <f>STOCK[[#This Row],[Entradas]]-STOCK[[#This Row],[Salidas]]</f>
        <v>1</v>
      </c>
      <c r="M133" s="54">
        <f>STOCK[[#This Row],[Precio Final]]*10%</f>
        <v>3.5</v>
      </c>
      <c r="N133" s="54">
        <v>267</v>
      </c>
      <c r="O133" s="54">
        <v>18</v>
      </c>
      <c r="P133" s="54">
        <v>14.8333333333333</v>
      </c>
      <c r="Q133" s="71">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53" t="s">
        <v>311</v>
      </c>
      <c r="F134" s="53" t="s">
        <v>62</v>
      </c>
      <c r="G134" s="53" t="s">
        <v>36</v>
      </c>
      <c r="H134" s="53">
        <f>STOCK[[#This Row],[Precio Final]]</f>
        <v>25</v>
      </c>
      <c r="I134" s="53">
        <f>STOCK[[#This Row],[Precio Venta Ideal (x1.5)]]</f>
        <v>23.4166666666667</v>
      </c>
      <c r="J134" s="70">
        <v>1</v>
      </c>
      <c r="K134" s="70">
        <f>SUMIFS(VENTAS[Cantidad],VENTAS[Código del producto Vendido],STOCK[[#This Row],[Code]])</f>
        <v>1</v>
      </c>
      <c r="L134" s="70">
        <f>STOCK[[#This Row],[Entradas]]-STOCK[[#This Row],[Salidas]]</f>
        <v>0</v>
      </c>
      <c r="M134" s="53">
        <f>STOCK[[#This Row],[Precio Final]]*10%</f>
        <v>2.5</v>
      </c>
      <c r="N134" s="53">
        <v>200</v>
      </c>
      <c r="O134" s="53">
        <v>18</v>
      </c>
      <c r="P134" s="53">
        <v>11.1111111111111</v>
      </c>
      <c r="Q134" s="70">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54" t="s">
        <v>311</v>
      </c>
      <c r="F135" s="54" t="s">
        <v>187</v>
      </c>
      <c r="G135" s="54" t="s">
        <v>36</v>
      </c>
      <c r="H135" s="54">
        <f>STOCK[[#This Row],[Precio Final]]</f>
        <v>22</v>
      </c>
      <c r="I135" s="54">
        <f>STOCK[[#This Row],[Precio Venta Ideal (x1.5)]]</f>
        <v>22.9666666666666</v>
      </c>
      <c r="J135" s="71">
        <v>1</v>
      </c>
      <c r="K135" s="71">
        <f>SUMIFS(VENTAS[Cantidad],VENTAS[Código del producto Vendido],STOCK[[#This Row],[Code]])</f>
        <v>1</v>
      </c>
      <c r="L135" s="71">
        <f>STOCK[[#This Row],[Entradas]]-STOCK[[#This Row],[Salidas]]</f>
        <v>0</v>
      </c>
      <c r="M135" s="54">
        <f>STOCK[[#This Row],[Precio Final]]*10%</f>
        <v>2.2</v>
      </c>
      <c r="N135" s="54">
        <v>200</v>
      </c>
      <c r="O135" s="54">
        <v>18</v>
      </c>
      <c r="P135" s="54">
        <v>11.1111111111111</v>
      </c>
      <c r="Q135" s="71">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53" t="s">
        <v>314</v>
      </c>
      <c r="F136" s="53" t="s">
        <v>46</v>
      </c>
      <c r="G136" s="53" t="s">
        <v>36</v>
      </c>
      <c r="H136" s="53">
        <f>STOCK[[#This Row],[Precio Final]]</f>
        <v>30</v>
      </c>
      <c r="I136" s="53">
        <f>STOCK[[#This Row],[Precio Venta Ideal (x1.5)]]</f>
        <v>28.9333333333333</v>
      </c>
      <c r="J136" s="70">
        <v>1</v>
      </c>
      <c r="K136" s="70">
        <f>SUMIFS(VENTAS[Cantidad],VENTAS[Código del producto Vendido],STOCK[[#This Row],[Code]])</f>
        <v>0</v>
      </c>
      <c r="L136" s="70">
        <f>STOCK[[#This Row],[Entradas]]-STOCK[[#This Row],[Salidas]]</f>
        <v>1</v>
      </c>
      <c r="M136" s="53">
        <f>STOCK[[#This Row],[Precio Final]]*10%</f>
        <v>3</v>
      </c>
      <c r="N136" s="53">
        <v>250</v>
      </c>
      <c r="O136" s="53">
        <v>18</v>
      </c>
      <c r="P136" s="53">
        <v>13.8888888888889</v>
      </c>
      <c r="Q136" s="70">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54" t="s">
        <v>314</v>
      </c>
      <c r="F137" s="54" t="s">
        <v>49</v>
      </c>
      <c r="G137" s="54" t="s">
        <v>36</v>
      </c>
      <c r="H137" s="54">
        <f>STOCK[[#This Row],[Precio Final]]</f>
        <v>30</v>
      </c>
      <c r="I137" s="54">
        <f>STOCK[[#This Row],[Precio Venta Ideal (x1.5)]]</f>
        <v>28.9333333333333</v>
      </c>
      <c r="J137" s="71">
        <v>1</v>
      </c>
      <c r="K137" s="71">
        <f>SUMIFS(VENTAS[Cantidad],VENTAS[Código del producto Vendido],STOCK[[#This Row],[Code]])</f>
        <v>0</v>
      </c>
      <c r="L137" s="71">
        <f>STOCK[[#This Row],[Entradas]]-STOCK[[#This Row],[Salidas]]</f>
        <v>1</v>
      </c>
      <c r="M137" s="54">
        <f>STOCK[[#This Row],[Precio Final]]*10%</f>
        <v>3</v>
      </c>
      <c r="N137" s="54">
        <v>250</v>
      </c>
      <c r="O137" s="54">
        <v>18</v>
      </c>
      <c r="P137" s="54">
        <v>13.8888888888889</v>
      </c>
      <c r="Q137" s="71">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53" t="s">
        <v>317</v>
      </c>
      <c r="F138" s="53" t="s">
        <v>40</v>
      </c>
      <c r="G138" s="53" t="s">
        <v>36</v>
      </c>
      <c r="H138" s="53">
        <f>STOCK[[#This Row],[Precio Final]]</f>
        <v>35</v>
      </c>
      <c r="I138" s="53">
        <f>STOCK[[#This Row],[Precio Venta Ideal (x1.5)]]</f>
        <v>31.4966666666667</v>
      </c>
      <c r="J138" s="70">
        <v>1</v>
      </c>
      <c r="K138" s="70">
        <f>SUMIFS(VENTAS[Cantidad],VENTAS[Código del producto Vendido],STOCK[[#This Row],[Code]])</f>
        <v>0</v>
      </c>
      <c r="L138" s="70">
        <f>STOCK[[#This Row],[Entradas]]-STOCK[[#This Row],[Salidas]]</f>
        <v>1</v>
      </c>
      <c r="M138" s="53">
        <f>STOCK[[#This Row],[Precio Final]]*10%</f>
        <v>3.5</v>
      </c>
      <c r="N138" s="53">
        <v>266</v>
      </c>
      <c r="O138" s="53">
        <v>18</v>
      </c>
      <c r="P138" s="53">
        <v>14.7777777777778</v>
      </c>
      <c r="Q138" s="70">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54" t="s">
        <v>319</v>
      </c>
      <c r="F139" s="54" t="s">
        <v>62</v>
      </c>
      <c r="G139" s="54" t="s">
        <v>36</v>
      </c>
      <c r="H139" s="54">
        <f>STOCK[[#This Row],[Precio Final]]</f>
        <v>35</v>
      </c>
      <c r="I139" s="54">
        <f>STOCK[[#This Row],[Precio Venta Ideal (x1.5)]]</f>
        <v>32.8033333333333</v>
      </c>
      <c r="J139" s="71">
        <v>1</v>
      </c>
      <c r="K139" s="71">
        <f>SUMIFS(VENTAS[Cantidad],VENTAS[Código del producto Vendido],STOCK[[#This Row],[Code]])</f>
        <v>1</v>
      </c>
      <c r="L139" s="71">
        <f>STOCK[[#This Row],[Entradas]]-STOCK[[#This Row],[Salidas]]</f>
        <v>0</v>
      </c>
      <c r="M139" s="54">
        <f>STOCK[[#This Row],[Precio Final]]*10%</f>
        <v>3.5</v>
      </c>
      <c r="N139" s="54">
        <v>286</v>
      </c>
      <c r="O139" s="54">
        <v>18</v>
      </c>
      <c r="P139" s="54">
        <v>15.8888888888889</v>
      </c>
      <c r="Q139" s="71">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53" t="s">
        <v>321</v>
      </c>
      <c r="F140" s="53" t="s">
        <v>40</v>
      </c>
      <c r="G140" s="53" t="s">
        <v>36</v>
      </c>
      <c r="H140" s="53">
        <f>STOCK[[#This Row],[Precio Final]]</f>
        <v>35</v>
      </c>
      <c r="I140" s="53">
        <f>STOCK[[#This Row],[Precio Venta Ideal (x1.5)]]</f>
        <v>33.75</v>
      </c>
      <c r="J140" s="70">
        <v>1</v>
      </c>
      <c r="K140" s="70">
        <f>SUMIFS(VENTAS[Cantidad],VENTAS[Código del producto Vendido],STOCK[[#This Row],[Code]])</f>
        <v>1</v>
      </c>
      <c r="L140" s="70">
        <f>STOCK[[#This Row],[Entradas]]-STOCK[[#This Row],[Salidas]]</f>
        <v>0</v>
      </c>
      <c r="M140" s="53">
        <f>STOCK[[#This Row],[Precio Final]]*10%</f>
        <v>3.5</v>
      </c>
      <c r="N140" s="53">
        <v>270</v>
      </c>
      <c r="O140" s="53">
        <v>18</v>
      </c>
      <c r="P140" s="53">
        <v>15</v>
      </c>
      <c r="Q140" s="70">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54" t="s">
        <v>323</v>
      </c>
      <c r="F141" s="54" t="s">
        <v>211</v>
      </c>
      <c r="G141" s="54" t="s">
        <v>36</v>
      </c>
      <c r="H141" s="54">
        <f>STOCK[[#This Row],[Precio Final]]</f>
        <v>28</v>
      </c>
      <c r="I141" s="54">
        <f>STOCK[[#This Row],[Precio Venta Ideal (x1.5)]]</f>
        <v>31.2</v>
      </c>
      <c r="J141" s="71">
        <v>1</v>
      </c>
      <c r="K141" s="71">
        <f>SUMIFS(VENTAS[Cantidad],VENTAS[Código del producto Vendido],STOCK[[#This Row],[Code]])</f>
        <v>1</v>
      </c>
      <c r="L141" s="71">
        <f>STOCK[[#This Row],[Entradas]]-STOCK[[#This Row],[Salidas]]</f>
        <v>0</v>
      </c>
      <c r="M141" s="54">
        <f>STOCK[[#This Row],[Precio Final]]*10%</f>
        <v>2.8</v>
      </c>
      <c r="N141" s="54">
        <v>270</v>
      </c>
      <c r="O141" s="54">
        <v>18</v>
      </c>
      <c r="P141" s="54">
        <v>15</v>
      </c>
      <c r="Q141" s="71">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53" t="s">
        <v>325</v>
      </c>
      <c r="F142" s="53" t="s">
        <v>46</v>
      </c>
      <c r="G142" s="53" t="s">
        <v>36</v>
      </c>
      <c r="H142" s="53">
        <f>STOCK[[#This Row],[Precio Final]]</f>
        <v>12</v>
      </c>
      <c r="I142" s="53">
        <f>STOCK[[#This Row],[Precio Venta Ideal (x1.5)]]</f>
        <v>12.6683333333333</v>
      </c>
      <c r="J142" s="70">
        <v>1</v>
      </c>
      <c r="K142" s="70">
        <f>SUMIFS(VENTAS[Cantidad],VENTAS[Código del producto Vendido],STOCK[[#This Row],[Code]])</f>
        <v>1</v>
      </c>
      <c r="L142" s="70">
        <f>STOCK[[#This Row],[Entradas]]-STOCK[[#This Row],[Salidas]]</f>
        <v>0</v>
      </c>
      <c r="M142" s="53">
        <f>STOCK[[#This Row],[Precio Final]]*10%</f>
        <v>1.2</v>
      </c>
      <c r="N142" s="53">
        <v>99.82</v>
      </c>
      <c r="O142" s="53">
        <v>18</v>
      </c>
      <c r="P142" s="53">
        <v>5.54555555555556</v>
      </c>
      <c r="Q142" s="70">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54" t="s">
        <v>327</v>
      </c>
      <c r="F143" s="54" t="s">
        <v>88</v>
      </c>
      <c r="G143" s="54" t="s">
        <v>36</v>
      </c>
      <c r="H143" s="54">
        <f>STOCK[[#This Row],[Precio Final]]</f>
        <v>20</v>
      </c>
      <c r="I143" s="54">
        <f>STOCK[[#This Row],[Precio Venta Ideal (x1.5)]]</f>
        <v>22.525</v>
      </c>
      <c r="J143" s="71">
        <v>0</v>
      </c>
      <c r="K143" s="71">
        <f>SUMIFS(VENTAS[Cantidad],VENTAS[Código del producto Vendido],STOCK[[#This Row],[Code]])</f>
        <v>0</v>
      </c>
      <c r="L143" s="71">
        <f>STOCK[[#This Row],[Entradas]]-STOCK[[#This Row],[Salidas]]</f>
        <v>0</v>
      </c>
      <c r="M143" s="54">
        <f>STOCK[[#This Row],[Precio Final]]*10%</f>
        <v>2</v>
      </c>
      <c r="N143" s="54">
        <v>180.75</v>
      </c>
      <c r="O143" s="54">
        <v>18</v>
      </c>
      <c r="P143" s="54">
        <v>10.0416666666667</v>
      </c>
      <c r="Q143" s="71">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53" t="s">
        <v>329</v>
      </c>
      <c r="F144" s="53" t="s">
        <v>46</v>
      </c>
      <c r="G144" s="53" t="s">
        <v>36</v>
      </c>
      <c r="H144" s="53">
        <f>STOCK[[#This Row],[Precio Final]]</f>
        <v>16</v>
      </c>
      <c r="I144" s="53">
        <f>STOCK[[#This Row],[Precio Venta Ideal (x1.5)]]</f>
        <v>20.61</v>
      </c>
      <c r="J144" s="70">
        <v>1</v>
      </c>
      <c r="K144" s="70">
        <f>SUMIFS(VENTAS[Cantidad],VENTAS[Código del producto Vendido],STOCK[[#This Row],[Code]])</f>
        <v>1</v>
      </c>
      <c r="L144" s="70">
        <f>STOCK[[#This Row],[Entradas]]-STOCK[[#This Row],[Salidas]]</f>
        <v>0</v>
      </c>
      <c r="M144" s="53">
        <f>STOCK[[#This Row],[Precio Final]]*10%</f>
        <v>1.6</v>
      </c>
      <c r="N144" s="53">
        <v>142.02</v>
      </c>
      <c r="O144" s="53">
        <v>18</v>
      </c>
      <c r="P144" s="53">
        <v>7.89</v>
      </c>
      <c r="Q144" s="70">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54" t="s">
        <v>331</v>
      </c>
      <c r="F145" s="54" t="s">
        <v>211</v>
      </c>
      <c r="G145" s="54" t="s">
        <v>36</v>
      </c>
      <c r="H145" s="54">
        <f>STOCK[[#This Row],[Precio Final]]</f>
        <v>20</v>
      </c>
      <c r="I145" s="54">
        <f>STOCK[[#This Row],[Precio Venta Ideal (x1.5)]]</f>
        <v>21.21</v>
      </c>
      <c r="J145" s="71">
        <v>1</v>
      </c>
      <c r="K145" s="71">
        <f>SUMIFS(VENTAS[Cantidad],VENTAS[Código del producto Vendido],STOCK[[#This Row],[Code]])</f>
        <v>1</v>
      </c>
      <c r="L145" s="71">
        <f>STOCK[[#This Row],[Entradas]]-STOCK[[#This Row],[Salidas]]</f>
        <v>0</v>
      </c>
      <c r="M145" s="54">
        <f>STOCK[[#This Row],[Precio Final]]*10%</f>
        <v>2</v>
      </c>
      <c r="N145" s="54">
        <v>142.02</v>
      </c>
      <c r="O145" s="54">
        <v>18</v>
      </c>
      <c r="P145" s="54">
        <v>7.89</v>
      </c>
      <c r="Q145" s="71">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53" t="s">
        <v>333</v>
      </c>
      <c r="F146" s="53" t="s">
        <v>281</v>
      </c>
      <c r="G146" s="53" t="s">
        <v>36</v>
      </c>
      <c r="H146" s="53">
        <f>STOCK[[#This Row],[Precio Final]]</f>
        <v>16</v>
      </c>
      <c r="I146" s="53">
        <f>STOCK[[#This Row],[Precio Venta Ideal (x1.5)]]</f>
        <v>16.7425</v>
      </c>
      <c r="J146" s="70">
        <v>1</v>
      </c>
      <c r="K146" s="70">
        <f>SUMIFS(VENTAS[Cantidad],VENTAS[Código del producto Vendido],STOCK[[#This Row],[Code]])</f>
        <v>1</v>
      </c>
      <c r="L146" s="70">
        <f>STOCK[[#This Row],[Entradas]]-STOCK[[#This Row],[Salidas]]</f>
        <v>0</v>
      </c>
      <c r="M146" s="53">
        <f>STOCK[[#This Row],[Precio Final]]*10%</f>
        <v>1.6</v>
      </c>
      <c r="N146" s="53">
        <v>110.91</v>
      </c>
      <c r="O146" s="53">
        <v>18</v>
      </c>
      <c r="P146" s="53">
        <v>6.16166666666667</v>
      </c>
      <c r="Q146" s="70">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54" t="s">
        <v>335</v>
      </c>
      <c r="F147" s="54" t="s">
        <v>40</v>
      </c>
      <c r="G147" s="54" t="s">
        <v>36</v>
      </c>
      <c r="H147" s="54">
        <f>STOCK[[#This Row],[Precio Final]]</f>
        <v>15</v>
      </c>
      <c r="I147" s="54">
        <f>STOCK[[#This Row],[Precio Venta Ideal (x1.5)]]</f>
        <v>21.3325</v>
      </c>
      <c r="J147" s="71">
        <v>1</v>
      </c>
      <c r="K147" s="71">
        <f>SUMIFS(VENTAS[Cantidad],VENTAS[Código del producto Vendido],STOCK[[#This Row],[Code]])</f>
        <v>1</v>
      </c>
      <c r="L147" s="71">
        <f>STOCK[[#This Row],[Entradas]]-STOCK[[#This Row],[Salidas]]</f>
        <v>0</v>
      </c>
      <c r="M147" s="54">
        <f>STOCK[[#This Row],[Precio Final]]*10%</f>
        <v>1.5</v>
      </c>
      <c r="N147" s="54">
        <v>152.49</v>
      </c>
      <c r="O147" s="54">
        <v>18</v>
      </c>
      <c r="P147" s="54">
        <v>8.47166666666667</v>
      </c>
      <c r="Q147" s="71">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53" t="s">
        <v>335</v>
      </c>
      <c r="F148" s="53" t="s">
        <v>62</v>
      </c>
      <c r="G148" s="53" t="s">
        <v>36</v>
      </c>
      <c r="H148" s="53">
        <f>STOCK[[#This Row],[Precio Final]]</f>
        <v>25</v>
      </c>
      <c r="I148" s="53">
        <f>STOCK[[#This Row],[Precio Venta Ideal (x1.5)]]</f>
        <v>22.8325</v>
      </c>
      <c r="J148" s="70">
        <v>1</v>
      </c>
      <c r="K148" s="70">
        <f>SUMIFS(VENTAS[Cantidad],VENTAS[Código del producto Vendido],STOCK[[#This Row],[Code]])</f>
        <v>1</v>
      </c>
      <c r="L148" s="70">
        <f>STOCK[[#This Row],[Entradas]]-STOCK[[#This Row],[Salidas]]</f>
        <v>0</v>
      </c>
      <c r="M148" s="53">
        <f>STOCK[[#This Row],[Precio Final]]*10%</f>
        <v>2.5</v>
      </c>
      <c r="N148" s="53">
        <v>152.49</v>
      </c>
      <c r="O148" s="53">
        <v>18</v>
      </c>
      <c r="P148" s="53">
        <v>8.47166666666667</v>
      </c>
      <c r="Q148" s="70">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54" t="s">
        <v>338</v>
      </c>
      <c r="F149" s="54" t="s">
        <v>339</v>
      </c>
      <c r="G149" s="54" t="s">
        <v>36</v>
      </c>
      <c r="H149" s="54">
        <f>STOCK[[#This Row],[Precio Final]]</f>
        <v>30</v>
      </c>
      <c r="I149" s="54">
        <f>STOCK[[#This Row],[Precio Venta Ideal (x1.5)]]</f>
        <v>26.2108333333334</v>
      </c>
      <c r="J149" s="71">
        <v>1</v>
      </c>
      <c r="K149" s="71">
        <f>SUMIFS(VENTAS[Cantidad],VENTAS[Código del producto Vendido],STOCK[[#This Row],[Code]])</f>
        <v>0</v>
      </c>
      <c r="L149" s="71">
        <f>STOCK[[#This Row],[Entradas]]-STOCK[[#This Row],[Salidas]]</f>
        <v>1</v>
      </c>
      <c r="M149" s="54">
        <f>STOCK[[#This Row],[Precio Final]]*10%</f>
        <v>3</v>
      </c>
      <c r="N149" s="54">
        <v>191.68</v>
      </c>
      <c r="O149" s="54">
        <v>18</v>
      </c>
      <c r="P149" s="54">
        <v>10.6488888888889</v>
      </c>
      <c r="Q149" s="71">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53" t="s">
        <v>338</v>
      </c>
      <c r="F150" s="53" t="s">
        <v>62</v>
      </c>
      <c r="G150" s="53" t="s">
        <v>36</v>
      </c>
      <c r="H150" s="53">
        <f>STOCK[[#This Row],[Precio Final]]</f>
        <v>30</v>
      </c>
      <c r="I150" s="53">
        <f>STOCK[[#This Row],[Precio Venta Ideal (x1.5)]]</f>
        <v>26.2108333333334</v>
      </c>
      <c r="J150" s="70">
        <v>1</v>
      </c>
      <c r="K150" s="70">
        <f>SUMIFS(VENTAS[Cantidad],VENTAS[Código del producto Vendido],STOCK[[#This Row],[Code]])</f>
        <v>0</v>
      </c>
      <c r="L150" s="70">
        <f>STOCK[[#This Row],[Entradas]]-STOCK[[#This Row],[Salidas]]</f>
        <v>1</v>
      </c>
      <c r="M150" s="53">
        <f>STOCK[[#This Row],[Precio Final]]*10%</f>
        <v>3</v>
      </c>
      <c r="N150" s="53">
        <v>191.68</v>
      </c>
      <c r="O150" s="53">
        <v>18</v>
      </c>
      <c r="P150" s="53">
        <v>10.6488888888889</v>
      </c>
      <c r="Q150" s="70">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54" t="s">
        <v>338</v>
      </c>
      <c r="F151" s="54" t="s">
        <v>49</v>
      </c>
      <c r="G151" s="54" t="s">
        <v>36</v>
      </c>
      <c r="H151" s="54">
        <f>STOCK[[#This Row],[Precio Final]]</f>
        <v>30</v>
      </c>
      <c r="I151" s="54">
        <f>STOCK[[#This Row],[Precio Venta Ideal (x1.5)]]</f>
        <v>26.2108333333334</v>
      </c>
      <c r="J151" s="71">
        <v>1</v>
      </c>
      <c r="K151" s="71">
        <f>SUMIFS(VENTAS[Cantidad],VENTAS[Código del producto Vendido],STOCK[[#This Row],[Code]])</f>
        <v>0</v>
      </c>
      <c r="L151" s="71">
        <f>STOCK[[#This Row],[Entradas]]-STOCK[[#This Row],[Salidas]]</f>
        <v>1</v>
      </c>
      <c r="M151" s="54">
        <f>STOCK[[#This Row],[Precio Final]]*10%</f>
        <v>3</v>
      </c>
      <c r="N151" s="54">
        <v>191.68</v>
      </c>
      <c r="O151" s="54">
        <v>18</v>
      </c>
      <c r="P151" s="54">
        <v>10.6488888888889</v>
      </c>
      <c r="Q151" s="71">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53" t="s">
        <v>343</v>
      </c>
      <c r="F152" s="53" t="s">
        <v>40</v>
      </c>
      <c r="G152" s="53" t="s">
        <v>36</v>
      </c>
      <c r="H152" s="53">
        <f>STOCK[[#This Row],[Precio Final]]</f>
        <v>12</v>
      </c>
      <c r="I152" s="53">
        <f>STOCK[[#This Row],[Precio Venta Ideal (x1.5)]]</f>
        <v>8.95000000000001</v>
      </c>
      <c r="J152" s="70">
        <v>2</v>
      </c>
      <c r="K152" s="70">
        <f>SUMIFS(VENTAS[Cantidad],VENTAS[Código del producto Vendido],STOCK[[#This Row],[Code]])</f>
        <v>1</v>
      </c>
      <c r="L152" s="70">
        <f>STOCK[[#This Row],[Entradas]]-STOCK[[#This Row],[Salidas]]</f>
        <v>1</v>
      </c>
      <c r="M152" s="53">
        <f>STOCK[[#This Row],[Precio Final]]*10%</f>
        <v>1.2</v>
      </c>
      <c r="N152" s="53">
        <v>71.4</v>
      </c>
      <c r="O152" s="53">
        <v>18</v>
      </c>
      <c r="P152" s="53">
        <v>3.96666666666667</v>
      </c>
      <c r="Q152" s="70">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54" t="s">
        <v>345</v>
      </c>
      <c r="F153" s="54" t="s">
        <v>187</v>
      </c>
      <c r="G153" s="54" t="s">
        <v>36</v>
      </c>
      <c r="H153" s="54">
        <f>STOCK[[#This Row],[Precio Final]]</f>
        <v>20</v>
      </c>
      <c r="I153" s="54">
        <f>STOCK[[#This Row],[Precio Venta Ideal (x1.5)]]</f>
        <v>23.1966666666667</v>
      </c>
      <c r="J153" s="71">
        <v>0</v>
      </c>
      <c r="K153" s="71">
        <f>SUMIFS(VENTAS[Cantidad],VENTAS[Código del producto Vendido],STOCK[[#This Row],[Code]])</f>
        <v>0</v>
      </c>
      <c r="L153" s="71">
        <f>STOCK[[#This Row],[Entradas]]-STOCK[[#This Row],[Salidas]]</f>
        <v>0</v>
      </c>
      <c r="M153" s="54">
        <f>STOCK[[#This Row],[Precio Final]]*10%</f>
        <v>2</v>
      </c>
      <c r="N153" s="54">
        <v>165.86</v>
      </c>
      <c r="O153" s="54">
        <v>18</v>
      </c>
      <c r="P153" s="54">
        <v>9.21444444444445</v>
      </c>
      <c r="Q153" s="71">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53" t="s">
        <v>347</v>
      </c>
      <c r="F154" s="53" t="s">
        <v>40</v>
      </c>
      <c r="G154" s="53" t="s">
        <v>36</v>
      </c>
      <c r="H154" s="53">
        <f>STOCK[[#This Row],[Precio Final]]</f>
        <v>30</v>
      </c>
      <c r="I154" s="53">
        <f>STOCK[[#This Row],[Precio Venta Ideal (x1.5)]]</f>
        <v>34.0333333333333</v>
      </c>
      <c r="J154" s="70">
        <v>1</v>
      </c>
      <c r="K154" s="70">
        <f>SUMIFS(VENTAS[Cantidad],VENTAS[Código del producto Vendido],STOCK[[#This Row],[Code]])</f>
        <v>1</v>
      </c>
      <c r="L154" s="70">
        <f>STOCK[[#This Row],[Entradas]]-STOCK[[#This Row],[Salidas]]</f>
        <v>0</v>
      </c>
      <c r="M154" s="53">
        <f>STOCK[[#This Row],[Precio Final]]*10%</f>
        <v>3</v>
      </c>
      <c r="N154" s="53">
        <v>293.2</v>
      </c>
      <c r="O154" s="53">
        <v>18</v>
      </c>
      <c r="P154" s="53">
        <v>16.2888888888889</v>
      </c>
      <c r="Q154" s="70">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54" t="s">
        <v>349</v>
      </c>
      <c r="F155" s="54" t="s">
        <v>62</v>
      </c>
      <c r="G155" s="54" t="s">
        <v>36</v>
      </c>
      <c r="H155" s="54">
        <f>STOCK[[#This Row],[Precio Final]]</f>
        <v>16</v>
      </c>
      <c r="I155" s="54">
        <f>STOCK[[#This Row],[Precio Venta Ideal (x1.5)]]</f>
        <v>18.7058333333333</v>
      </c>
      <c r="J155" s="71">
        <v>1</v>
      </c>
      <c r="K155" s="71">
        <f>SUMIFS(VENTAS[Cantidad],VENTAS[Código del producto Vendido],STOCK[[#This Row],[Code]])</f>
        <v>1</v>
      </c>
      <c r="L155" s="71">
        <f>STOCK[[#This Row],[Entradas]]-STOCK[[#This Row],[Salidas]]</f>
        <v>0</v>
      </c>
      <c r="M155" s="54">
        <f>STOCK[[#This Row],[Precio Final]]*10%</f>
        <v>1.6</v>
      </c>
      <c r="N155" s="54">
        <v>134.47</v>
      </c>
      <c r="O155" s="54">
        <v>18</v>
      </c>
      <c r="P155" s="54">
        <v>7.47055555555556</v>
      </c>
      <c r="Q155" s="71">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53" t="s">
        <v>352</v>
      </c>
      <c r="F156" s="53" t="s">
        <v>353</v>
      </c>
      <c r="G156" s="53" t="s">
        <v>36</v>
      </c>
      <c r="H156" s="53">
        <f>STOCK[[#This Row],[Precio Final]]</f>
        <v>3</v>
      </c>
      <c r="I156" s="53">
        <f>STOCK[[#This Row],[Precio Venta Ideal (x1.5)]]</f>
        <v>2.25416666666667</v>
      </c>
      <c r="J156" s="70">
        <v>1</v>
      </c>
      <c r="K156" s="70">
        <f>SUMIFS(VENTAS[Cantidad],VENTAS[Código del producto Vendido],STOCK[[#This Row],[Code]])</f>
        <v>1</v>
      </c>
      <c r="L156" s="70">
        <f>STOCK[[#This Row],[Entradas]]-STOCK[[#This Row],[Salidas]]</f>
        <v>0</v>
      </c>
      <c r="M156" s="53">
        <f>STOCK[[#This Row],[Precio Final]]*10%</f>
        <v>0.3</v>
      </c>
      <c r="N156" s="53">
        <v>17.33</v>
      </c>
      <c r="O156" s="53">
        <v>18</v>
      </c>
      <c r="P156" s="53">
        <v>0.962777777777778</v>
      </c>
      <c r="Q156" s="70">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54" t="s">
        <v>355</v>
      </c>
      <c r="F157" s="54" t="s">
        <v>40</v>
      </c>
      <c r="G157" s="54" t="s">
        <v>36</v>
      </c>
      <c r="H157" s="54">
        <f>STOCK[[#This Row],[Precio Final]]</f>
        <v>25</v>
      </c>
      <c r="I157" s="54">
        <f>STOCK[[#This Row],[Precio Venta Ideal (x1.5)]]</f>
        <v>25.7491666666667</v>
      </c>
      <c r="J157" s="71">
        <v>1</v>
      </c>
      <c r="K157" s="71">
        <f>SUMIFS(VENTAS[Cantidad],VENTAS[Código del producto Vendido],STOCK[[#This Row],[Code]])</f>
        <v>1</v>
      </c>
      <c r="L157" s="71">
        <f>STOCK[[#This Row],[Entradas]]-STOCK[[#This Row],[Salidas]]</f>
        <v>0</v>
      </c>
      <c r="M157" s="54">
        <f>STOCK[[#This Row],[Precio Final]]*10%</f>
        <v>2.5</v>
      </c>
      <c r="N157" s="54">
        <v>176.78</v>
      </c>
      <c r="O157" s="54">
        <v>18</v>
      </c>
      <c r="P157" s="54">
        <v>9.82111111111111</v>
      </c>
      <c r="Q157" s="71">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53" t="s">
        <v>357</v>
      </c>
      <c r="F158" s="53" t="s">
        <v>46</v>
      </c>
      <c r="G158" s="53" t="s">
        <v>36</v>
      </c>
      <c r="H158" s="53">
        <f>STOCK[[#This Row],[Precio Final]]</f>
        <v>35</v>
      </c>
      <c r="I158" s="53">
        <f>STOCK[[#This Row],[Precio Venta Ideal (x1.5)]]</f>
        <v>34.8491666666667</v>
      </c>
      <c r="J158" s="70">
        <v>1</v>
      </c>
      <c r="K158" s="70">
        <f>SUMIFS(VENTAS[Cantidad],VENTAS[Código del producto Vendido],STOCK[[#This Row],[Code]])</f>
        <v>1</v>
      </c>
      <c r="L158" s="70">
        <f>STOCK[[#This Row],[Entradas]]-STOCK[[#This Row],[Salidas]]</f>
        <v>0</v>
      </c>
      <c r="M158" s="53">
        <f>STOCK[[#This Row],[Precio Final]]*10%</f>
        <v>3.5</v>
      </c>
      <c r="N158" s="53">
        <v>263.39</v>
      </c>
      <c r="O158" s="53">
        <v>18</v>
      </c>
      <c r="P158" s="53">
        <v>14.6327777777778</v>
      </c>
      <c r="Q158" s="70">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54" t="s">
        <v>359</v>
      </c>
      <c r="F159" s="54" t="s">
        <v>40</v>
      </c>
      <c r="G159" s="54" t="s">
        <v>36</v>
      </c>
      <c r="H159" s="54">
        <f>STOCK[[#This Row],[Precio Final]]</f>
        <v>35</v>
      </c>
      <c r="I159" s="54">
        <f>STOCK[[#This Row],[Precio Venta Ideal (x1.5)]]</f>
        <v>26.5066666666667</v>
      </c>
      <c r="J159" s="71">
        <v>1</v>
      </c>
      <c r="K159" s="71">
        <f>SUMIFS(VENTAS[Cantidad],VENTAS[Código del producto Vendido],STOCK[[#This Row],[Code]])</f>
        <v>1</v>
      </c>
      <c r="L159" s="71">
        <f>STOCK[[#This Row],[Entradas]]-STOCK[[#This Row],[Salidas]]</f>
        <v>0</v>
      </c>
      <c r="M159" s="54">
        <f>STOCK[[#This Row],[Precio Final]]*10%</f>
        <v>3.5</v>
      </c>
      <c r="N159" s="54">
        <v>147.98</v>
      </c>
      <c r="O159" s="54">
        <v>18</v>
      </c>
      <c r="P159" s="54">
        <v>8.22111111111111</v>
      </c>
      <c r="Q159" s="71">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53" t="s">
        <v>361</v>
      </c>
      <c r="F160" s="53" t="s">
        <v>40</v>
      </c>
      <c r="G160" s="53" t="s">
        <v>36</v>
      </c>
      <c r="H160" s="53">
        <f>STOCK[[#This Row],[Precio Final]]</f>
        <v>20</v>
      </c>
      <c r="I160" s="53">
        <f>STOCK[[#This Row],[Precio Venta Ideal (x1.5)]]</f>
        <v>22.325</v>
      </c>
      <c r="J160" s="70">
        <v>1</v>
      </c>
      <c r="K160" s="70">
        <f>SUMIFS(VENTAS[Cantidad],VENTAS[Código del producto Vendido],STOCK[[#This Row],[Code]])</f>
        <v>1</v>
      </c>
      <c r="L160" s="70">
        <f>STOCK[[#This Row],[Entradas]]-STOCK[[#This Row],[Salidas]]</f>
        <v>0</v>
      </c>
      <c r="M160" s="53">
        <f>STOCK[[#This Row],[Precio Final]]*10%</f>
        <v>2</v>
      </c>
      <c r="N160" s="53">
        <v>188.7</v>
      </c>
      <c r="O160" s="53">
        <v>18</v>
      </c>
      <c r="P160" s="53">
        <v>10.4833333333333</v>
      </c>
      <c r="Q160" s="70">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54" t="s">
        <v>363</v>
      </c>
      <c r="F161" s="54" t="s">
        <v>49</v>
      </c>
      <c r="G161" s="54" t="s">
        <v>36</v>
      </c>
      <c r="H161" s="54">
        <f>STOCK[[#This Row],[Precio Final]]</f>
        <v>20</v>
      </c>
      <c r="I161" s="54">
        <f>STOCK[[#This Row],[Precio Venta Ideal (x1.5)]]</f>
        <v>22.325</v>
      </c>
      <c r="J161" s="71">
        <v>1</v>
      </c>
      <c r="K161" s="71">
        <f>SUMIFS(VENTAS[Cantidad],VENTAS[Código del producto Vendido],STOCK[[#This Row],[Code]])</f>
        <v>1</v>
      </c>
      <c r="L161" s="71">
        <f>STOCK[[#This Row],[Entradas]]-STOCK[[#This Row],[Salidas]]</f>
        <v>0</v>
      </c>
      <c r="M161" s="54">
        <f>STOCK[[#This Row],[Precio Final]]*10%</f>
        <v>2</v>
      </c>
      <c r="N161" s="54">
        <v>188.7</v>
      </c>
      <c r="O161" s="54">
        <v>18</v>
      </c>
      <c r="P161" s="54">
        <v>10.4833333333333</v>
      </c>
      <c r="Q161" s="71">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53" t="s">
        <v>365</v>
      </c>
      <c r="F162" s="53" t="s">
        <v>339</v>
      </c>
      <c r="G162" s="53" t="s">
        <v>36</v>
      </c>
      <c r="H162" s="53">
        <f>STOCK[[#This Row],[Precio Final]]</f>
        <v>30</v>
      </c>
      <c r="I162" s="53">
        <f>STOCK[[#This Row],[Precio Venta Ideal (x1.5)]]</f>
        <v>22.8425</v>
      </c>
      <c r="J162" s="70">
        <v>1</v>
      </c>
      <c r="K162" s="70">
        <f>SUMIFS(VENTAS[Cantidad],VENTAS[Código del producto Vendido],STOCK[[#This Row],[Code]])</f>
        <v>0</v>
      </c>
      <c r="L162" s="70">
        <f>STOCK[[#This Row],[Entradas]]-STOCK[[#This Row],[Salidas]]</f>
        <v>1</v>
      </c>
      <c r="M162" s="53">
        <f>STOCK[[#This Row],[Precio Final]]*10%</f>
        <v>3</v>
      </c>
      <c r="N162" s="53">
        <v>158.91</v>
      </c>
      <c r="O162" s="53">
        <v>18</v>
      </c>
      <c r="P162" s="53">
        <v>8.82833333333333</v>
      </c>
      <c r="Q162" s="70">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54" t="s">
        <v>367</v>
      </c>
      <c r="F163" s="54" t="s">
        <v>40</v>
      </c>
      <c r="G163" s="54" t="s">
        <v>36</v>
      </c>
      <c r="H163" s="54">
        <f>STOCK[[#This Row],[Precio Final]]</f>
        <v>16</v>
      </c>
      <c r="I163" s="54">
        <f>STOCK[[#This Row],[Precio Venta Ideal (x1.5)]]</f>
        <v>21.1558333333333</v>
      </c>
      <c r="J163" s="71">
        <v>1</v>
      </c>
      <c r="K163" s="71">
        <f>SUMIFS(VENTAS[Cantidad],VENTAS[Código del producto Vendido],STOCK[[#This Row],[Code]])</f>
        <v>1</v>
      </c>
      <c r="L163" s="71">
        <f>STOCK[[#This Row],[Entradas]]-STOCK[[#This Row],[Salidas]]</f>
        <v>0</v>
      </c>
      <c r="M163" s="54">
        <f>STOCK[[#This Row],[Precio Final]]*10%</f>
        <v>1.6</v>
      </c>
      <c r="N163" s="54">
        <v>163.87</v>
      </c>
      <c r="O163" s="54">
        <v>18</v>
      </c>
      <c r="P163" s="54">
        <v>9.10388888888889</v>
      </c>
      <c r="Q163" s="71">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53" t="s">
        <v>369</v>
      </c>
      <c r="F164" s="53" t="s">
        <v>40</v>
      </c>
      <c r="G164" s="53" t="s">
        <v>36</v>
      </c>
      <c r="H164" s="53">
        <f>STOCK[[#This Row],[Precio Final]]</f>
        <v>16</v>
      </c>
      <c r="I164" s="53">
        <f>STOCK[[#This Row],[Precio Venta Ideal (x1.5)]]</f>
        <v>21.6525</v>
      </c>
      <c r="J164" s="70">
        <v>1</v>
      </c>
      <c r="K164" s="70">
        <f>SUMIFS(VENTAS[Cantidad],VENTAS[Código del producto Vendido],STOCK[[#This Row],[Code]])</f>
        <v>1</v>
      </c>
      <c r="L164" s="70">
        <f>STOCK[[#This Row],[Entradas]]-STOCK[[#This Row],[Salidas]]</f>
        <v>0</v>
      </c>
      <c r="M164" s="53">
        <f>STOCK[[#This Row],[Precio Final]]*10%</f>
        <v>1.6</v>
      </c>
      <c r="N164" s="53">
        <v>169.83</v>
      </c>
      <c r="O164" s="53">
        <v>18</v>
      </c>
      <c r="P164" s="53">
        <v>9.435</v>
      </c>
      <c r="Q164" s="70">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54" t="s">
        <v>372</v>
      </c>
      <c r="F165" s="54" t="s">
        <v>46</v>
      </c>
      <c r="G165" s="54" t="s">
        <v>36</v>
      </c>
      <c r="H165" s="54">
        <f>STOCK[[#This Row],[Precio Final]]</f>
        <v>30</v>
      </c>
      <c r="I165" s="54">
        <f>STOCK[[#This Row],[Precio Venta Ideal (x1.5)]]</f>
        <v>23.1833333333334</v>
      </c>
      <c r="J165" s="71">
        <v>1</v>
      </c>
      <c r="K165" s="71">
        <f>SUMIFS(VENTAS[Cantidad],VENTAS[Código del producto Vendido],STOCK[[#This Row],[Code]])</f>
        <v>1</v>
      </c>
      <c r="L165" s="71">
        <f>STOCK[[#This Row],[Entradas]]-STOCK[[#This Row],[Salidas]]</f>
        <v>0</v>
      </c>
      <c r="M165" s="54">
        <f>STOCK[[#This Row],[Precio Final]]*10%</f>
        <v>3</v>
      </c>
      <c r="N165" s="54">
        <v>202.6</v>
      </c>
      <c r="O165" s="54">
        <v>18</v>
      </c>
      <c r="P165" s="54">
        <v>11.2555555555556</v>
      </c>
      <c r="Q165" s="71">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53" t="s">
        <v>374</v>
      </c>
      <c r="F166" s="53" t="s">
        <v>46</v>
      </c>
      <c r="G166" s="53" t="s">
        <v>36</v>
      </c>
      <c r="H166" s="53">
        <f>STOCK[[#This Row],[Precio Final]]</f>
        <v>12</v>
      </c>
      <c r="I166" s="53">
        <f>STOCK[[#This Row],[Precio Venta Ideal (x1.5)]]</f>
        <v>14.3616666666667</v>
      </c>
      <c r="J166" s="70">
        <v>1</v>
      </c>
      <c r="K166" s="70">
        <f>SUMIFS(VENTAS[Cantidad],VENTAS[Código del producto Vendido],STOCK[[#This Row],[Code]])</f>
        <v>1</v>
      </c>
      <c r="L166" s="70">
        <f>STOCK[[#This Row],[Entradas]]-STOCK[[#This Row],[Salidas]]</f>
        <v>0</v>
      </c>
      <c r="M166" s="53">
        <f>STOCK[[#This Row],[Precio Final]]*10%</f>
        <v>1.2</v>
      </c>
      <c r="N166" s="53">
        <v>95.66</v>
      </c>
      <c r="O166" s="53">
        <v>18</v>
      </c>
      <c r="P166" s="53">
        <v>5.31444444444444</v>
      </c>
      <c r="Q166" s="70">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54" t="s">
        <v>376</v>
      </c>
      <c r="F167" s="54" t="s">
        <v>46</v>
      </c>
      <c r="G167" s="54" t="s">
        <v>36</v>
      </c>
      <c r="H167" s="54">
        <f>STOCK[[#This Row],[Precio Final]]</f>
        <v>30</v>
      </c>
      <c r="I167" s="54">
        <f>STOCK[[#This Row],[Precio Venta Ideal (x1.5)]]</f>
        <v>33.6866666666667</v>
      </c>
      <c r="J167" s="71">
        <v>1</v>
      </c>
      <c r="K167" s="71">
        <f>SUMIFS(VENTAS[Cantidad],VENTAS[Código del producto Vendido],STOCK[[#This Row],[Code]])</f>
        <v>1</v>
      </c>
      <c r="L167" s="71">
        <f>STOCK[[#This Row],[Entradas]]-STOCK[[#This Row],[Salidas]]</f>
        <v>0</v>
      </c>
      <c r="M167" s="54">
        <f>STOCK[[#This Row],[Precio Final]]*10%</f>
        <v>3</v>
      </c>
      <c r="N167" s="54">
        <v>289.04</v>
      </c>
      <c r="O167" s="54">
        <v>18</v>
      </c>
      <c r="P167" s="54">
        <v>16.0577777777778</v>
      </c>
      <c r="Q167" s="71">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53" t="s">
        <v>378</v>
      </c>
      <c r="F168" s="53" t="s">
        <v>46</v>
      </c>
      <c r="G168" s="53" t="s">
        <v>36</v>
      </c>
      <c r="H168" s="53">
        <f>STOCK[[#This Row],[Precio Final]]</f>
        <v>12</v>
      </c>
      <c r="I168" s="53">
        <f>STOCK[[#This Row],[Precio Venta Ideal (x1.5)]]</f>
        <v>12.6725</v>
      </c>
      <c r="J168" s="70">
        <v>1</v>
      </c>
      <c r="K168" s="70">
        <f>SUMIFS(VENTAS[Cantidad],VENTAS[Código del producto Vendido],STOCK[[#This Row],[Code]])</f>
        <v>1</v>
      </c>
      <c r="L168" s="70">
        <f>STOCK[[#This Row],[Entradas]]-STOCK[[#This Row],[Salidas]]</f>
        <v>0</v>
      </c>
      <c r="M168" s="53">
        <f>STOCK[[#This Row],[Precio Final]]*10%</f>
        <v>1.2</v>
      </c>
      <c r="N168" s="53">
        <v>84.57</v>
      </c>
      <c r="O168" s="53">
        <v>18</v>
      </c>
      <c r="P168" s="53">
        <v>4.69833333333333</v>
      </c>
      <c r="Q168" s="70">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54" t="s">
        <v>380</v>
      </c>
      <c r="F169" s="54" t="s">
        <v>40</v>
      </c>
      <c r="G169" s="54" t="s">
        <v>36</v>
      </c>
      <c r="H169" s="54">
        <f>STOCK[[#This Row],[Precio Final]]</f>
        <v>12</v>
      </c>
      <c r="I169" s="54">
        <f>STOCK[[#This Row],[Precio Venta Ideal (x1.5)]]</f>
        <v>12.6725</v>
      </c>
      <c r="J169" s="71">
        <v>1</v>
      </c>
      <c r="K169" s="71">
        <f>SUMIFS(VENTAS[Cantidad],VENTAS[Código del producto Vendido],STOCK[[#This Row],[Code]])</f>
        <v>1</v>
      </c>
      <c r="L169" s="71">
        <f>STOCK[[#This Row],[Entradas]]-STOCK[[#This Row],[Salidas]]</f>
        <v>0</v>
      </c>
      <c r="M169" s="54">
        <f>STOCK[[#This Row],[Precio Final]]*10%</f>
        <v>1.2</v>
      </c>
      <c r="N169" s="54">
        <v>84.57</v>
      </c>
      <c r="O169" s="54">
        <v>18</v>
      </c>
      <c r="P169" s="54">
        <v>4.69833333333333</v>
      </c>
      <c r="Q169" s="71">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53" t="s">
        <v>382</v>
      </c>
      <c r="F170" s="53" t="s">
        <v>62</v>
      </c>
      <c r="G170" s="53" t="s">
        <v>36</v>
      </c>
      <c r="H170" s="53">
        <f>STOCK[[#This Row],[Precio Final]]</f>
        <v>18</v>
      </c>
      <c r="I170" s="53">
        <f>STOCK[[#This Row],[Precio Venta Ideal (x1.5)]]</f>
        <v>14.9008333333333</v>
      </c>
      <c r="J170" s="70">
        <v>1</v>
      </c>
      <c r="K170" s="70">
        <f>SUMIFS(VENTAS[Cantidad],VENTAS[Código del producto Vendido],STOCK[[#This Row],[Code]])</f>
        <v>0</v>
      </c>
      <c r="L170" s="70">
        <f>STOCK[[#This Row],[Entradas]]-STOCK[[#This Row],[Salidas]]</f>
        <v>1</v>
      </c>
      <c r="M170" s="53">
        <f>STOCK[[#This Row],[Precio Final]]*10%</f>
        <v>1.8</v>
      </c>
      <c r="N170" s="53">
        <v>100.51</v>
      </c>
      <c r="O170" s="53">
        <v>18</v>
      </c>
      <c r="P170" s="53">
        <v>5.58388888888889</v>
      </c>
      <c r="Q170" s="70">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54" t="s">
        <v>384</v>
      </c>
      <c r="F171" s="54" t="s">
        <v>385</v>
      </c>
      <c r="G171" s="54" t="s">
        <v>36</v>
      </c>
      <c r="H171" s="54">
        <f>STOCK[[#This Row],[Precio Final]]</f>
        <v>10</v>
      </c>
      <c r="I171" s="54">
        <f>STOCK[[#This Row],[Precio Venta Ideal (x1.5)]]</f>
        <v>10.0941666666667</v>
      </c>
      <c r="J171" s="71">
        <v>1</v>
      </c>
      <c r="K171" s="71">
        <f>SUMIFS(VENTAS[Cantidad],VENTAS[Código del producto Vendido],STOCK[[#This Row],[Code]])</f>
        <v>1</v>
      </c>
      <c r="L171" s="71">
        <f>STOCK[[#This Row],[Entradas]]-STOCK[[#This Row],[Salidas]]</f>
        <v>0</v>
      </c>
      <c r="M171" s="54">
        <f>STOCK[[#This Row],[Precio Final]]*10%</f>
        <v>1</v>
      </c>
      <c r="N171" s="54">
        <v>88.73</v>
      </c>
      <c r="O171" s="54">
        <v>18</v>
      </c>
      <c r="P171" s="54">
        <v>4.92944444444444</v>
      </c>
      <c r="Q171" s="71">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53" t="s">
        <v>387</v>
      </c>
      <c r="F172" s="53" t="s">
        <v>388</v>
      </c>
      <c r="G172" s="53" t="s">
        <v>36</v>
      </c>
      <c r="H172" s="53">
        <f>STOCK[[#This Row],[Precio Final]]</f>
        <v>15</v>
      </c>
      <c r="I172" s="53">
        <f>STOCK[[#This Row],[Precio Venta Ideal (x1.5)]]</f>
        <v>13.95</v>
      </c>
      <c r="J172" s="70">
        <v>2</v>
      </c>
      <c r="K172" s="70">
        <f>SUMIFS(VENTAS[Cantidad],VENTAS[Código del producto Vendido],STOCK[[#This Row],[Code]])</f>
        <v>2</v>
      </c>
      <c r="L172" s="70">
        <f>STOCK[[#This Row],[Entradas]]-STOCK[[#This Row],[Salidas]]</f>
        <v>0</v>
      </c>
      <c r="M172" s="53">
        <f>STOCK[[#This Row],[Precio Final]]*10%</f>
        <v>1.5</v>
      </c>
      <c r="N172" s="53">
        <v>111.6</v>
      </c>
      <c r="O172" s="53">
        <v>18</v>
      </c>
      <c r="P172" s="53">
        <v>6.2</v>
      </c>
      <c r="Q172" s="70">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54" t="s">
        <v>390</v>
      </c>
      <c r="F173" s="54" t="s">
        <v>388</v>
      </c>
      <c r="G173" s="54" t="s">
        <v>36</v>
      </c>
      <c r="H173" s="54">
        <f>STOCK[[#This Row],[Precio Final]]</f>
        <v>15</v>
      </c>
      <c r="I173" s="54">
        <f>STOCK[[#This Row],[Precio Venta Ideal (x1.5)]]</f>
        <v>14.2966666666667</v>
      </c>
      <c r="J173" s="71">
        <v>2</v>
      </c>
      <c r="K173" s="71">
        <f>SUMIFS(VENTAS[Cantidad],VENTAS[Código del producto Vendido],STOCK[[#This Row],[Code]])</f>
        <v>2</v>
      </c>
      <c r="L173" s="71">
        <f>STOCK[[#This Row],[Entradas]]-STOCK[[#This Row],[Salidas]]</f>
        <v>0</v>
      </c>
      <c r="M173" s="54">
        <f>STOCK[[#This Row],[Precio Final]]*10%</f>
        <v>1.5</v>
      </c>
      <c r="N173" s="54">
        <v>115.76</v>
      </c>
      <c r="O173" s="54">
        <v>18</v>
      </c>
      <c r="P173" s="54">
        <v>6.43111111111111</v>
      </c>
      <c r="Q173" s="71">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53" t="s">
        <v>393</v>
      </c>
      <c r="F174" s="53" t="s">
        <v>394</v>
      </c>
      <c r="G174" s="53" t="s">
        <v>36</v>
      </c>
      <c r="H174" s="53">
        <f>STOCK[[#This Row],[Precio Final]]</f>
        <v>0</v>
      </c>
      <c r="I174" s="53">
        <f>STOCK[[#This Row],[Precio Venta Ideal (x1.5)]]</f>
        <v>2.86000000000001</v>
      </c>
      <c r="J174" s="70">
        <v>0</v>
      </c>
      <c r="K174" s="70">
        <f>SUMIFS(VENTAS[Cantidad],VENTAS[Código del producto Vendido],STOCK[[#This Row],[Code]])</f>
        <v>0</v>
      </c>
      <c r="L174" s="70">
        <f>STOCK[[#This Row],[Entradas]]-STOCK[[#This Row],[Salidas]]</f>
        <v>0</v>
      </c>
      <c r="M174" s="53">
        <f>STOCK[[#This Row],[Precio Final]]*10%</f>
        <v>0</v>
      </c>
      <c r="N174" s="53">
        <v>30</v>
      </c>
      <c r="O174" s="53">
        <v>18</v>
      </c>
      <c r="P174" s="53">
        <v>1.66666666666667</v>
      </c>
      <c r="Q174" s="70">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54" t="s">
        <v>396</v>
      </c>
      <c r="F175" s="54" t="s">
        <v>388</v>
      </c>
      <c r="G175" s="54" t="s">
        <v>36</v>
      </c>
      <c r="H175" s="54">
        <f>STOCK[[#This Row],[Precio Final]]</f>
        <v>15</v>
      </c>
      <c r="I175" s="54">
        <f>STOCK[[#This Row],[Precio Venta Ideal (x1.5)]]</f>
        <v>16.3183333333333</v>
      </c>
      <c r="J175" s="71">
        <v>2</v>
      </c>
      <c r="K175" s="71">
        <f>SUMIFS(VENTAS[Cantidad],VENTAS[Código del producto Vendido],STOCK[[#This Row],[Code]])</f>
        <v>2</v>
      </c>
      <c r="L175" s="71">
        <f>STOCK[[#This Row],[Entradas]]-STOCK[[#This Row],[Salidas]]</f>
        <v>0</v>
      </c>
      <c r="M175" s="54">
        <f>STOCK[[#This Row],[Precio Final]]*10%</f>
        <v>1.5</v>
      </c>
      <c r="N175" s="54">
        <v>140.02</v>
      </c>
      <c r="O175" s="54">
        <v>18</v>
      </c>
      <c r="P175" s="54">
        <v>7.77888888888889</v>
      </c>
      <c r="Q175" s="71">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53" t="s">
        <v>398</v>
      </c>
      <c r="F176" s="53" t="s">
        <v>394</v>
      </c>
      <c r="G176" s="53" t="s">
        <v>36</v>
      </c>
      <c r="H176" s="53">
        <f>STOCK[[#This Row],[Precio Final]]</f>
        <v>10</v>
      </c>
      <c r="I176" s="53">
        <f>STOCK[[#This Row],[Precio Venta Ideal (x1.5)]]</f>
        <v>8.07250000000001</v>
      </c>
      <c r="J176" s="70">
        <v>1</v>
      </c>
      <c r="K176" s="70">
        <f>SUMIFS(VENTAS[Cantidad],VENTAS[Código del producto Vendido],STOCK[[#This Row],[Code]])</f>
        <v>1</v>
      </c>
      <c r="L176" s="70">
        <f>STOCK[[#This Row],[Entradas]]-STOCK[[#This Row],[Salidas]]</f>
        <v>0</v>
      </c>
      <c r="M176" s="53">
        <f>STOCK[[#This Row],[Precio Final]]*10%</f>
        <v>1</v>
      </c>
      <c r="N176" s="53">
        <v>64.47</v>
      </c>
      <c r="O176" s="53">
        <v>18</v>
      </c>
      <c r="P176" s="53">
        <v>3.58166666666667</v>
      </c>
      <c r="Q176" s="70">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54" t="s">
        <v>400</v>
      </c>
      <c r="F177" s="54" t="s">
        <v>46</v>
      </c>
      <c r="G177" s="54" t="s">
        <v>36</v>
      </c>
      <c r="H177" s="54">
        <f>STOCK[[#This Row],[Precio Final]]</f>
        <v>30</v>
      </c>
      <c r="I177" s="54">
        <f>STOCK[[#This Row],[Precio Venta Ideal (x1.5)]]</f>
        <v>33.315</v>
      </c>
      <c r="J177" s="71">
        <v>1</v>
      </c>
      <c r="K177" s="71">
        <f>SUMIFS(VENTAS[Cantidad],VENTAS[Código del producto Vendido],STOCK[[#This Row],[Code]])</f>
        <v>1</v>
      </c>
      <c r="L177" s="71">
        <f>STOCK[[#This Row],[Entradas]]-STOCK[[#This Row],[Salidas]]</f>
        <v>0</v>
      </c>
      <c r="M177" s="54">
        <f>STOCK[[#This Row],[Precio Final]]*10%</f>
        <v>3</v>
      </c>
      <c r="N177" s="54">
        <v>250.92</v>
      </c>
      <c r="O177" s="54">
        <v>18</v>
      </c>
      <c r="P177" s="54">
        <v>13.94</v>
      </c>
      <c r="Q177" s="71">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53" t="s">
        <v>402</v>
      </c>
      <c r="F178" s="53" t="s">
        <v>62</v>
      </c>
      <c r="G178" s="53" t="s">
        <v>36</v>
      </c>
      <c r="H178" s="53">
        <f>STOCK[[#This Row],[Precio Final]]</f>
        <v>30</v>
      </c>
      <c r="I178" s="53">
        <f>STOCK[[#This Row],[Precio Venta Ideal (x1.5)]]</f>
        <v>33.315</v>
      </c>
      <c r="J178" s="70">
        <v>2</v>
      </c>
      <c r="K178" s="70">
        <f>SUMIFS(VENTAS[Cantidad],VENTAS[Código del producto Vendido],STOCK[[#This Row],[Code]])</f>
        <v>2</v>
      </c>
      <c r="L178" s="70">
        <f>STOCK[[#This Row],[Entradas]]-STOCK[[#This Row],[Salidas]]</f>
        <v>0</v>
      </c>
      <c r="M178" s="53">
        <f>STOCK[[#This Row],[Precio Final]]*10%</f>
        <v>3</v>
      </c>
      <c r="N178" s="53">
        <v>250.92</v>
      </c>
      <c r="O178" s="53">
        <v>18</v>
      </c>
      <c r="P178" s="53">
        <v>13.94</v>
      </c>
      <c r="Q178" s="70">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54" t="s">
        <v>404</v>
      </c>
      <c r="F179" s="54" t="s">
        <v>40</v>
      </c>
      <c r="G179" s="54" t="s">
        <v>36</v>
      </c>
      <c r="H179" s="54">
        <f>STOCK[[#This Row],[Precio Final]]</f>
        <v>55</v>
      </c>
      <c r="I179" s="54">
        <f>STOCK[[#This Row],[Precio Venta Ideal (x1.5)]]</f>
        <v>58.6875</v>
      </c>
      <c r="J179" s="71">
        <v>1</v>
      </c>
      <c r="K179" s="71">
        <f>SUMIFS(VENTAS[Cantidad],VENTAS[Código del producto Vendido],STOCK[[#This Row],[Code]])</f>
        <v>0</v>
      </c>
      <c r="L179" s="71">
        <f>STOCK[[#This Row],[Entradas]]-STOCK[[#This Row],[Salidas]]</f>
        <v>1</v>
      </c>
      <c r="M179" s="54">
        <f>STOCK[[#This Row],[Precio Final]]*10%</f>
        <v>5.5</v>
      </c>
      <c r="N179" s="54">
        <v>452.25</v>
      </c>
      <c r="O179" s="54">
        <v>18</v>
      </c>
      <c r="P179" s="54">
        <v>25.125</v>
      </c>
      <c r="Q179" s="71">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53" t="s">
        <v>406</v>
      </c>
      <c r="F180" s="53" t="s">
        <v>281</v>
      </c>
      <c r="G180" s="53" t="s">
        <v>36</v>
      </c>
      <c r="H180" s="53">
        <f>STOCK[[#This Row],[Precio Final]]</f>
        <v>20</v>
      </c>
      <c r="I180" s="53">
        <f>STOCK[[#This Row],[Precio Venta Ideal (x1.5)]]</f>
        <v>21.8558333333333</v>
      </c>
      <c r="J180" s="70">
        <v>2</v>
      </c>
      <c r="K180" s="70">
        <f>SUMIFS(VENTAS[Cantidad],VENTAS[Código del producto Vendido],STOCK[[#This Row],[Code]])</f>
        <v>2</v>
      </c>
      <c r="L180" s="70">
        <f>STOCK[[#This Row],[Entradas]]-STOCK[[#This Row],[Salidas]]</f>
        <v>0</v>
      </c>
      <c r="M180" s="53">
        <f>STOCK[[#This Row],[Precio Final]]*10%</f>
        <v>2</v>
      </c>
      <c r="N180" s="53">
        <v>134.47</v>
      </c>
      <c r="O180" s="53">
        <v>18</v>
      </c>
      <c r="P180" s="53">
        <v>7.47055555555556</v>
      </c>
      <c r="Q180" s="70">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54" t="s">
        <v>408</v>
      </c>
      <c r="F181" s="54" t="s">
        <v>62</v>
      </c>
      <c r="G181" s="54" t="s">
        <v>36</v>
      </c>
      <c r="H181" s="54">
        <f>STOCK[[#This Row],[Precio Final]]</f>
        <v>18</v>
      </c>
      <c r="I181" s="54">
        <f>STOCK[[#This Row],[Precio Venta Ideal (x1.5)]]</f>
        <v>17.2</v>
      </c>
      <c r="J181" s="71">
        <v>2</v>
      </c>
      <c r="K181" s="71">
        <f>SUMIFS(VENTAS[Cantidad],VENTAS[Código del producto Vendido],STOCK[[#This Row],[Code]])</f>
        <v>2</v>
      </c>
      <c r="L181" s="71">
        <f>STOCK[[#This Row],[Entradas]]-STOCK[[#This Row],[Salidas]]</f>
        <v>0</v>
      </c>
      <c r="M181" s="54">
        <f>STOCK[[#This Row],[Precio Final]]*10%</f>
        <v>1.8</v>
      </c>
      <c r="N181" s="54">
        <v>138</v>
      </c>
      <c r="O181" s="54">
        <v>18</v>
      </c>
      <c r="P181" s="54">
        <v>7.66666666666667</v>
      </c>
      <c r="Q181" s="71">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53" t="s">
        <v>408</v>
      </c>
      <c r="F182" s="53" t="s">
        <v>46</v>
      </c>
      <c r="G182" s="53" t="s">
        <v>36</v>
      </c>
      <c r="H182" s="53">
        <f>STOCK[[#This Row],[Precio Final]]</f>
        <v>18</v>
      </c>
      <c r="I182" s="53">
        <f>STOCK[[#This Row],[Precio Venta Ideal (x1.5)]]</f>
        <v>17.2</v>
      </c>
      <c r="J182" s="70">
        <v>3</v>
      </c>
      <c r="K182" s="70">
        <f>SUMIFS(VENTAS[Cantidad],VENTAS[Código del producto Vendido],STOCK[[#This Row],[Code]])</f>
        <v>3</v>
      </c>
      <c r="L182" s="70">
        <f>STOCK[[#This Row],[Entradas]]-STOCK[[#This Row],[Salidas]]</f>
        <v>0</v>
      </c>
      <c r="M182" s="53">
        <f>STOCK[[#This Row],[Precio Final]]*10%</f>
        <v>1.8</v>
      </c>
      <c r="N182" s="53">
        <v>138</v>
      </c>
      <c r="O182" s="53">
        <v>18</v>
      </c>
      <c r="P182" s="53">
        <v>7.66666666666667</v>
      </c>
      <c r="Q182" s="70">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54" t="s">
        <v>408</v>
      </c>
      <c r="F183" s="54" t="s">
        <v>49</v>
      </c>
      <c r="G183" s="54" t="s">
        <v>36</v>
      </c>
      <c r="H183" s="54">
        <f>STOCK[[#This Row],[Precio Final]]</f>
        <v>18</v>
      </c>
      <c r="I183" s="54">
        <f>STOCK[[#This Row],[Precio Venta Ideal (x1.5)]]</f>
        <v>17.2</v>
      </c>
      <c r="J183" s="71">
        <v>2</v>
      </c>
      <c r="K183" s="71">
        <f>SUMIFS(VENTAS[Cantidad],VENTAS[Código del producto Vendido],STOCK[[#This Row],[Code]])</f>
        <v>2</v>
      </c>
      <c r="L183" s="71">
        <f>STOCK[[#This Row],[Entradas]]-STOCK[[#This Row],[Salidas]]</f>
        <v>0</v>
      </c>
      <c r="M183" s="54">
        <f>STOCK[[#This Row],[Precio Final]]*10%</f>
        <v>1.8</v>
      </c>
      <c r="N183" s="54">
        <v>138</v>
      </c>
      <c r="O183" s="54">
        <v>18</v>
      </c>
      <c r="P183" s="54">
        <v>7.66666666666667</v>
      </c>
      <c r="Q183" s="71">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53" t="s">
        <v>39</v>
      </c>
      <c r="F184" s="53" t="s">
        <v>88</v>
      </c>
      <c r="G184" s="53" t="s">
        <v>36</v>
      </c>
      <c r="H184" s="53">
        <f>STOCK[[#This Row],[Precio Final]]</f>
        <v>25</v>
      </c>
      <c r="I184" s="53">
        <f>STOCK[[#This Row],[Precio Venta Ideal (x1.5)]]</f>
        <v>24.6666666666666</v>
      </c>
      <c r="J184" s="70">
        <v>1</v>
      </c>
      <c r="K184" s="70">
        <f>SUMIFS(VENTAS[Cantidad],VENTAS[Código del producto Vendido],STOCK[[#This Row],[Code]])</f>
        <v>1</v>
      </c>
      <c r="L184" s="70">
        <f>STOCK[[#This Row],[Entradas]]-STOCK[[#This Row],[Salidas]]</f>
        <v>0</v>
      </c>
      <c r="M184" s="53">
        <f>STOCK[[#This Row],[Precio Final]]*10%</f>
        <v>2.5</v>
      </c>
      <c r="N184" s="53">
        <v>215</v>
      </c>
      <c r="O184" s="53">
        <v>18</v>
      </c>
      <c r="P184" s="53">
        <v>11.9444444444444</v>
      </c>
      <c r="Q184" s="70">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54" t="s">
        <v>39</v>
      </c>
      <c r="F185" s="54" t="s">
        <v>49</v>
      </c>
      <c r="G185" s="54" t="s">
        <v>36</v>
      </c>
      <c r="H185" s="54">
        <f>STOCK[[#This Row],[Precio Final]]</f>
        <v>22</v>
      </c>
      <c r="I185" s="54">
        <f>STOCK[[#This Row],[Precio Venta Ideal (x1.5)]]</f>
        <v>24.2166666666666</v>
      </c>
      <c r="J185" s="71">
        <v>2</v>
      </c>
      <c r="K185" s="71">
        <f>SUMIFS(VENTAS[Cantidad],VENTAS[Código del producto Vendido],STOCK[[#This Row],[Code]])</f>
        <v>2</v>
      </c>
      <c r="L185" s="71">
        <f>STOCK[[#This Row],[Entradas]]-STOCK[[#This Row],[Salidas]]</f>
        <v>0</v>
      </c>
      <c r="M185" s="54">
        <f>STOCK[[#This Row],[Precio Final]]*10%</f>
        <v>2.2</v>
      </c>
      <c r="N185" s="54">
        <v>215</v>
      </c>
      <c r="O185" s="54">
        <v>18</v>
      </c>
      <c r="P185" s="54">
        <v>11.9444444444444</v>
      </c>
      <c r="Q185" s="71">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53" t="s">
        <v>39</v>
      </c>
      <c r="F186" s="53" t="s">
        <v>46</v>
      </c>
      <c r="G186" s="53" t="s">
        <v>36</v>
      </c>
      <c r="H186" s="53">
        <f>STOCK[[#This Row],[Precio Final]]</f>
        <v>25</v>
      </c>
      <c r="I186" s="53">
        <f>STOCK[[#This Row],[Precio Venta Ideal (x1.5)]]</f>
        <v>24.6666666666666</v>
      </c>
      <c r="J186" s="70">
        <v>2</v>
      </c>
      <c r="K186" s="70">
        <f>SUMIFS(VENTAS[Cantidad],VENTAS[Código del producto Vendido],STOCK[[#This Row],[Code]])</f>
        <v>2</v>
      </c>
      <c r="L186" s="70">
        <f>STOCK[[#This Row],[Entradas]]-STOCK[[#This Row],[Salidas]]</f>
        <v>0</v>
      </c>
      <c r="M186" s="53">
        <f>STOCK[[#This Row],[Precio Final]]*10%</f>
        <v>2.5</v>
      </c>
      <c r="N186" s="53">
        <v>215</v>
      </c>
      <c r="O186" s="53">
        <v>18</v>
      </c>
      <c r="P186" s="53">
        <v>11.9444444444444</v>
      </c>
      <c r="Q186" s="70">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54" t="s">
        <v>415</v>
      </c>
      <c r="F187" s="54" t="s">
        <v>46</v>
      </c>
      <c r="G187" s="54" t="s">
        <v>36</v>
      </c>
      <c r="H187" s="54">
        <f>STOCK[[#This Row],[Precio Final]]</f>
        <v>22</v>
      </c>
      <c r="I187" s="54">
        <f>STOCK[[#This Row],[Precio Venta Ideal (x1.5)]]</f>
        <v>23.3833333333333</v>
      </c>
      <c r="J187" s="71">
        <v>2</v>
      </c>
      <c r="K187" s="71">
        <f>SUMIFS(VENTAS[Cantidad],VENTAS[Código del producto Vendido],STOCK[[#This Row],[Code]])</f>
        <v>2</v>
      </c>
      <c r="L187" s="71">
        <f>STOCK[[#This Row],[Entradas]]-STOCK[[#This Row],[Salidas]]</f>
        <v>0</v>
      </c>
      <c r="M187" s="54">
        <f>STOCK[[#This Row],[Precio Final]]*10%</f>
        <v>2.2</v>
      </c>
      <c r="N187" s="54">
        <v>205</v>
      </c>
      <c r="O187" s="54">
        <v>18</v>
      </c>
      <c r="P187" s="54">
        <v>11.3888888888889</v>
      </c>
      <c r="Q187" s="71">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53" t="s">
        <v>417</v>
      </c>
      <c r="F188" s="53" t="s">
        <v>46</v>
      </c>
      <c r="G188" s="53" t="s">
        <v>36</v>
      </c>
      <c r="H188" s="53">
        <f>STOCK[[#This Row],[Precio Final]]</f>
        <v>22</v>
      </c>
      <c r="I188" s="53">
        <f>STOCK[[#This Row],[Precio Venta Ideal (x1.5)]]</f>
        <v>23.3833333333333</v>
      </c>
      <c r="J188" s="70">
        <v>2</v>
      </c>
      <c r="K188" s="70">
        <f>SUMIFS(VENTAS[Cantidad],VENTAS[Código del producto Vendido],STOCK[[#This Row],[Code]])</f>
        <v>2</v>
      </c>
      <c r="L188" s="70">
        <f>STOCK[[#This Row],[Entradas]]-STOCK[[#This Row],[Salidas]]</f>
        <v>0</v>
      </c>
      <c r="M188" s="53">
        <f>STOCK[[#This Row],[Precio Final]]*10%</f>
        <v>2.2</v>
      </c>
      <c r="N188" s="53">
        <v>205</v>
      </c>
      <c r="O188" s="53">
        <v>18</v>
      </c>
      <c r="P188" s="53">
        <v>11.3888888888889</v>
      </c>
      <c r="Q188" s="70">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54" t="s">
        <v>419</v>
      </c>
      <c r="F189" s="54" t="s">
        <v>62</v>
      </c>
      <c r="G189" s="54" t="s">
        <v>36</v>
      </c>
      <c r="H189" s="54">
        <f>STOCK[[#This Row],[Precio Final]]</f>
        <v>22</v>
      </c>
      <c r="I189" s="54">
        <f>STOCK[[#This Row],[Precio Venta Ideal (x1.5)]]</f>
        <v>23.3833333333333</v>
      </c>
      <c r="J189" s="71">
        <v>2</v>
      </c>
      <c r="K189" s="71">
        <f>SUMIFS(VENTAS[Cantidad],VENTAS[Código del producto Vendido],STOCK[[#This Row],[Code]])</f>
        <v>2</v>
      </c>
      <c r="L189" s="71">
        <f>STOCK[[#This Row],[Entradas]]-STOCK[[#This Row],[Salidas]]</f>
        <v>0</v>
      </c>
      <c r="M189" s="54">
        <f>STOCK[[#This Row],[Precio Final]]*10%</f>
        <v>2.2</v>
      </c>
      <c r="N189" s="54">
        <v>205</v>
      </c>
      <c r="O189" s="54">
        <v>18</v>
      </c>
      <c r="P189" s="54">
        <v>11.3888888888889</v>
      </c>
      <c r="Q189" s="71">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53" t="s">
        <v>421</v>
      </c>
      <c r="F190" s="53" t="s">
        <v>46</v>
      </c>
      <c r="G190" s="53" t="s">
        <v>36</v>
      </c>
      <c r="H190" s="53">
        <f>STOCK[[#This Row],[Precio Final]]</f>
        <v>25</v>
      </c>
      <c r="I190" s="53">
        <f>STOCK[[#This Row],[Precio Venta Ideal (x1.5)]]</f>
        <v>24.5</v>
      </c>
      <c r="J190" s="70">
        <v>2</v>
      </c>
      <c r="K190" s="70">
        <f>SUMIFS(VENTAS[Cantidad],VENTAS[Código del producto Vendido],STOCK[[#This Row],[Code]])</f>
        <v>2</v>
      </c>
      <c r="L190" s="70">
        <f>STOCK[[#This Row],[Entradas]]-STOCK[[#This Row],[Salidas]]</f>
        <v>0</v>
      </c>
      <c r="M190" s="53">
        <f>STOCK[[#This Row],[Precio Final]]*10%</f>
        <v>2.5</v>
      </c>
      <c r="N190" s="53">
        <v>213</v>
      </c>
      <c r="O190" s="53">
        <v>18</v>
      </c>
      <c r="P190" s="53">
        <v>11.8333333333333</v>
      </c>
      <c r="Q190" s="70">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54" t="s">
        <v>423</v>
      </c>
      <c r="F191" s="54" t="s">
        <v>46</v>
      </c>
      <c r="G191" s="54" t="s">
        <v>36</v>
      </c>
      <c r="H191" s="54">
        <f>STOCK[[#This Row],[Precio Final]]</f>
        <v>25</v>
      </c>
      <c r="I191" s="54">
        <f>STOCK[[#This Row],[Precio Venta Ideal (x1.5)]]</f>
        <v>24.5</v>
      </c>
      <c r="J191" s="71">
        <v>3</v>
      </c>
      <c r="K191" s="71">
        <f>SUMIFS(VENTAS[Cantidad],VENTAS[Código del producto Vendido],STOCK[[#This Row],[Code]])</f>
        <v>3</v>
      </c>
      <c r="L191" s="71">
        <f>STOCK[[#This Row],[Entradas]]-STOCK[[#This Row],[Salidas]]</f>
        <v>0</v>
      </c>
      <c r="M191" s="54">
        <f>STOCK[[#This Row],[Precio Final]]*10%</f>
        <v>2.5</v>
      </c>
      <c r="N191" s="54">
        <v>213</v>
      </c>
      <c r="O191" s="54">
        <v>18</v>
      </c>
      <c r="P191" s="54">
        <v>11.8333333333333</v>
      </c>
      <c r="Q191" s="71">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53" t="s">
        <v>425</v>
      </c>
      <c r="F192" s="53" t="s">
        <v>46</v>
      </c>
      <c r="G192" s="53" t="s">
        <v>36</v>
      </c>
      <c r="H192" s="53">
        <f>STOCK[[#This Row],[Precio Final]]</f>
        <v>25</v>
      </c>
      <c r="I192" s="53">
        <f>STOCK[[#This Row],[Precio Venta Ideal (x1.5)]]</f>
        <v>24.5</v>
      </c>
      <c r="J192" s="70">
        <v>3</v>
      </c>
      <c r="K192" s="70">
        <f>SUMIFS(VENTAS[Cantidad],VENTAS[Código del producto Vendido],STOCK[[#This Row],[Code]])</f>
        <v>3</v>
      </c>
      <c r="L192" s="70">
        <f>STOCK[[#This Row],[Entradas]]-STOCK[[#This Row],[Salidas]]</f>
        <v>0</v>
      </c>
      <c r="M192" s="53">
        <f>STOCK[[#This Row],[Precio Final]]*10%</f>
        <v>2.5</v>
      </c>
      <c r="N192" s="53">
        <v>213</v>
      </c>
      <c r="O192" s="53">
        <v>18</v>
      </c>
      <c r="P192" s="53">
        <v>11.8333333333333</v>
      </c>
      <c r="Q192" s="70">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54" t="s">
        <v>427</v>
      </c>
      <c r="F193" s="54" t="s">
        <v>88</v>
      </c>
      <c r="G193" s="54" t="s">
        <v>36</v>
      </c>
      <c r="H193" s="54">
        <f>STOCK[[#This Row],[Precio Final]]</f>
        <v>23</v>
      </c>
      <c r="I193" s="54">
        <f>STOCK[[#This Row],[Precio Venta Ideal (x1.5)]]</f>
        <v>25.5033333333333</v>
      </c>
      <c r="J193" s="71">
        <v>1</v>
      </c>
      <c r="K193" s="71">
        <f>SUMIFS(VENTAS[Cantidad],VENTAS[Código del producto Vendido],STOCK[[#This Row],[Code]])</f>
        <v>1</v>
      </c>
      <c r="L193" s="71">
        <f>STOCK[[#This Row],[Entradas]]-STOCK[[#This Row],[Salidas]]</f>
        <v>0</v>
      </c>
      <c r="M193" s="54">
        <f>STOCK[[#This Row],[Precio Final]]*10%</f>
        <v>2.3</v>
      </c>
      <c r="N193" s="54">
        <v>238</v>
      </c>
      <c r="O193" s="54">
        <v>18</v>
      </c>
      <c r="P193" s="54">
        <v>13.2222222222222</v>
      </c>
      <c r="Q193" s="71">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53" t="s">
        <v>429</v>
      </c>
      <c r="F194" s="53" t="s">
        <v>49</v>
      </c>
      <c r="G194" s="53" t="s">
        <v>36</v>
      </c>
      <c r="H194" s="53">
        <f>STOCK[[#This Row],[Precio Final]]</f>
        <v>23</v>
      </c>
      <c r="I194" s="53">
        <f>STOCK[[#This Row],[Precio Venta Ideal (x1.5)]]</f>
        <v>25.5033333333333</v>
      </c>
      <c r="J194" s="70">
        <v>2</v>
      </c>
      <c r="K194" s="70">
        <f>SUMIFS(VENTAS[Cantidad],VENTAS[Código del producto Vendido],STOCK[[#This Row],[Code]])</f>
        <v>2</v>
      </c>
      <c r="L194" s="70">
        <f>STOCK[[#This Row],[Entradas]]-STOCK[[#This Row],[Salidas]]</f>
        <v>0</v>
      </c>
      <c r="M194" s="53">
        <f>STOCK[[#This Row],[Precio Final]]*10%</f>
        <v>2.3</v>
      </c>
      <c r="N194" s="53">
        <v>238</v>
      </c>
      <c r="O194" s="53">
        <v>18</v>
      </c>
      <c r="P194" s="53">
        <v>13.2222222222222</v>
      </c>
      <c r="Q194" s="70">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54" t="s">
        <v>431</v>
      </c>
      <c r="F195" s="54" t="s">
        <v>49</v>
      </c>
      <c r="G195" s="54" t="s">
        <v>36</v>
      </c>
      <c r="H195" s="54">
        <f>STOCK[[#This Row],[Precio Final]]</f>
        <v>28</v>
      </c>
      <c r="I195" s="54">
        <f>STOCK[[#This Row],[Precio Venta Ideal (x1.5)]]</f>
        <v>28.0616666666667</v>
      </c>
      <c r="J195" s="71">
        <v>1</v>
      </c>
      <c r="K195" s="71">
        <f>SUMIFS(VENTAS[Cantidad],VENTAS[Código del producto Vendido],STOCK[[#This Row],[Code]])</f>
        <v>1</v>
      </c>
      <c r="L195" s="71">
        <f>STOCK[[#This Row],[Entradas]]-STOCK[[#This Row],[Salidas]]</f>
        <v>0</v>
      </c>
      <c r="M195" s="54">
        <f>STOCK[[#This Row],[Precio Final]]*10%</f>
        <v>2.8</v>
      </c>
      <c r="N195" s="54">
        <v>259.7</v>
      </c>
      <c r="O195" s="54">
        <v>18</v>
      </c>
      <c r="P195" s="54">
        <v>14.4277777777778</v>
      </c>
      <c r="Q195" s="71">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53" t="s">
        <v>431</v>
      </c>
      <c r="F196" s="53" t="s">
        <v>62</v>
      </c>
      <c r="G196" s="53" t="s">
        <v>36</v>
      </c>
      <c r="H196" s="53">
        <f>STOCK[[#This Row],[Precio Final]]</f>
        <v>28</v>
      </c>
      <c r="I196" s="53">
        <f>STOCK[[#This Row],[Precio Venta Ideal (x1.5)]]</f>
        <v>28.0616666666667</v>
      </c>
      <c r="J196" s="70">
        <v>1</v>
      </c>
      <c r="K196" s="70">
        <f>SUMIFS(VENTAS[Cantidad],VENTAS[Código del producto Vendido],STOCK[[#This Row],[Code]])</f>
        <v>1</v>
      </c>
      <c r="L196" s="70">
        <f>STOCK[[#This Row],[Entradas]]-STOCK[[#This Row],[Salidas]]</f>
        <v>0</v>
      </c>
      <c r="M196" s="53">
        <f>STOCK[[#This Row],[Precio Final]]*10%</f>
        <v>2.8</v>
      </c>
      <c r="N196" s="53">
        <v>259.7</v>
      </c>
      <c r="O196" s="53">
        <v>18</v>
      </c>
      <c r="P196" s="53">
        <v>14.4277777777778</v>
      </c>
      <c r="Q196" s="70">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54" t="s">
        <v>434</v>
      </c>
      <c r="F197" s="54" t="s">
        <v>40</v>
      </c>
      <c r="G197" s="54" t="s">
        <v>36</v>
      </c>
      <c r="H197" s="54">
        <f>STOCK[[#This Row],[Precio Final]]</f>
        <v>28</v>
      </c>
      <c r="I197" s="54">
        <f>STOCK[[#This Row],[Precio Venta Ideal (x1.5)]]</f>
        <v>28.0616666666667</v>
      </c>
      <c r="J197" s="71">
        <v>1</v>
      </c>
      <c r="K197" s="71">
        <f>SUMIFS(VENTAS[Cantidad],VENTAS[Código del producto Vendido],STOCK[[#This Row],[Code]])</f>
        <v>1</v>
      </c>
      <c r="L197" s="71">
        <f>STOCK[[#This Row],[Entradas]]-STOCK[[#This Row],[Salidas]]</f>
        <v>0</v>
      </c>
      <c r="M197" s="54">
        <f>STOCK[[#This Row],[Precio Final]]*10%</f>
        <v>2.8</v>
      </c>
      <c r="N197" s="54">
        <v>259.7</v>
      </c>
      <c r="O197" s="54">
        <v>18</v>
      </c>
      <c r="P197" s="54">
        <v>14.4277777777778</v>
      </c>
      <c r="Q197" s="71">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53" t="s">
        <v>436</v>
      </c>
      <c r="F198" s="53" t="s">
        <v>187</v>
      </c>
      <c r="G198" s="53" t="s">
        <v>36</v>
      </c>
      <c r="H198" s="53">
        <f>STOCK[[#This Row],[Precio Final]]</f>
        <v>25</v>
      </c>
      <c r="I198" s="53">
        <f>STOCK[[#This Row],[Precio Venta Ideal (x1.5)]]</f>
        <v>28.135</v>
      </c>
      <c r="J198" s="70">
        <v>1</v>
      </c>
      <c r="K198" s="70">
        <f>SUMIFS(VENTAS[Cantidad],VENTAS[Código del producto Vendido],STOCK[[#This Row],[Code]])</f>
        <v>1</v>
      </c>
      <c r="L198" s="70">
        <f>STOCK[[#This Row],[Entradas]]-STOCK[[#This Row],[Salidas]]</f>
        <v>0</v>
      </c>
      <c r="M198" s="53">
        <f>STOCK[[#This Row],[Precio Final]]*10%</f>
        <v>2.5</v>
      </c>
      <c r="N198" s="53">
        <v>266.7</v>
      </c>
      <c r="O198" s="53">
        <v>18</v>
      </c>
      <c r="P198" s="53">
        <v>14.8166666666667</v>
      </c>
      <c r="Q198" s="70">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54" t="s">
        <v>438</v>
      </c>
      <c r="F199" s="54" t="s">
        <v>42</v>
      </c>
      <c r="G199" s="54" t="s">
        <v>36</v>
      </c>
      <c r="H199" s="54">
        <f>STOCK[[#This Row],[Precio Final]]</f>
        <v>25</v>
      </c>
      <c r="I199" s="54">
        <f>STOCK[[#This Row],[Precio Venta Ideal (x1.5)]]</f>
        <v>28.6566666666666</v>
      </c>
      <c r="J199" s="71">
        <v>2</v>
      </c>
      <c r="K199" s="71">
        <f>SUMIFS(VENTAS[Cantidad],VENTAS[Código del producto Vendido],STOCK[[#This Row],[Code]])</f>
        <v>2</v>
      </c>
      <c r="L199" s="71">
        <f>STOCK[[#This Row],[Entradas]]-STOCK[[#This Row],[Salidas]]</f>
        <v>0</v>
      </c>
      <c r="M199" s="54">
        <f>STOCK[[#This Row],[Precio Final]]*10%</f>
        <v>2.5</v>
      </c>
      <c r="N199" s="54">
        <v>249.2</v>
      </c>
      <c r="O199" s="54">
        <v>18</v>
      </c>
      <c r="P199" s="54">
        <v>13.8444444444444</v>
      </c>
      <c r="Q199" s="71">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53" t="s">
        <v>100</v>
      </c>
      <c r="F200" s="53" t="s">
        <v>42</v>
      </c>
      <c r="G200" s="53" t="s">
        <v>36</v>
      </c>
      <c r="H200" s="53">
        <f>STOCK[[#This Row],[Precio Final]]</f>
        <v>28</v>
      </c>
      <c r="I200" s="53">
        <f>STOCK[[#This Row],[Precio Venta Ideal (x1.5)]]</f>
        <v>27.925</v>
      </c>
      <c r="J200" s="70">
        <v>0</v>
      </c>
      <c r="K200" s="70">
        <f>SUMIFS(VENTAS[Cantidad],VENTAS[Código del producto Vendido],STOCK[[#This Row],[Code]])</f>
        <v>0</v>
      </c>
      <c r="L200" s="70">
        <f>STOCK[[#This Row],[Entradas]]-STOCK[[#This Row],[Salidas]]</f>
        <v>0</v>
      </c>
      <c r="M200" s="53">
        <f>STOCK[[#This Row],[Precio Final]]*10%</f>
        <v>2.8</v>
      </c>
      <c r="N200" s="53">
        <v>241.5</v>
      </c>
      <c r="O200" s="53">
        <v>18</v>
      </c>
      <c r="P200" s="53">
        <v>13.4166666666667</v>
      </c>
      <c r="Q200" s="70">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54" t="s">
        <v>441</v>
      </c>
      <c r="F201" s="54" t="s">
        <v>62</v>
      </c>
      <c r="G201" s="54" t="s">
        <v>36</v>
      </c>
      <c r="H201" s="54">
        <f>STOCK[[#This Row],[Precio Final]]</f>
        <v>12</v>
      </c>
      <c r="I201" s="54">
        <f>STOCK[[#This Row],[Precio Venta Ideal (x1.5)]]</f>
        <v>11.785</v>
      </c>
      <c r="J201" s="71">
        <v>1</v>
      </c>
      <c r="K201" s="71">
        <f>SUMIFS(VENTAS[Cantidad],VENTAS[Código del producto Vendido],STOCK[[#This Row],[Code]])</f>
        <v>1</v>
      </c>
      <c r="L201" s="71">
        <f>STOCK[[#This Row],[Entradas]]-STOCK[[#This Row],[Salidas]]</f>
        <v>0</v>
      </c>
      <c r="M201" s="54">
        <f>STOCK[[#This Row],[Precio Final]]*10%</f>
        <v>1.2</v>
      </c>
      <c r="N201" s="54">
        <v>115.5</v>
      </c>
      <c r="O201" s="54">
        <v>18</v>
      </c>
      <c r="P201" s="54">
        <v>6.41666666666667</v>
      </c>
      <c r="Q201" s="71">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53" t="s">
        <v>443</v>
      </c>
      <c r="F202" s="53" t="s">
        <v>444</v>
      </c>
      <c r="G202" s="53" t="s">
        <v>36</v>
      </c>
      <c r="H202" s="53">
        <f>STOCK[[#This Row],[Precio Final]]</f>
        <v>12</v>
      </c>
      <c r="I202" s="53">
        <f>STOCK[[#This Row],[Precio Venta Ideal (x1.5)]]</f>
        <v>12.9516666666667</v>
      </c>
      <c r="J202" s="70">
        <v>1</v>
      </c>
      <c r="K202" s="70">
        <f>SUMIFS(VENTAS[Cantidad],VENTAS[Código del producto Vendido],STOCK[[#This Row],[Code]])</f>
        <v>1</v>
      </c>
      <c r="L202" s="70">
        <f>STOCK[[#This Row],[Entradas]]-STOCK[[#This Row],[Salidas]]</f>
        <v>0</v>
      </c>
      <c r="M202" s="53">
        <f>STOCK[[#This Row],[Precio Final]]*10%</f>
        <v>1.2</v>
      </c>
      <c r="N202" s="53">
        <v>129.5</v>
      </c>
      <c r="O202" s="53">
        <v>18</v>
      </c>
      <c r="P202" s="53">
        <v>7.19444444444444</v>
      </c>
      <c r="Q202" s="70">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54" t="s">
        <v>446</v>
      </c>
      <c r="F203" s="54" t="s">
        <v>40</v>
      </c>
      <c r="G203" s="54" t="s">
        <v>36</v>
      </c>
      <c r="H203" s="54">
        <f>STOCK[[#This Row],[Precio Final]]</f>
        <v>16</v>
      </c>
      <c r="I203" s="54">
        <f>STOCK[[#This Row],[Precio Venta Ideal (x1.5)]]</f>
        <v>25.37</v>
      </c>
      <c r="J203" s="71">
        <v>1</v>
      </c>
      <c r="K203" s="71">
        <f>SUMIFS(VENTAS[Cantidad],VENTAS[Código del producto Vendido],STOCK[[#This Row],[Code]])</f>
        <v>1</v>
      </c>
      <c r="L203" s="71">
        <f>STOCK[[#This Row],[Entradas]]-STOCK[[#This Row],[Salidas]]</f>
        <v>0</v>
      </c>
      <c r="M203" s="54">
        <f>STOCK[[#This Row],[Precio Final]]*10%</f>
        <v>1.6</v>
      </c>
      <c r="N203" s="54">
        <v>256.2</v>
      </c>
      <c r="O203" s="54">
        <v>18</v>
      </c>
      <c r="P203" s="54">
        <v>14.2333333333333</v>
      </c>
      <c r="Q203" s="71">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53" t="s">
        <v>448</v>
      </c>
      <c r="F204" s="53" t="s">
        <v>62</v>
      </c>
      <c r="G204" s="53" t="s">
        <v>36</v>
      </c>
      <c r="H204" s="53">
        <f>STOCK[[#This Row],[Precio Final]]</f>
        <v>15</v>
      </c>
      <c r="I204" s="53">
        <f>STOCK[[#This Row],[Precio Venta Ideal (x1.5)]]</f>
        <v>15.6416666666667</v>
      </c>
      <c r="J204" s="70">
        <v>1</v>
      </c>
      <c r="K204" s="70">
        <f>SUMIFS(VENTAS[Cantidad],VENTAS[Código del producto Vendido],STOCK[[#This Row],[Code]])</f>
        <v>1</v>
      </c>
      <c r="L204" s="70">
        <f>STOCK[[#This Row],[Entradas]]-STOCK[[#This Row],[Salidas]]</f>
        <v>0</v>
      </c>
      <c r="M204" s="53">
        <f>STOCK[[#This Row],[Precio Final]]*10%</f>
        <v>1.5</v>
      </c>
      <c r="N204" s="53">
        <v>146.3</v>
      </c>
      <c r="O204" s="53">
        <v>18</v>
      </c>
      <c r="P204" s="53">
        <v>8.12777777777778</v>
      </c>
      <c r="Q204" s="70">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54" t="s">
        <v>100</v>
      </c>
      <c r="F205" s="54" t="s">
        <v>62</v>
      </c>
      <c r="G205" s="54" t="s">
        <v>36</v>
      </c>
      <c r="H205" s="54">
        <f>STOCK[[#This Row],[Precio Final]]</f>
        <v>25</v>
      </c>
      <c r="I205" s="54">
        <f>STOCK[[#This Row],[Precio Venta Ideal (x1.5)]]</f>
        <v>23.875</v>
      </c>
      <c r="J205" s="71">
        <v>2</v>
      </c>
      <c r="K205" s="71">
        <f>SUMIFS(VENTAS[Cantidad],VENTAS[Código del producto Vendido],STOCK[[#This Row],[Code]])</f>
        <v>2</v>
      </c>
      <c r="L205" s="71">
        <f>STOCK[[#This Row],[Entradas]]-STOCK[[#This Row],[Salidas]]</f>
        <v>0</v>
      </c>
      <c r="M205" s="54">
        <f>STOCK[[#This Row],[Precio Final]]*10%</f>
        <v>2.5</v>
      </c>
      <c r="N205" s="54">
        <v>241.5</v>
      </c>
      <c r="O205" s="54">
        <v>18</v>
      </c>
      <c r="P205" s="54">
        <v>13.4166666666667</v>
      </c>
      <c r="Q205" s="71"/>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53" t="s">
        <v>100</v>
      </c>
      <c r="F206" s="53" t="s">
        <v>49</v>
      </c>
      <c r="G206" s="53" t="s">
        <v>36</v>
      </c>
      <c r="H206" s="53">
        <f>STOCK[[#This Row],[Precio Final]]</f>
        <v>25</v>
      </c>
      <c r="I206" s="53">
        <f>STOCK[[#This Row],[Precio Venta Ideal (x1.5)]]</f>
        <v>23.875</v>
      </c>
      <c r="J206" s="70">
        <v>4</v>
      </c>
      <c r="K206" s="70">
        <f>SUMIFS(VENTAS[Cantidad],VENTAS[Código del producto Vendido],STOCK[[#This Row],[Code]])</f>
        <v>4</v>
      </c>
      <c r="L206" s="70">
        <f>STOCK[[#This Row],[Entradas]]-STOCK[[#This Row],[Salidas]]</f>
        <v>0</v>
      </c>
      <c r="M206" s="53">
        <f>STOCK[[#This Row],[Precio Final]]*10%</f>
        <v>2.5</v>
      </c>
      <c r="N206" s="53">
        <v>241.5</v>
      </c>
      <c r="O206" s="53">
        <v>18</v>
      </c>
      <c r="P206" s="53">
        <v>13.4166666666667</v>
      </c>
      <c r="Q206" s="70"/>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54" t="s">
        <v>100</v>
      </c>
      <c r="F207" s="54" t="s">
        <v>46</v>
      </c>
      <c r="G207" s="54" t="s">
        <v>36</v>
      </c>
      <c r="H207" s="54">
        <f>STOCK[[#This Row],[Precio Final]]</f>
        <v>25</v>
      </c>
      <c r="I207" s="54">
        <f>STOCK[[#This Row],[Precio Venta Ideal (x1.5)]]</f>
        <v>23.875</v>
      </c>
      <c r="J207" s="71">
        <v>2</v>
      </c>
      <c r="K207" s="71">
        <f>SUMIFS(VENTAS[Cantidad],VENTAS[Código del producto Vendido],STOCK[[#This Row],[Code]])</f>
        <v>2</v>
      </c>
      <c r="L207" s="71">
        <f>STOCK[[#This Row],[Entradas]]-STOCK[[#This Row],[Salidas]]</f>
        <v>0</v>
      </c>
      <c r="M207" s="54">
        <f>STOCK[[#This Row],[Precio Final]]*10%</f>
        <v>2.5</v>
      </c>
      <c r="N207" s="54">
        <v>241.5</v>
      </c>
      <c r="O207" s="54">
        <v>18</v>
      </c>
      <c r="P207" s="54">
        <v>13.4166666666667</v>
      </c>
      <c r="Q207" s="71"/>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53" t="s">
        <v>453</v>
      </c>
      <c r="F208" s="53" t="s">
        <v>46</v>
      </c>
      <c r="G208" s="53" t="s">
        <v>36</v>
      </c>
      <c r="H208" s="53">
        <f>STOCK[[#This Row],[Precio Final]]</f>
        <v>28</v>
      </c>
      <c r="I208" s="53">
        <f>STOCK[[#This Row],[Precio Venta Ideal (x1.5)]]</f>
        <v>33.8916666666666</v>
      </c>
      <c r="J208" s="70">
        <v>4</v>
      </c>
      <c r="K208" s="70">
        <f>SUMIFS(VENTAS[Cantidad],VENTAS[Código del producto Vendido],STOCK[[#This Row],[Code]])</f>
        <v>4</v>
      </c>
      <c r="L208" s="70">
        <f>STOCK[[#This Row],[Entradas]]-STOCK[[#This Row],[Salidas]]</f>
        <v>0</v>
      </c>
      <c r="M208" s="53">
        <f>STOCK[[#This Row],[Precio Final]]*10%</f>
        <v>2.8</v>
      </c>
      <c r="N208" s="53">
        <v>249.2</v>
      </c>
      <c r="O208" s="53">
        <v>18</v>
      </c>
      <c r="P208" s="53">
        <v>13.8444444444444</v>
      </c>
      <c r="Q208" s="70">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54" t="s">
        <v>453</v>
      </c>
      <c r="F209" s="54" t="s">
        <v>49</v>
      </c>
      <c r="G209" s="54" t="s">
        <v>36</v>
      </c>
      <c r="H209" s="54">
        <f>STOCK[[#This Row],[Precio Final]]</f>
        <v>25</v>
      </c>
      <c r="I209" s="54">
        <f>STOCK[[#This Row],[Precio Venta Ideal (x1.5)]]</f>
        <v>33.4416666666666</v>
      </c>
      <c r="J209" s="71">
        <v>4</v>
      </c>
      <c r="K209" s="71">
        <f>SUMIFS(VENTAS[Cantidad],VENTAS[Código del producto Vendido],STOCK[[#This Row],[Code]])</f>
        <v>4</v>
      </c>
      <c r="L209" s="71">
        <f>STOCK[[#This Row],[Entradas]]-STOCK[[#This Row],[Salidas]]</f>
        <v>0</v>
      </c>
      <c r="M209" s="54">
        <f>STOCK[[#This Row],[Precio Final]]*10%</f>
        <v>2.5</v>
      </c>
      <c r="N209" s="54">
        <v>249.2</v>
      </c>
      <c r="O209" s="54">
        <v>18</v>
      </c>
      <c r="P209" s="54">
        <v>13.8444444444444</v>
      </c>
      <c r="Q209" s="71">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53" t="s">
        <v>456</v>
      </c>
      <c r="F210" s="53" t="s">
        <v>62</v>
      </c>
      <c r="G210" s="53" t="s">
        <v>36</v>
      </c>
      <c r="H210" s="53">
        <f>STOCK[[#This Row],[Precio Final]]</f>
        <v>25</v>
      </c>
      <c r="I210" s="53">
        <f>STOCK[[#This Row],[Precio Venta Ideal (x1.5)]]</f>
        <v>28.7166666666666</v>
      </c>
      <c r="J210" s="70">
        <v>1</v>
      </c>
      <c r="K210" s="70">
        <f>SUMIFS(VENTAS[Cantidad],VENTAS[Código del producto Vendido],STOCK[[#This Row],[Code]])</f>
        <v>1</v>
      </c>
      <c r="L210" s="70">
        <f>STOCK[[#This Row],[Entradas]]-STOCK[[#This Row],[Salidas]]</f>
        <v>0</v>
      </c>
      <c r="M210" s="53">
        <f>STOCK[[#This Row],[Precio Final]]*10%</f>
        <v>2.5</v>
      </c>
      <c r="N210" s="53">
        <v>249.2</v>
      </c>
      <c r="O210" s="53">
        <v>18</v>
      </c>
      <c r="P210" s="53">
        <v>13.8444444444444</v>
      </c>
      <c r="Q210" s="70">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54" t="s">
        <v>458</v>
      </c>
      <c r="F211" s="54" t="s">
        <v>388</v>
      </c>
      <c r="G211" s="54" t="s">
        <v>36</v>
      </c>
      <c r="H211" s="54">
        <f>STOCK[[#This Row],[Precio Final]]</f>
        <v>15</v>
      </c>
      <c r="I211" s="54">
        <f>STOCK[[#This Row],[Precio Venta Ideal (x1.5)]]</f>
        <v>16.575</v>
      </c>
      <c r="J211" s="71">
        <v>2</v>
      </c>
      <c r="K211" s="71">
        <f>SUMIFS(VENTAS[Cantidad],VENTAS[Código del producto Vendido],STOCK[[#This Row],[Code]])</f>
        <v>2</v>
      </c>
      <c r="L211" s="71">
        <f>STOCK[[#This Row],[Entradas]]-STOCK[[#This Row],[Salidas]]</f>
        <v>0</v>
      </c>
      <c r="M211" s="54">
        <f>STOCK[[#This Row],[Precio Final]]*10%</f>
        <v>1.5</v>
      </c>
      <c r="N211" s="54">
        <v>143.1</v>
      </c>
      <c r="O211" s="54">
        <v>18</v>
      </c>
      <c r="P211" s="54">
        <v>7.95</v>
      </c>
      <c r="Q211" s="71">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53" t="s">
        <v>460</v>
      </c>
      <c r="F212" s="53" t="s">
        <v>49</v>
      </c>
      <c r="G212" s="53" t="s">
        <v>36</v>
      </c>
      <c r="H212" s="53">
        <f>STOCK[[#This Row],[Precio Final]]</f>
        <v>22</v>
      </c>
      <c r="I212" s="53">
        <f>STOCK[[#This Row],[Precio Venta Ideal (x1.5)]]</f>
        <v>20.1033333333333</v>
      </c>
      <c r="J212" s="70">
        <v>1</v>
      </c>
      <c r="K212" s="70">
        <f>SUMIFS(VENTAS[Cantidad],VENTAS[Código del producto Vendido],STOCK[[#This Row],[Code]])</f>
        <v>1</v>
      </c>
      <c r="L212" s="70">
        <f>STOCK[[#This Row],[Entradas]]-STOCK[[#This Row],[Salidas]]</f>
        <v>0</v>
      </c>
      <c r="M212" s="53">
        <f>STOCK[[#This Row],[Precio Final]]*10%</f>
        <v>2.2</v>
      </c>
      <c r="N212" s="53">
        <v>201.64</v>
      </c>
      <c r="O212" s="53">
        <v>18</v>
      </c>
      <c r="P212" s="53">
        <v>11.2022222222222</v>
      </c>
      <c r="Q212" s="70"/>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54" t="s">
        <v>462</v>
      </c>
      <c r="F213" s="54" t="s">
        <v>49</v>
      </c>
      <c r="G213" s="54" t="s">
        <v>36</v>
      </c>
      <c r="H213" s="54">
        <f>STOCK[[#This Row],[Precio Final]]</f>
        <v>22</v>
      </c>
      <c r="I213" s="54">
        <f>STOCK[[#This Row],[Precio Venta Ideal (x1.5)]]</f>
        <v>20.4041666666667</v>
      </c>
      <c r="J213" s="71">
        <v>1</v>
      </c>
      <c r="K213" s="71">
        <f>SUMIFS(VENTAS[Cantidad],VENTAS[Código del producto Vendido],STOCK[[#This Row],[Code]])</f>
        <v>1</v>
      </c>
      <c r="L213" s="71">
        <f>STOCK[[#This Row],[Entradas]]-STOCK[[#This Row],[Salidas]]</f>
        <v>0</v>
      </c>
      <c r="M213" s="54">
        <f>STOCK[[#This Row],[Precio Final]]*10%</f>
        <v>2.2</v>
      </c>
      <c r="N213" s="54">
        <v>205.25</v>
      </c>
      <c r="O213" s="54">
        <v>18</v>
      </c>
      <c r="P213" s="54">
        <v>11.4027777777778</v>
      </c>
      <c r="Q213" s="71"/>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53" t="s">
        <v>464</v>
      </c>
      <c r="F214" s="53" t="s">
        <v>40</v>
      </c>
      <c r="G214" s="53" t="s">
        <v>36</v>
      </c>
      <c r="H214" s="53">
        <f>STOCK[[#This Row],[Precio Final]]</f>
        <v>25</v>
      </c>
      <c r="I214" s="53">
        <f>STOCK[[#This Row],[Precio Venta Ideal (x1.5)]]</f>
        <v>20.54</v>
      </c>
      <c r="J214" s="70">
        <v>1</v>
      </c>
      <c r="K214" s="70">
        <f>SUMIFS(VENTAS[Cantidad],VENTAS[Código del producto Vendido],STOCK[[#This Row],[Code]])</f>
        <v>1</v>
      </c>
      <c r="L214" s="70">
        <f>STOCK[[#This Row],[Entradas]]-STOCK[[#This Row],[Salidas]]</f>
        <v>0</v>
      </c>
      <c r="M214" s="53">
        <f>STOCK[[#This Row],[Precio Final]]*10%</f>
        <v>2.5</v>
      </c>
      <c r="N214" s="53">
        <v>159</v>
      </c>
      <c r="O214" s="53">
        <v>18</v>
      </c>
      <c r="P214" s="53">
        <v>8.83333333333333</v>
      </c>
      <c r="Q214" s="70">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54" t="s">
        <v>466</v>
      </c>
      <c r="F215" s="54" t="s">
        <v>40</v>
      </c>
      <c r="G215" s="54" t="s">
        <v>36</v>
      </c>
      <c r="H215" s="54">
        <f>STOCK[[#This Row],[Precio Final]]</f>
        <v>25</v>
      </c>
      <c r="I215" s="54">
        <f>STOCK[[#This Row],[Precio Venta Ideal (x1.5)]]</f>
        <v>28.4825</v>
      </c>
      <c r="J215" s="71">
        <v>1</v>
      </c>
      <c r="K215" s="71">
        <f>SUMIFS(VENTAS[Cantidad],VENTAS[Código del producto Vendido],STOCK[[#This Row],[Code]])</f>
        <v>0</v>
      </c>
      <c r="L215" s="71">
        <f>STOCK[[#This Row],[Entradas]]-STOCK[[#This Row],[Salidas]]</f>
        <v>1</v>
      </c>
      <c r="M215" s="54">
        <f>STOCK[[#This Row],[Precio Final]]*10%</f>
        <v>2.5</v>
      </c>
      <c r="N215" s="54">
        <v>249.99</v>
      </c>
      <c r="O215" s="54">
        <v>18</v>
      </c>
      <c r="P215" s="54">
        <v>13.8883333333333</v>
      </c>
      <c r="Q215" s="71">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53" t="s">
        <v>466</v>
      </c>
      <c r="F216" s="53" t="s">
        <v>49</v>
      </c>
      <c r="G216" s="53" t="s">
        <v>36</v>
      </c>
      <c r="H216" s="53">
        <f>STOCK[[#This Row],[Precio Final]]</f>
        <v>25</v>
      </c>
      <c r="I216" s="53">
        <f>STOCK[[#This Row],[Precio Venta Ideal (x1.5)]]</f>
        <v>28.4825</v>
      </c>
      <c r="J216" s="70">
        <v>1</v>
      </c>
      <c r="K216" s="70">
        <f>SUMIFS(VENTAS[Cantidad],VENTAS[Código del producto Vendido],STOCK[[#This Row],[Code]])</f>
        <v>0</v>
      </c>
      <c r="L216" s="70">
        <f>STOCK[[#This Row],[Entradas]]-STOCK[[#This Row],[Salidas]]</f>
        <v>1</v>
      </c>
      <c r="M216" s="53">
        <f>STOCK[[#This Row],[Precio Final]]*10%</f>
        <v>2.5</v>
      </c>
      <c r="N216" s="53">
        <v>249.99</v>
      </c>
      <c r="O216" s="53">
        <v>18</v>
      </c>
      <c r="P216" s="53">
        <v>13.8883333333333</v>
      </c>
      <c r="Q216" s="70">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54" t="s">
        <v>470</v>
      </c>
      <c r="F217" s="54" t="s">
        <v>471</v>
      </c>
      <c r="G217" s="54" t="s">
        <v>36</v>
      </c>
      <c r="H217" s="54">
        <f>STOCK[[#This Row],[Precio Final]]</f>
        <v>35</v>
      </c>
      <c r="I217" s="54">
        <f>STOCK[[#This Row],[Precio Venta Ideal (x1.5)]]</f>
        <v>30.5908333333334</v>
      </c>
      <c r="J217" s="71">
        <v>1</v>
      </c>
      <c r="K217" s="71">
        <f>SUMIFS(VENTAS[Cantidad],VENTAS[Código del producto Vendido],STOCK[[#This Row],[Code]])</f>
        <v>0</v>
      </c>
      <c r="L217" s="71">
        <f>STOCK[[#This Row],[Entradas]]-STOCK[[#This Row],[Salidas]]</f>
        <v>1</v>
      </c>
      <c r="M217" s="54">
        <f>STOCK[[#This Row],[Precio Final]]*10%</f>
        <v>3.5</v>
      </c>
      <c r="N217" s="54">
        <v>239.29</v>
      </c>
      <c r="O217" s="54">
        <v>18</v>
      </c>
      <c r="P217" s="54">
        <v>13.2938888888889</v>
      </c>
      <c r="Q217" s="71">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53" t="s">
        <v>470</v>
      </c>
      <c r="F218" s="53" t="s">
        <v>92</v>
      </c>
      <c r="G218" s="53" t="s">
        <v>36</v>
      </c>
      <c r="H218" s="53">
        <f>STOCK[[#This Row],[Precio Final]]</f>
        <v>35</v>
      </c>
      <c r="I218" s="53">
        <f>STOCK[[#This Row],[Precio Venta Ideal (x1.5)]]</f>
        <v>30.5908333333334</v>
      </c>
      <c r="J218" s="70">
        <v>1</v>
      </c>
      <c r="K218" s="70">
        <f>SUMIFS(VENTAS[Cantidad],VENTAS[Código del producto Vendido],STOCK[[#This Row],[Code]])</f>
        <v>0</v>
      </c>
      <c r="L218" s="70">
        <f>STOCK[[#This Row],[Entradas]]-STOCK[[#This Row],[Salidas]]</f>
        <v>1</v>
      </c>
      <c r="M218" s="53">
        <f>STOCK[[#This Row],[Precio Final]]*10%</f>
        <v>3.5</v>
      </c>
      <c r="N218" s="53">
        <v>239.29</v>
      </c>
      <c r="O218" s="53">
        <v>18</v>
      </c>
      <c r="P218" s="53">
        <v>13.2938888888889</v>
      </c>
      <c r="Q218" s="70">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54" t="s">
        <v>474</v>
      </c>
      <c r="G219" s="54" t="s">
        <v>36</v>
      </c>
      <c r="H219" s="54">
        <f>STOCK[[#This Row],[Precio Final]]</f>
        <v>25</v>
      </c>
      <c r="I219" s="54">
        <f>STOCK[[#This Row],[Precio Venta Ideal (x1.5)]]</f>
        <v>29.6408333333334</v>
      </c>
      <c r="J219" s="71">
        <v>1</v>
      </c>
      <c r="K219" s="71">
        <f>SUMIFS(VENTAS[Cantidad],VENTAS[Código del producto Vendido],STOCK[[#This Row],[Code]])</f>
        <v>1</v>
      </c>
      <c r="L219" s="71">
        <f>STOCK[[#This Row],[Entradas]]-STOCK[[#This Row],[Salidas]]</f>
        <v>0</v>
      </c>
      <c r="M219" s="54">
        <f>STOCK[[#This Row],[Precio Final]]*10%</f>
        <v>2.5</v>
      </c>
      <c r="N219" s="54">
        <v>267.49</v>
      </c>
      <c r="O219" s="54">
        <v>18</v>
      </c>
      <c r="P219" s="54">
        <v>14.8605555555556</v>
      </c>
      <c r="Q219" s="71">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53" t="s">
        <v>476</v>
      </c>
      <c r="F220" s="53" t="s">
        <v>46</v>
      </c>
      <c r="G220" s="53" t="s">
        <v>36</v>
      </c>
      <c r="H220" s="53">
        <f>STOCK[[#This Row],[Precio Final]]</f>
        <v>20</v>
      </c>
      <c r="I220" s="53">
        <f>STOCK[[#This Row],[Precio Venta Ideal (x1.5)]]</f>
        <v>19.5016666666667</v>
      </c>
      <c r="J220" s="70">
        <v>1</v>
      </c>
      <c r="K220" s="70">
        <f>SUMIFS(VENTAS[Cantidad],VENTAS[Código del producto Vendido],STOCK[[#This Row],[Code]])</f>
        <v>1</v>
      </c>
      <c r="L220" s="70">
        <f>STOCK[[#This Row],[Entradas]]-STOCK[[#This Row],[Salidas]]</f>
        <v>0</v>
      </c>
      <c r="M220" s="53">
        <f>STOCK[[#This Row],[Precio Final]]*10%</f>
        <v>2</v>
      </c>
      <c r="N220" s="53">
        <v>198.02</v>
      </c>
      <c r="O220" s="53">
        <v>18</v>
      </c>
      <c r="P220" s="53">
        <v>11.0011111111111</v>
      </c>
      <c r="Q220" s="70"/>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54" t="s">
        <v>478</v>
      </c>
      <c r="F221" s="54" t="s">
        <v>40</v>
      </c>
      <c r="G221" s="54" t="s">
        <v>36</v>
      </c>
      <c r="H221" s="54">
        <f>STOCK[[#This Row],[Precio Final]]</f>
        <v>18</v>
      </c>
      <c r="I221" s="54">
        <f>STOCK[[#This Row],[Precio Venta Ideal (x1.5)]]</f>
        <v>19.675</v>
      </c>
      <c r="J221" s="71">
        <v>1</v>
      </c>
      <c r="K221" s="71">
        <f>SUMIFS(VENTAS[Cantidad],VENTAS[Código del producto Vendido],STOCK[[#This Row],[Code]])</f>
        <v>1</v>
      </c>
      <c r="L221" s="71">
        <f>STOCK[[#This Row],[Entradas]]-STOCK[[#This Row],[Salidas]]</f>
        <v>0</v>
      </c>
      <c r="M221" s="54">
        <f>STOCK[[#This Row],[Precio Final]]*10%</f>
        <v>1.8</v>
      </c>
      <c r="N221" s="54">
        <v>160.5</v>
      </c>
      <c r="O221" s="54">
        <v>18</v>
      </c>
      <c r="P221" s="54">
        <v>8.91666666666667</v>
      </c>
      <c r="Q221" s="71">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53" t="s">
        <v>480</v>
      </c>
      <c r="F222" s="53" t="s">
        <v>388</v>
      </c>
      <c r="G222" s="53" t="s">
        <v>36</v>
      </c>
      <c r="H222" s="53">
        <f>STOCK[[#This Row],[Precio Final]]</f>
        <v>15</v>
      </c>
      <c r="I222" s="53">
        <f>STOCK[[#This Row],[Precio Venta Ideal (x1.5)]]</f>
        <v>11.7566666666667</v>
      </c>
      <c r="J222" s="70">
        <v>2</v>
      </c>
      <c r="K222" s="70">
        <f>SUMIFS(VENTAS[Cantidad],VENTAS[Código del producto Vendido],STOCK[[#This Row],[Code]])</f>
        <v>2</v>
      </c>
      <c r="L222" s="70">
        <f>STOCK[[#This Row],[Entradas]]-STOCK[[#This Row],[Salidas]]</f>
        <v>0</v>
      </c>
      <c r="M222" s="53">
        <f>STOCK[[#This Row],[Precio Final]]*10%</f>
        <v>1.5</v>
      </c>
      <c r="N222" s="53">
        <v>85.28</v>
      </c>
      <c r="O222" s="53">
        <v>18</v>
      </c>
      <c r="P222" s="53">
        <v>4.73777777777778</v>
      </c>
      <c r="Q222" s="70">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54" t="s">
        <v>482</v>
      </c>
      <c r="F223" s="54" t="s">
        <v>62</v>
      </c>
      <c r="G223" s="54" t="s">
        <v>36</v>
      </c>
      <c r="H223" s="54">
        <f>STOCK[[#This Row],[Precio Final]]</f>
        <v>15</v>
      </c>
      <c r="I223" s="54">
        <f>STOCK[[#This Row],[Precio Venta Ideal (x1.5)]]</f>
        <v>15.4308333333333</v>
      </c>
      <c r="J223" s="71">
        <v>1</v>
      </c>
      <c r="K223" s="71">
        <f>SUMIFS(VENTAS[Cantidad],VENTAS[Código del producto Vendido],STOCK[[#This Row],[Code]])</f>
        <v>1</v>
      </c>
      <c r="L223" s="71">
        <f>STOCK[[#This Row],[Entradas]]-STOCK[[#This Row],[Salidas]]</f>
        <v>0</v>
      </c>
      <c r="M223" s="54">
        <f>STOCK[[#This Row],[Precio Final]]*10%</f>
        <v>1.5</v>
      </c>
      <c r="N223" s="54">
        <v>129.37</v>
      </c>
      <c r="O223" s="54">
        <v>18</v>
      </c>
      <c r="P223" s="54">
        <v>7.18722222222222</v>
      </c>
      <c r="Q223" s="71">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53" t="s">
        <v>482</v>
      </c>
      <c r="F224" s="53" t="s">
        <v>49</v>
      </c>
      <c r="G224" s="53" t="s">
        <v>36</v>
      </c>
      <c r="H224" s="53">
        <f>STOCK[[#This Row],[Precio Final]]</f>
        <v>15</v>
      </c>
      <c r="I224" s="53">
        <f>STOCK[[#This Row],[Precio Venta Ideal (x1.5)]]</f>
        <v>15.4308333333333</v>
      </c>
      <c r="J224" s="70">
        <v>2</v>
      </c>
      <c r="K224" s="70">
        <f>SUMIFS(VENTAS[Cantidad],VENTAS[Código del producto Vendido],STOCK[[#This Row],[Code]])</f>
        <v>2</v>
      </c>
      <c r="L224" s="70">
        <f>STOCK[[#This Row],[Entradas]]-STOCK[[#This Row],[Salidas]]</f>
        <v>0</v>
      </c>
      <c r="M224" s="53">
        <f>STOCK[[#This Row],[Precio Final]]*10%</f>
        <v>1.5</v>
      </c>
      <c r="N224" s="53">
        <v>129.37</v>
      </c>
      <c r="O224" s="53">
        <v>18</v>
      </c>
      <c r="P224" s="53">
        <v>7.18722222222222</v>
      </c>
      <c r="Q224" s="70">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54" t="s">
        <v>486</v>
      </c>
      <c r="F225" s="54" t="s">
        <v>388</v>
      </c>
      <c r="G225" s="54" t="s">
        <v>36</v>
      </c>
      <c r="H225" s="54">
        <f>STOCK[[#This Row],[Precio Final]]</f>
        <v>15</v>
      </c>
      <c r="I225" s="54">
        <f>STOCK[[#This Row],[Precio Venta Ideal (x1.5)]]</f>
        <v>15.5466666666667</v>
      </c>
      <c r="J225" s="71">
        <v>2</v>
      </c>
      <c r="K225" s="71">
        <f>SUMIFS(VENTAS[Cantidad],VENTAS[Código del producto Vendido],STOCK[[#This Row],[Code]])</f>
        <v>2</v>
      </c>
      <c r="L225" s="71">
        <f>STOCK[[#This Row],[Entradas]]-STOCK[[#This Row],[Salidas]]</f>
        <v>0</v>
      </c>
      <c r="M225" s="54">
        <f>STOCK[[#This Row],[Precio Final]]*10%</f>
        <v>1.5</v>
      </c>
      <c r="N225" s="54">
        <v>116.36</v>
      </c>
      <c r="O225" s="54">
        <v>18</v>
      </c>
      <c r="P225" s="54">
        <v>6.46444444444444</v>
      </c>
      <c r="Q225" s="71">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53" t="s">
        <v>489</v>
      </c>
      <c r="F226" s="53" t="s">
        <v>490</v>
      </c>
      <c r="G226" s="53" t="s">
        <v>36</v>
      </c>
      <c r="H226" s="53">
        <f>STOCK[[#This Row],[Precio Final]]</f>
        <v>12</v>
      </c>
      <c r="I226" s="53">
        <f>STOCK[[#This Row],[Precio Venta Ideal (x1.5)]]</f>
        <v>15.2166666666667</v>
      </c>
      <c r="J226" s="70">
        <v>2</v>
      </c>
      <c r="K226" s="70">
        <f>SUMIFS(VENTAS[Cantidad],VENTAS[Código del producto Vendido],STOCK[[#This Row],[Code]])</f>
        <v>2</v>
      </c>
      <c r="L226" s="70">
        <f>STOCK[[#This Row],[Entradas]]-STOCK[[#This Row],[Salidas]]</f>
        <v>0</v>
      </c>
      <c r="M226" s="53">
        <f>STOCK[[#This Row],[Precio Final]]*10%</f>
        <v>1.2</v>
      </c>
      <c r="N226" s="53">
        <v>117.8</v>
      </c>
      <c r="O226" s="53">
        <v>18</v>
      </c>
      <c r="P226" s="53">
        <v>6.54444444444444</v>
      </c>
      <c r="Q226" s="70">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54" t="s">
        <v>492</v>
      </c>
      <c r="F227" s="54" t="s">
        <v>388</v>
      </c>
      <c r="G227" s="54" t="s">
        <v>36</v>
      </c>
      <c r="H227" s="54">
        <f>STOCK[[#This Row],[Precio Final]]</f>
        <v>10</v>
      </c>
      <c r="I227" s="54">
        <f>STOCK[[#This Row],[Precio Venta Ideal (x1.5)]]</f>
        <v>9.19583333333334</v>
      </c>
      <c r="J227" s="71">
        <v>2</v>
      </c>
      <c r="K227" s="71">
        <f>SUMIFS(VENTAS[Cantidad],VENTAS[Código del producto Vendido],STOCK[[#This Row],[Code]])</f>
        <v>2</v>
      </c>
      <c r="L227" s="71">
        <f>STOCK[[#This Row],[Entradas]]-STOCK[[#This Row],[Salidas]]</f>
        <v>0</v>
      </c>
      <c r="M227" s="54">
        <f>STOCK[[#This Row],[Precio Final]]*10%</f>
        <v>1</v>
      </c>
      <c r="N227" s="54">
        <v>49.15</v>
      </c>
      <c r="O227" s="54">
        <v>18</v>
      </c>
      <c r="P227" s="54">
        <v>2.73055555555556</v>
      </c>
      <c r="Q227" s="71">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53" t="s">
        <v>494</v>
      </c>
      <c r="F228" s="53" t="s">
        <v>211</v>
      </c>
      <c r="G228" s="53" t="s">
        <v>36</v>
      </c>
      <c r="H228" s="53">
        <f>STOCK[[#This Row],[Precio Final]]</f>
        <v>25</v>
      </c>
      <c r="I228" s="53">
        <f>STOCK[[#This Row],[Precio Venta Ideal (x1.5)]]</f>
        <v>22.4708333333334</v>
      </c>
      <c r="J228" s="70">
        <v>2</v>
      </c>
      <c r="K228" s="70">
        <f>SUMIFS(VENTAS[Cantidad],VENTAS[Código del producto Vendido],STOCK[[#This Row],[Code]])</f>
        <v>2</v>
      </c>
      <c r="L228" s="70">
        <f>STOCK[[#This Row],[Entradas]]-STOCK[[#This Row],[Salidas]]</f>
        <v>0</v>
      </c>
      <c r="M228" s="53">
        <f>STOCK[[#This Row],[Precio Final]]*10%</f>
        <v>2.5</v>
      </c>
      <c r="N228" s="53">
        <v>195.85</v>
      </c>
      <c r="O228" s="53">
        <v>18</v>
      </c>
      <c r="P228" s="53">
        <v>10.8805555555556</v>
      </c>
      <c r="Q228" s="70">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54" t="s">
        <v>496</v>
      </c>
      <c r="F229" s="54" t="s">
        <v>62</v>
      </c>
      <c r="G229" s="54" t="s">
        <v>36</v>
      </c>
      <c r="H229" s="54">
        <f>STOCK[[#This Row],[Precio Final]]</f>
        <v>22</v>
      </c>
      <c r="I229" s="54">
        <f>STOCK[[#This Row],[Precio Venta Ideal (x1.5)]]</f>
        <v>22.0208333333334</v>
      </c>
      <c r="J229" s="71">
        <v>1</v>
      </c>
      <c r="K229" s="71">
        <f>SUMIFS(VENTAS[Cantidad],VENTAS[Código del producto Vendido],STOCK[[#This Row],[Code]])</f>
        <v>1</v>
      </c>
      <c r="L229" s="71">
        <f>STOCK[[#This Row],[Entradas]]-STOCK[[#This Row],[Salidas]]</f>
        <v>0</v>
      </c>
      <c r="M229" s="54">
        <f>STOCK[[#This Row],[Precio Final]]*10%</f>
        <v>2.2</v>
      </c>
      <c r="N229" s="54">
        <v>195.85</v>
      </c>
      <c r="O229" s="54">
        <v>18</v>
      </c>
      <c r="P229" s="54">
        <v>10.8805555555556</v>
      </c>
      <c r="Q229" s="71">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53" t="s">
        <v>498</v>
      </c>
      <c r="F230" s="53" t="s">
        <v>40</v>
      </c>
      <c r="G230" s="53" t="s">
        <v>36</v>
      </c>
      <c r="H230" s="53">
        <f>STOCK[[#This Row],[Precio Final]]</f>
        <v>15</v>
      </c>
      <c r="I230" s="53">
        <f>STOCK[[#This Row],[Precio Venta Ideal (x1.5)]]</f>
        <v>15.4308333333333</v>
      </c>
      <c r="J230" s="70">
        <v>2</v>
      </c>
      <c r="K230" s="70">
        <f>SUMIFS(VENTAS[Cantidad],VENTAS[Código del producto Vendido],STOCK[[#This Row],[Code]])</f>
        <v>2</v>
      </c>
      <c r="L230" s="70">
        <f>STOCK[[#This Row],[Entradas]]-STOCK[[#This Row],[Salidas]]</f>
        <v>0</v>
      </c>
      <c r="M230" s="53">
        <f>STOCK[[#This Row],[Precio Final]]*10%</f>
        <v>1.5</v>
      </c>
      <c r="N230" s="53">
        <v>129.37</v>
      </c>
      <c r="O230" s="53">
        <v>18</v>
      </c>
      <c r="P230" s="53">
        <v>7.18722222222222</v>
      </c>
      <c r="Q230" s="70">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54" t="s">
        <v>406</v>
      </c>
      <c r="F231" s="54" t="s">
        <v>42</v>
      </c>
      <c r="G231" s="54" t="s">
        <v>36</v>
      </c>
      <c r="H231" s="54">
        <f>STOCK[[#This Row],[Precio Final]]</f>
        <v>20</v>
      </c>
      <c r="I231" s="54">
        <f>STOCK[[#This Row],[Precio Venta Ideal (x1.5)]]</f>
        <v>18.2841666666667</v>
      </c>
      <c r="J231" s="71">
        <v>2</v>
      </c>
      <c r="K231" s="71">
        <f>SUMIFS(VENTAS[Cantidad],VENTAS[Código del producto Vendido],STOCK[[#This Row],[Code]])</f>
        <v>2</v>
      </c>
      <c r="L231" s="71">
        <f>STOCK[[#This Row],[Entradas]]-STOCK[[#This Row],[Salidas]]</f>
        <v>0</v>
      </c>
      <c r="M231" s="54">
        <f>STOCK[[#This Row],[Precio Final]]*10%</f>
        <v>2</v>
      </c>
      <c r="N231" s="54">
        <v>140.21</v>
      </c>
      <c r="O231" s="54">
        <v>18</v>
      </c>
      <c r="P231" s="54">
        <v>7.78944444444445</v>
      </c>
      <c r="Q231" s="71">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53" t="s">
        <v>406</v>
      </c>
      <c r="F232" s="53" t="s">
        <v>88</v>
      </c>
      <c r="G232" s="53" t="s">
        <v>36</v>
      </c>
      <c r="H232" s="53">
        <f>STOCK[[#This Row],[Precio Final]]</f>
        <v>20</v>
      </c>
      <c r="I232" s="53">
        <f>STOCK[[#This Row],[Precio Venta Ideal (x1.5)]]</f>
        <v>17.6841666666667</v>
      </c>
      <c r="J232" s="70">
        <v>1</v>
      </c>
      <c r="K232" s="70">
        <f>SUMIFS(VENTAS[Cantidad],VENTAS[Código del producto Vendido],STOCK[[#This Row],[Code]])</f>
        <v>1</v>
      </c>
      <c r="L232" s="70">
        <f>STOCK[[#This Row],[Entradas]]-STOCK[[#This Row],[Salidas]]</f>
        <v>0</v>
      </c>
      <c r="M232" s="53">
        <f>STOCK[[#This Row],[Precio Final]]*10%</f>
        <v>2</v>
      </c>
      <c r="N232" s="53">
        <v>140.21</v>
      </c>
      <c r="O232" s="53">
        <v>18</v>
      </c>
      <c r="P232" s="53">
        <v>7.78944444444445</v>
      </c>
      <c r="Q232" s="70">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54" t="s">
        <v>502</v>
      </c>
      <c r="F233" s="54" t="s">
        <v>49</v>
      </c>
      <c r="G233" s="54" t="s">
        <v>36</v>
      </c>
      <c r="H233" s="54">
        <f>STOCK[[#This Row],[Precio Final]]</f>
        <v>25</v>
      </c>
      <c r="I233" s="54">
        <f>STOCK[[#This Row],[Precio Venta Ideal (x1.5)]]</f>
        <v>28.5833333333334</v>
      </c>
      <c r="J233" s="71">
        <v>2</v>
      </c>
      <c r="K233" s="71">
        <f>SUMIFS(VENTAS[Cantidad],VENTAS[Código del producto Vendido],STOCK[[#This Row],[Code]])</f>
        <v>2</v>
      </c>
      <c r="L233" s="71">
        <f>STOCK[[#This Row],[Entradas]]-STOCK[[#This Row],[Salidas]]</f>
        <v>0</v>
      </c>
      <c r="M233" s="54">
        <f>STOCK[[#This Row],[Precio Final]]*10%</f>
        <v>2.5</v>
      </c>
      <c r="N233" s="54">
        <v>254.8</v>
      </c>
      <c r="O233" s="54">
        <v>18</v>
      </c>
      <c r="P233" s="54">
        <v>14.1555555555556</v>
      </c>
      <c r="Q233" s="71">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53" t="s">
        <v>504</v>
      </c>
      <c r="F234" s="53" t="s">
        <v>62</v>
      </c>
      <c r="G234" s="53" t="s">
        <v>36</v>
      </c>
      <c r="H234" s="53">
        <f>STOCK[[#This Row],[Precio Final]]</f>
        <v>25</v>
      </c>
      <c r="I234" s="53">
        <f>STOCK[[#This Row],[Precio Venta Ideal (x1.5)]]</f>
        <v>28.5833333333334</v>
      </c>
      <c r="J234" s="70">
        <v>2</v>
      </c>
      <c r="K234" s="70">
        <f>SUMIFS(VENTAS[Cantidad],VENTAS[Código del producto Vendido],STOCK[[#This Row],[Code]])</f>
        <v>2</v>
      </c>
      <c r="L234" s="70">
        <f>STOCK[[#This Row],[Entradas]]-STOCK[[#This Row],[Salidas]]</f>
        <v>0</v>
      </c>
      <c r="M234" s="53">
        <f>STOCK[[#This Row],[Precio Final]]*10%</f>
        <v>2.5</v>
      </c>
      <c r="N234" s="53">
        <v>254.8</v>
      </c>
      <c r="O234" s="53">
        <v>18</v>
      </c>
      <c r="P234" s="53">
        <v>14.1555555555556</v>
      </c>
      <c r="Q234" s="70">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54" t="s">
        <v>507</v>
      </c>
      <c r="F235" s="54" t="s">
        <v>46</v>
      </c>
      <c r="G235" s="54" t="s">
        <v>36</v>
      </c>
      <c r="H235" s="54">
        <f>STOCK[[#This Row],[Precio Final]]</f>
        <v>21</v>
      </c>
      <c r="I235" s="54">
        <f>STOCK[[#This Row],[Precio Venta Ideal (x1.5)]]</f>
        <v>23.9208333333333</v>
      </c>
      <c r="J235" s="71">
        <v>1</v>
      </c>
      <c r="K235" s="71">
        <f>SUMIFS(VENTAS[Cantidad],VENTAS[Código del producto Vendido],STOCK[[#This Row],[Code]])</f>
        <v>0</v>
      </c>
      <c r="L235" s="71">
        <f>STOCK[[#This Row],[Entradas]]-STOCK[[#This Row],[Salidas]]</f>
        <v>1</v>
      </c>
      <c r="M235" s="54">
        <f>STOCK[[#This Row],[Precio Final]]*10%</f>
        <v>2.1</v>
      </c>
      <c r="N235" s="54">
        <v>206.05</v>
      </c>
      <c r="O235" s="54">
        <v>18</v>
      </c>
      <c r="P235" s="54">
        <v>11.4472222222222</v>
      </c>
      <c r="Q235" s="71">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53" t="s">
        <v>509</v>
      </c>
      <c r="F236" s="53" t="s">
        <v>49</v>
      </c>
      <c r="G236" s="53" t="s">
        <v>36</v>
      </c>
      <c r="H236" s="53">
        <f>STOCK[[#This Row],[Precio Final]]</f>
        <v>25</v>
      </c>
      <c r="I236" s="53">
        <f>STOCK[[#This Row],[Precio Venta Ideal (x1.5)]]</f>
        <v>27.8166666666666</v>
      </c>
      <c r="J236" s="70">
        <v>2</v>
      </c>
      <c r="K236" s="70">
        <f>SUMIFS(VENTAS[Cantidad],VENTAS[Código del producto Vendido],STOCK[[#This Row],[Code]])</f>
        <v>2</v>
      </c>
      <c r="L236" s="70">
        <f>STOCK[[#This Row],[Entradas]]-STOCK[[#This Row],[Salidas]]</f>
        <v>0</v>
      </c>
      <c r="M236" s="53">
        <f>STOCK[[#This Row],[Precio Final]]*10%</f>
        <v>2.5</v>
      </c>
      <c r="N236" s="53">
        <v>260</v>
      </c>
      <c r="O236" s="53">
        <v>18</v>
      </c>
      <c r="P236" s="53">
        <v>14.4444444444444</v>
      </c>
      <c r="Q236" s="70">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54" t="s">
        <v>511</v>
      </c>
      <c r="F237" s="54" t="s">
        <v>88</v>
      </c>
      <c r="G237" s="54" t="s">
        <v>36</v>
      </c>
      <c r="H237" s="54">
        <f>STOCK[[#This Row],[Precio Final]]</f>
        <v>25</v>
      </c>
      <c r="I237" s="54">
        <f>STOCK[[#This Row],[Precio Venta Ideal (x1.5)]]</f>
        <v>27.8166666666666</v>
      </c>
      <c r="J237" s="71">
        <v>2</v>
      </c>
      <c r="K237" s="71">
        <f>SUMIFS(VENTAS[Cantidad],VENTAS[Código del producto Vendido],STOCK[[#This Row],[Code]])</f>
        <v>2</v>
      </c>
      <c r="L237" s="71">
        <f>STOCK[[#This Row],[Entradas]]-STOCK[[#This Row],[Salidas]]</f>
        <v>0</v>
      </c>
      <c r="M237" s="54">
        <f>STOCK[[#This Row],[Precio Final]]*10%</f>
        <v>2.5</v>
      </c>
      <c r="N237" s="54">
        <v>260</v>
      </c>
      <c r="O237" s="54">
        <v>18</v>
      </c>
      <c r="P237" s="54">
        <v>14.4444444444444</v>
      </c>
      <c r="Q237" s="71">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53" t="s">
        <v>513</v>
      </c>
      <c r="F238" s="53" t="s">
        <v>394</v>
      </c>
      <c r="G238" s="53" t="s">
        <v>36</v>
      </c>
      <c r="H238" s="53">
        <f>STOCK[[#This Row],[Precio Final]]</f>
        <v>5</v>
      </c>
      <c r="I238" s="53">
        <f>STOCK[[#This Row],[Precio Venta Ideal (x1.5)]]</f>
        <v>4.82916666666666</v>
      </c>
      <c r="J238" s="70">
        <v>0</v>
      </c>
      <c r="K238" s="70">
        <f>SUMIFS(VENTAS[Cantidad],VENTAS[Código del producto Vendido],STOCK[[#This Row],[Code]])</f>
        <v>0</v>
      </c>
      <c r="L238" s="70">
        <f>STOCK[[#This Row],[Entradas]]-STOCK[[#This Row],[Salidas]]</f>
        <v>0</v>
      </c>
      <c r="M238" s="53">
        <f>STOCK[[#This Row],[Precio Final]]*10%</f>
        <v>0.5</v>
      </c>
      <c r="N238" s="53">
        <v>46.07</v>
      </c>
      <c r="O238" s="53">
        <v>18</v>
      </c>
      <c r="P238" s="53">
        <v>2.55944444444444</v>
      </c>
      <c r="Q238" s="70">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54" t="s">
        <v>516</v>
      </c>
      <c r="F239" s="54" t="s">
        <v>517</v>
      </c>
      <c r="G239" s="54" t="s">
        <v>36</v>
      </c>
      <c r="H239" s="54">
        <f>STOCK[[#This Row],[Precio Final]]</f>
        <v>20</v>
      </c>
      <c r="I239" s="54">
        <f>STOCK[[#This Row],[Precio Venta Ideal (x1.5)]]</f>
        <v>21.9558333333333</v>
      </c>
      <c r="J239" s="71">
        <v>1</v>
      </c>
      <c r="K239" s="71">
        <f>SUMIFS(VENTAS[Cantidad],VENTAS[Código del producto Vendido],STOCK[[#This Row],[Code]])</f>
        <v>1</v>
      </c>
      <c r="L239" s="71">
        <f>STOCK[[#This Row],[Entradas]]-STOCK[[#This Row],[Salidas]]</f>
        <v>0</v>
      </c>
      <c r="M239" s="54">
        <f>STOCK[[#This Row],[Precio Final]]*10%</f>
        <v>2</v>
      </c>
      <c r="N239" s="54">
        <v>184.27</v>
      </c>
      <c r="O239" s="54">
        <v>18</v>
      </c>
      <c r="P239" s="54">
        <v>10.2372222222222</v>
      </c>
      <c r="Q239" s="71">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53" t="s">
        <v>519</v>
      </c>
      <c r="F240" s="53" t="s">
        <v>394</v>
      </c>
      <c r="G240" s="53" t="s">
        <v>36</v>
      </c>
      <c r="H240" s="53">
        <f>STOCK[[#This Row],[Precio Final]]</f>
        <v>2</v>
      </c>
      <c r="I240" s="53">
        <f>STOCK[[#This Row],[Precio Venta Ideal (x1.5)]]</f>
        <v>1.56666666666667</v>
      </c>
      <c r="J240" s="70">
        <v>10</v>
      </c>
      <c r="K240" s="70">
        <f>SUMIFS(VENTAS[Cantidad],VENTAS[Código del producto Vendido],STOCK[[#This Row],[Code]])</f>
        <v>10</v>
      </c>
      <c r="L240" s="70">
        <f>STOCK[[#This Row],[Entradas]]-STOCK[[#This Row],[Salidas]]</f>
        <v>0</v>
      </c>
      <c r="M240" s="53">
        <f>STOCK[[#This Row],[Precio Final]]*10%</f>
        <v>0.2</v>
      </c>
      <c r="N240" s="53">
        <v>8</v>
      </c>
      <c r="O240" s="53">
        <v>18</v>
      </c>
      <c r="P240" s="53">
        <v>0.444444444444444</v>
      </c>
      <c r="Q240" s="70">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54" t="s">
        <v>521</v>
      </c>
      <c r="F241" s="54" t="s">
        <v>517</v>
      </c>
      <c r="G241" s="54" t="s">
        <v>36</v>
      </c>
      <c r="H241" s="54">
        <f>STOCK[[#This Row],[Precio Final]]</f>
        <v>26</v>
      </c>
      <c r="I241" s="54">
        <f>STOCK[[#This Row],[Precio Venta Ideal (x1.5)]]</f>
        <v>29.2891666666666</v>
      </c>
      <c r="J241" s="71">
        <v>1</v>
      </c>
      <c r="K241" s="71">
        <f>SUMIFS(VENTAS[Cantidad],VENTAS[Código del producto Vendido],STOCK[[#This Row],[Code]])</f>
        <v>1</v>
      </c>
      <c r="L241" s="71">
        <f>STOCK[[#This Row],[Entradas]]-STOCK[[#This Row],[Salidas]]</f>
        <v>0</v>
      </c>
      <c r="M241" s="54">
        <f>STOCK[[#This Row],[Precio Final]]*10%</f>
        <v>2.6</v>
      </c>
      <c r="N241" s="54">
        <v>261.47</v>
      </c>
      <c r="O241" s="54">
        <v>18</v>
      </c>
      <c r="P241" s="54">
        <v>14.5261111111111</v>
      </c>
      <c r="Q241" s="71">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53" t="s">
        <v>524</v>
      </c>
      <c r="F242" s="53" t="s">
        <v>525</v>
      </c>
      <c r="G242" s="53" t="s">
        <v>36</v>
      </c>
      <c r="H242" s="53">
        <f>STOCK[[#This Row],[Precio Final]]</f>
        <v>1</v>
      </c>
      <c r="I242" s="53">
        <f>STOCK[[#This Row],[Precio Venta Ideal (x1.5)]]</f>
        <v>0.512083333333333</v>
      </c>
      <c r="J242" s="70">
        <v>8</v>
      </c>
      <c r="K242" s="70">
        <f>SUMIFS(VENTAS[Cantidad],VENTAS[Código del producto Vendido],STOCK[[#This Row],[Code]])</f>
        <v>3</v>
      </c>
      <c r="L242" s="70">
        <f>STOCK[[#This Row],[Entradas]]-STOCK[[#This Row],[Salidas]]</f>
        <v>5</v>
      </c>
      <c r="M242" s="53">
        <f>STOCK[[#This Row],[Precio Final]]*10%</f>
        <v>0.1</v>
      </c>
      <c r="N242" s="53">
        <v>0.025</v>
      </c>
      <c r="O242" s="53">
        <v>18</v>
      </c>
      <c r="P242" s="53">
        <v>0.00138888888888889</v>
      </c>
      <c r="Q242" s="70">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54" t="s">
        <v>528</v>
      </c>
      <c r="F243" s="54" t="s">
        <v>529</v>
      </c>
      <c r="G243" s="54" t="s">
        <v>36</v>
      </c>
      <c r="H243" s="54">
        <f>STOCK[[#This Row],[Precio Final]]</f>
        <v>30</v>
      </c>
      <c r="I243" s="54">
        <f>STOCK[[#This Row],[Precio Venta Ideal (x1.5)]]</f>
        <v>29.5766666666667</v>
      </c>
      <c r="J243" s="71">
        <v>1</v>
      </c>
      <c r="K243" s="71">
        <f>SUMIFS(VENTAS[Cantidad],VENTAS[Código del producto Vendido],STOCK[[#This Row],[Code]])</f>
        <v>1</v>
      </c>
      <c r="L243" s="71">
        <f>STOCK[[#This Row],[Entradas]]-STOCK[[#This Row],[Salidas]]</f>
        <v>0</v>
      </c>
      <c r="M243" s="54">
        <f>STOCK[[#This Row],[Precio Final]]*10%</f>
        <v>3</v>
      </c>
      <c r="N243" s="54">
        <v>228.92</v>
      </c>
      <c r="O243" s="54">
        <v>18</v>
      </c>
      <c r="P243" s="54">
        <v>12.7177777777778</v>
      </c>
      <c r="Q243" s="71">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53" t="s">
        <v>531</v>
      </c>
      <c r="F244" s="53" t="s">
        <v>525</v>
      </c>
      <c r="G244" s="53" t="s">
        <v>36</v>
      </c>
      <c r="H244" s="53">
        <f>STOCK[[#This Row],[Precio Final]]</f>
        <v>1</v>
      </c>
      <c r="I244" s="53">
        <f>STOCK[[#This Row],[Precio Venta Ideal (x1.5)]]</f>
        <v>0.804166666666667</v>
      </c>
      <c r="J244" s="70">
        <v>7</v>
      </c>
      <c r="K244" s="70">
        <f>SUMIFS(VENTAS[Cantidad],VENTAS[Código del producto Vendido],STOCK[[#This Row],[Code]])</f>
        <v>4</v>
      </c>
      <c r="L244" s="70">
        <f>STOCK[[#This Row],[Entradas]]-STOCK[[#This Row],[Salidas]]</f>
        <v>3</v>
      </c>
      <c r="M244" s="53">
        <f>STOCK[[#This Row],[Precio Final]]*10%</f>
        <v>0.1</v>
      </c>
      <c r="N244" s="53">
        <v>0.65</v>
      </c>
      <c r="O244" s="53">
        <v>18</v>
      </c>
      <c r="P244" s="53">
        <v>0.0361111111111111</v>
      </c>
      <c r="Q244" s="70">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54" t="s">
        <v>533</v>
      </c>
      <c r="G245" s="54" t="s">
        <v>36</v>
      </c>
      <c r="H245" s="54">
        <f>STOCK[[#This Row],[Precio Final]]</f>
        <v>1</v>
      </c>
      <c r="I245" s="54">
        <f>STOCK[[#This Row],[Precio Venta Ideal (x1.5)]]</f>
        <v>3.22166666666667</v>
      </c>
      <c r="J245" s="71">
        <v>1</v>
      </c>
      <c r="K245" s="71">
        <f>SUMIFS(VENTAS[Cantidad],VENTAS[Código del producto Vendido],STOCK[[#This Row],[Code]])</f>
        <v>1</v>
      </c>
      <c r="L245" s="71">
        <f>STOCK[[#This Row],[Entradas]]-STOCK[[#This Row],[Salidas]]</f>
        <v>0</v>
      </c>
      <c r="M245" s="54">
        <f>STOCK[[#This Row],[Precio Final]]*10%</f>
        <v>0.1</v>
      </c>
      <c r="N245" s="54">
        <v>36.86</v>
      </c>
      <c r="O245" s="54">
        <v>18</v>
      </c>
      <c r="P245" s="54">
        <v>2.04777777777778</v>
      </c>
      <c r="Q245" s="71"/>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53" t="s">
        <v>535</v>
      </c>
      <c r="F246" s="53" t="s">
        <v>187</v>
      </c>
      <c r="G246" s="53" t="s">
        <v>36</v>
      </c>
      <c r="H246" s="53">
        <f>STOCK[[#This Row],[Precio Final]]</f>
        <v>18</v>
      </c>
      <c r="I246" s="53">
        <f>STOCK[[#This Row],[Precio Venta Ideal (x1.5)]]</f>
        <v>24.7666666666666</v>
      </c>
      <c r="J246" s="70">
        <v>1</v>
      </c>
      <c r="K246" s="70">
        <f>SUMIFS(VENTAS[Cantidad],VENTAS[Código del producto Vendido],STOCK[[#This Row],[Code]])</f>
        <v>1</v>
      </c>
      <c r="L246" s="70">
        <f>STOCK[[#This Row],[Entradas]]-STOCK[[#This Row],[Salidas]]</f>
        <v>0</v>
      </c>
      <c r="M246" s="53">
        <f>STOCK[[#This Row],[Precio Final]]*10%</f>
        <v>1.8</v>
      </c>
      <c r="N246" s="53">
        <v>228.8</v>
      </c>
      <c r="O246" s="53">
        <v>18</v>
      </c>
      <c r="P246" s="53">
        <v>12.7111111111111</v>
      </c>
      <c r="Q246" s="70">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54" t="s">
        <v>537</v>
      </c>
      <c r="F247" s="54" t="s">
        <v>35</v>
      </c>
      <c r="G247" s="54" t="s">
        <v>36</v>
      </c>
      <c r="H247" s="54">
        <f>STOCK[[#This Row],[Precio Final]]</f>
        <v>12</v>
      </c>
      <c r="I247" s="54">
        <f>STOCK[[#This Row],[Precio Venta Ideal (x1.5)]]</f>
        <v>10.5458333333333</v>
      </c>
      <c r="J247" s="71">
        <v>2</v>
      </c>
      <c r="K247" s="71">
        <f>SUMIFS(VENTAS[Cantidad],VENTAS[Código del producto Vendido],STOCK[[#This Row],[Code]])</f>
        <v>2</v>
      </c>
      <c r="L247" s="71">
        <f>STOCK[[#This Row],[Entradas]]-STOCK[[#This Row],[Salidas]]</f>
        <v>0</v>
      </c>
      <c r="M247" s="54">
        <f>STOCK[[#This Row],[Precio Final]]*10%</f>
        <v>1.2</v>
      </c>
      <c r="N247" s="54">
        <v>97.75</v>
      </c>
      <c r="O247" s="54">
        <v>18</v>
      </c>
      <c r="P247" s="54">
        <v>5.43055555555556</v>
      </c>
      <c r="Q247" s="71">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53" t="s">
        <v>539</v>
      </c>
      <c r="F248" s="53" t="s">
        <v>540</v>
      </c>
      <c r="G248" s="53" t="s">
        <v>36</v>
      </c>
      <c r="H248" s="53">
        <f>STOCK[[#This Row],[Precio Final]]</f>
        <v>38</v>
      </c>
      <c r="I248" s="53">
        <f>STOCK[[#This Row],[Precio Venta Ideal (x1.5)]]</f>
        <v>47.5833333333333</v>
      </c>
      <c r="J248" s="70">
        <v>1</v>
      </c>
      <c r="K248" s="70">
        <f>SUMIFS(VENTAS[Cantidad],VENTAS[Código del producto Vendido],STOCK[[#This Row],[Code]])</f>
        <v>1</v>
      </c>
      <c r="L248" s="70">
        <f>STOCK[[#This Row],[Entradas]]-STOCK[[#This Row],[Salidas]]</f>
        <v>0</v>
      </c>
      <c r="M248" s="53">
        <f>STOCK[[#This Row],[Precio Final]]*10%</f>
        <v>3.8</v>
      </c>
      <c r="N248" s="53">
        <v>452.2</v>
      </c>
      <c r="O248" s="53">
        <v>18</v>
      </c>
      <c r="P248" s="53">
        <v>25.1222222222222</v>
      </c>
      <c r="Q248" s="70">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54" t="s">
        <v>542</v>
      </c>
      <c r="F249" s="54" t="s">
        <v>62</v>
      </c>
      <c r="G249" s="54" t="s">
        <v>36</v>
      </c>
      <c r="H249" s="54">
        <f>STOCK[[#This Row],[Precio Final]]</f>
        <v>20</v>
      </c>
      <c r="I249" s="54">
        <f>STOCK[[#This Row],[Precio Venta Ideal (x1.5)]]</f>
        <v>21.7833333333333</v>
      </c>
      <c r="J249" s="71">
        <v>1</v>
      </c>
      <c r="K249" s="71">
        <f>SUMIFS(VENTAS[Cantidad],VENTAS[Código del producto Vendido],STOCK[[#This Row],[Code]])</f>
        <v>1</v>
      </c>
      <c r="L249" s="71">
        <f>STOCK[[#This Row],[Entradas]]-STOCK[[#This Row],[Salidas]]</f>
        <v>0</v>
      </c>
      <c r="M249" s="54">
        <f>STOCK[[#This Row],[Precio Final]]*10%</f>
        <v>2</v>
      </c>
      <c r="N249" s="54">
        <v>211</v>
      </c>
      <c r="O249" s="54">
        <v>18</v>
      </c>
      <c r="P249" s="54">
        <v>11.7222222222222</v>
      </c>
      <c r="Q249" s="71">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53" t="s">
        <v>544</v>
      </c>
      <c r="F250" s="53" t="s">
        <v>62</v>
      </c>
      <c r="G250" s="53" t="s">
        <v>36</v>
      </c>
      <c r="H250" s="53">
        <f>STOCK[[#This Row],[Precio Final]]</f>
        <v>15</v>
      </c>
      <c r="I250" s="53">
        <f>STOCK[[#This Row],[Precio Venta Ideal (x1.5)]]</f>
        <v>17.8566666666667</v>
      </c>
      <c r="J250" s="70">
        <v>1</v>
      </c>
      <c r="K250" s="70">
        <f>SUMIFS(VENTAS[Cantidad],VENTAS[Código del producto Vendido],STOCK[[#This Row],[Code]])</f>
        <v>1</v>
      </c>
      <c r="L250" s="70">
        <f>STOCK[[#This Row],[Entradas]]-STOCK[[#This Row],[Salidas]]</f>
        <v>0</v>
      </c>
      <c r="M250" s="53">
        <f>STOCK[[#This Row],[Precio Final]]*10%</f>
        <v>1.5</v>
      </c>
      <c r="N250" s="53">
        <v>170</v>
      </c>
      <c r="O250" s="53">
        <v>18</v>
      </c>
      <c r="P250" s="53">
        <v>9.44444444444444</v>
      </c>
      <c r="Q250" s="70">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54" t="s">
        <v>547</v>
      </c>
      <c r="F251" s="54" t="s">
        <v>548</v>
      </c>
      <c r="G251" s="54" t="s">
        <v>36</v>
      </c>
      <c r="H251" s="54">
        <f>STOCK[[#This Row],[Precio Final]]</f>
        <v>8</v>
      </c>
      <c r="I251" s="54">
        <f>STOCK[[#This Row],[Precio Venta Ideal (x1.5)]]</f>
        <v>6.99666666666666</v>
      </c>
      <c r="J251" s="71">
        <v>1</v>
      </c>
      <c r="K251" s="71">
        <f>SUMIFS(VENTAS[Cantidad],VENTAS[Código del producto Vendido],STOCK[[#This Row],[Code]])</f>
        <v>1</v>
      </c>
      <c r="L251" s="71">
        <f>STOCK[[#This Row],[Entradas]]-STOCK[[#This Row],[Salidas]]</f>
        <v>0</v>
      </c>
      <c r="M251" s="54">
        <f>STOCK[[#This Row],[Precio Final]]*10%</f>
        <v>0.8</v>
      </c>
      <c r="N251" s="54">
        <v>62.36</v>
      </c>
      <c r="O251" s="54">
        <v>18</v>
      </c>
      <c r="P251" s="54">
        <v>3.46444444444444</v>
      </c>
      <c r="Q251" s="71">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53" t="s">
        <v>550</v>
      </c>
      <c r="F252" s="53" t="s">
        <v>40</v>
      </c>
      <c r="G252" s="53" t="s">
        <v>36</v>
      </c>
      <c r="H252" s="53">
        <f>STOCK[[#This Row],[Precio Final]]</f>
        <v>13</v>
      </c>
      <c r="I252" s="53">
        <f>STOCK[[#This Row],[Precio Venta Ideal (x1.5)]]</f>
        <v>14.2141666666667</v>
      </c>
      <c r="J252" s="70">
        <v>1</v>
      </c>
      <c r="K252" s="70">
        <f>SUMIFS(VENTAS[Cantidad],VENTAS[Código del producto Vendido],STOCK[[#This Row],[Code]])</f>
        <v>1</v>
      </c>
      <c r="L252" s="70">
        <f>STOCK[[#This Row],[Entradas]]-STOCK[[#This Row],[Salidas]]</f>
        <v>0</v>
      </c>
      <c r="M252" s="53">
        <f>STOCK[[#This Row],[Precio Final]]*10%</f>
        <v>1.3</v>
      </c>
      <c r="N252" s="53">
        <v>132.77</v>
      </c>
      <c r="O252" s="53">
        <v>18</v>
      </c>
      <c r="P252" s="53">
        <v>7.37611111111111</v>
      </c>
      <c r="Q252" s="70">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54" t="s">
        <v>552</v>
      </c>
      <c r="F253" s="54" t="s">
        <v>540</v>
      </c>
      <c r="G253" s="54" t="s">
        <v>36</v>
      </c>
      <c r="H253" s="54">
        <f>STOCK[[#This Row],[Precio Final]]</f>
        <v>45</v>
      </c>
      <c r="I253" s="54">
        <f>STOCK[[#This Row],[Precio Venta Ideal (x1.5)]]</f>
        <v>48.4291666666666</v>
      </c>
      <c r="J253" s="71">
        <v>1</v>
      </c>
      <c r="K253" s="71">
        <f>SUMIFS(VENTAS[Cantidad],VENTAS[Código del producto Vendido],STOCK[[#This Row],[Code]])</f>
        <v>1</v>
      </c>
      <c r="L253" s="71">
        <f>STOCK[[#This Row],[Entradas]]-STOCK[[#This Row],[Salidas]]</f>
        <v>0</v>
      </c>
      <c r="M253" s="54">
        <f>STOCK[[#This Row],[Precio Final]]*10%</f>
        <v>4.5</v>
      </c>
      <c r="N253" s="54">
        <v>442.55</v>
      </c>
      <c r="O253" s="54">
        <v>18</v>
      </c>
      <c r="P253" s="54">
        <v>24.5861111111111</v>
      </c>
      <c r="Q253" s="71">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53" t="s">
        <v>554</v>
      </c>
      <c r="F254" s="53" t="s">
        <v>40</v>
      </c>
      <c r="G254" s="53" t="s">
        <v>36</v>
      </c>
      <c r="H254" s="53">
        <f>STOCK[[#This Row],[Precio Final]]</f>
        <v>15</v>
      </c>
      <c r="I254" s="53">
        <f>STOCK[[#This Row],[Precio Venta Ideal (x1.5)]]</f>
        <v>17.0841666666667</v>
      </c>
      <c r="J254" s="70">
        <v>1</v>
      </c>
      <c r="K254" s="70">
        <f>SUMIFS(VENTAS[Cantidad],VENTAS[Código del producto Vendido],STOCK[[#This Row],[Code]])</f>
        <v>1</v>
      </c>
      <c r="L254" s="70">
        <f>STOCK[[#This Row],[Entradas]]-STOCK[[#This Row],[Salidas]]</f>
        <v>0</v>
      </c>
      <c r="M254" s="53">
        <f>STOCK[[#This Row],[Precio Final]]*10%</f>
        <v>1.5</v>
      </c>
      <c r="N254" s="53">
        <v>163.61</v>
      </c>
      <c r="O254" s="53">
        <v>18</v>
      </c>
      <c r="P254" s="53">
        <v>9.08944444444445</v>
      </c>
      <c r="Q254" s="70">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54" t="s">
        <v>557</v>
      </c>
      <c r="F255" s="54" t="s">
        <v>540</v>
      </c>
      <c r="G255" s="54" t="s">
        <v>36</v>
      </c>
      <c r="H255" s="54">
        <f>STOCK[[#This Row],[Precio Final]]</f>
        <v>45</v>
      </c>
      <c r="I255" s="54">
        <f>STOCK[[#This Row],[Precio Venta Ideal (x1.5)]]</f>
        <v>45.8025</v>
      </c>
      <c r="J255" s="71">
        <v>1</v>
      </c>
      <c r="K255" s="71">
        <f>SUMIFS(VENTAS[Cantidad],VENTAS[Código del producto Vendido],STOCK[[#This Row],[Code]])</f>
        <v>1</v>
      </c>
      <c r="L255" s="71">
        <f>STOCK[[#This Row],[Entradas]]-STOCK[[#This Row],[Salidas]]</f>
        <v>0</v>
      </c>
      <c r="M255" s="54">
        <f>STOCK[[#This Row],[Precio Final]]*10%</f>
        <v>4.5</v>
      </c>
      <c r="N255" s="54">
        <v>411.03</v>
      </c>
      <c r="O255" s="54">
        <v>18</v>
      </c>
      <c r="P255" s="54">
        <v>22.835</v>
      </c>
      <c r="Q255" s="71">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53" t="s">
        <v>559</v>
      </c>
      <c r="F256" s="53" t="s">
        <v>40</v>
      </c>
      <c r="G256" s="53" t="s">
        <v>36</v>
      </c>
      <c r="H256" s="53">
        <f>STOCK[[#This Row],[Precio Final]]</f>
        <v>55</v>
      </c>
      <c r="I256" s="53">
        <f>STOCK[[#This Row],[Precio Venta Ideal (x1.5)]]</f>
        <v>62.3291666666667</v>
      </c>
      <c r="J256" s="70">
        <v>1</v>
      </c>
      <c r="K256" s="70">
        <f>SUMIFS(VENTAS[Cantidad],VENTAS[Código del producto Vendido],STOCK[[#This Row],[Code]])</f>
        <v>0</v>
      </c>
      <c r="L256" s="70">
        <f>STOCK[[#This Row],[Entradas]]-STOCK[[#This Row],[Salidas]]</f>
        <v>1</v>
      </c>
      <c r="M256" s="53">
        <f>STOCK[[#This Row],[Precio Final]]*10%</f>
        <v>5.5</v>
      </c>
      <c r="N256" s="53">
        <v>572.63</v>
      </c>
      <c r="O256" s="53">
        <v>18</v>
      </c>
      <c r="P256" s="53">
        <v>31.8127777777778</v>
      </c>
      <c r="Q256" s="70">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54" t="s">
        <v>561</v>
      </c>
      <c r="F257" s="54" t="s">
        <v>40</v>
      </c>
      <c r="G257" s="54" t="s">
        <v>36</v>
      </c>
      <c r="H257" s="54">
        <f>STOCK[[#This Row],[Precio Final]]</f>
        <v>15</v>
      </c>
      <c r="I257" s="54">
        <f>STOCK[[#This Row],[Precio Venta Ideal (x1.5)]]</f>
        <v>12.2483333333333</v>
      </c>
      <c r="J257" s="71">
        <v>1</v>
      </c>
      <c r="K257" s="71">
        <f>SUMIFS(VENTAS[Cantidad],VENTAS[Código del producto Vendido],STOCK[[#This Row],[Code]])</f>
        <v>1</v>
      </c>
      <c r="L257" s="71">
        <f>STOCK[[#This Row],[Entradas]]-STOCK[[#This Row],[Salidas]]</f>
        <v>0</v>
      </c>
      <c r="M257" s="54">
        <f>STOCK[[#This Row],[Precio Final]]*10%</f>
        <v>1.5</v>
      </c>
      <c r="N257" s="54">
        <v>109.9</v>
      </c>
      <c r="O257" s="54">
        <v>18</v>
      </c>
      <c r="P257" s="54">
        <v>6.10555555555556</v>
      </c>
      <c r="Q257" s="71">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53" t="s">
        <v>563</v>
      </c>
      <c r="F258" s="53" t="s">
        <v>40</v>
      </c>
      <c r="G258" s="53" t="s">
        <v>36</v>
      </c>
      <c r="H258" s="53">
        <f>STOCK[[#This Row],[Precio Final]]</f>
        <v>45</v>
      </c>
      <c r="I258" s="53">
        <f>STOCK[[#This Row],[Precio Venta Ideal (x1.5)]]</f>
        <v>64.6075</v>
      </c>
      <c r="J258" s="70">
        <v>1</v>
      </c>
      <c r="K258" s="70">
        <f>SUMIFS(VENTAS[Cantidad],VENTAS[Código del producto Vendido],STOCK[[#This Row],[Code]])</f>
        <v>1</v>
      </c>
      <c r="L258" s="70">
        <f>STOCK[[#This Row],[Entradas]]-STOCK[[#This Row],[Salidas]]</f>
        <v>0</v>
      </c>
      <c r="M258" s="53">
        <f>STOCK[[#This Row],[Precio Final]]*10%</f>
        <v>4.5</v>
      </c>
      <c r="N258" s="53">
        <v>629.49</v>
      </c>
      <c r="O258" s="53">
        <v>18</v>
      </c>
      <c r="P258" s="53">
        <v>34.9716666666667</v>
      </c>
      <c r="Q258" s="70">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54" t="s">
        <v>565</v>
      </c>
      <c r="F259" s="54" t="s">
        <v>62</v>
      </c>
      <c r="G259" s="54" t="s">
        <v>36</v>
      </c>
      <c r="H259" s="54">
        <f>STOCK[[#This Row],[Precio Final]]</f>
        <v>20</v>
      </c>
      <c r="I259" s="54">
        <f>STOCK[[#This Row],[Precio Venta Ideal (x1.5)]]</f>
        <v>19.0833333333333</v>
      </c>
      <c r="J259" s="71">
        <v>3</v>
      </c>
      <c r="K259" s="71">
        <f>SUMIFS(VENTAS[Cantidad],VENTAS[Código del producto Vendido],STOCK[[#This Row],[Code]])</f>
        <v>3</v>
      </c>
      <c r="L259" s="71">
        <f>STOCK[[#This Row],[Entradas]]-STOCK[[#This Row],[Salidas]]</f>
        <v>0</v>
      </c>
      <c r="M259" s="54">
        <f>STOCK[[#This Row],[Precio Final]]*10%</f>
        <v>2</v>
      </c>
      <c r="N259" s="54">
        <v>166</v>
      </c>
      <c r="O259" s="54">
        <v>18</v>
      </c>
      <c r="P259" s="54">
        <v>9.22222222222222</v>
      </c>
      <c r="Q259" s="71">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53" t="s">
        <v>567</v>
      </c>
      <c r="F260" s="53" t="s">
        <v>40</v>
      </c>
      <c r="G260" s="53" t="s">
        <v>36</v>
      </c>
      <c r="H260" s="53">
        <f>STOCK[[#This Row],[Precio Final]]</f>
        <v>20</v>
      </c>
      <c r="I260" s="53">
        <f>STOCK[[#This Row],[Precio Venta Ideal (x1.5)]]</f>
        <v>19.0833333333333</v>
      </c>
      <c r="J260" s="70">
        <v>3</v>
      </c>
      <c r="K260" s="70">
        <f>SUMIFS(VENTAS[Cantidad],VENTAS[Código del producto Vendido],STOCK[[#This Row],[Code]])</f>
        <v>3</v>
      </c>
      <c r="L260" s="70">
        <f>STOCK[[#This Row],[Entradas]]-STOCK[[#This Row],[Salidas]]</f>
        <v>0</v>
      </c>
      <c r="M260" s="53">
        <f>STOCK[[#This Row],[Precio Final]]*10%</f>
        <v>2</v>
      </c>
      <c r="N260" s="53">
        <v>166</v>
      </c>
      <c r="O260" s="53">
        <v>18</v>
      </c>
      <c r="P260" s="53">
        <v>9.22222222222222</v>
      </c>
      <c r="Q260" s="70">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54" t="s">
        <v>569</v>
      </c>
      <c r="F261" s="54" t="s">
        <v>46</v>
      </c>
      <c r="G261" s="54" t="s">
        <v>36</v>
      </c>
      <c r="H261" s="54">
        <f>STOCK[[#This Row],[Precio Final]]</f>
        <v>20</v>
      </c>
      <c r="I261" s="54">
        <f>STOCK[[#This Row],[Precio Venta Ideal (x1.5)]]</f>
        <v>19.0833333333333</v>
      </c>
      <c r="J261" s="71">
        <v>3</v>
      </c>
      <c r="K261" s="71">
        <f>SUMIFS(VENTAS[Cantidad],VENTAS[Código del producto Vendido],STOCK[[#This Row],[Code]])</f>
        <v>3</v>
      </c>
      <c r="L261" s="71">
        <f>STOCK[[#This Row],[Entradas]]-STOCK[[#This Row],[Salidas]]</f>
        <v>0</v>
      </c>
      <c r="M261" s="54">
        <f>STOCK[[#This Row],[Precio Final]]*10%</f>
        <v>2</v>
      </c>
      <c r="N261" s="54">
        <v>166</v>
      </c>
      <c r="O261" s="54">
        <v>18</v>
      </c>
      <c r="P261" s="54">
        <v>9.22222222222222</v>
      </c>
      <c r="Q261" s="71">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53" t="s">
        <v>571</v>
      </c>
      <c r="F262" s="53" t="s">
        <v>49</v>
      </c>
      <c r="G262" s="53" t="s">
        <v>36</v>
      </c>
      <c r="H262" s="53">
        <f>STOCK[[#This Row],[Precio Final]]</f>
        <v>20</v>
      </c>
      <c r="I262" s="53">
        <f>STOCK[[#This Row],[Precio Venta Ideal (x1.5)]]</f>
        <v>19.0833333333333</v>
      </c>
      <c r="J262" s="70">
        <v>3</v>
      </c>
      <c r="K262" s="70">
        <f>SUMIFS(VENTAS[Cantidad],VENTAS[Código del producto Vendido],STOCK[[#This Row],[Code]])</f>
        <v>3</v>
      </c>
      <c r="L262" s="70">
        <f>STOCK[[#This Row],[Entradas]]-STOCK[[#This Row],[Salidas]]</f>
        <v>0</v>
      </c>
      <c r="M262" s="53">
        <f>STOCK[[#This Row],[Precio Final]]*10%</f>
        <v>2</v>
      </c>
      <c r="N262" s="53">
        <v>166</v>
      </c>
      <c r="O262" s="53">
        <v>18</v>
      </c>
      <c r="P262" s="53">
        <v>9.22222222222222</v>
      </c>
      <c r="Q262" s="70">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54" t="s">
        <v>573</v>
      </c>
      <c r="F263" s="54" t="s">
        <v>62</v>
      </c>
      <c r="G263" s="54" t="s">
        <v>36</v>
      </c>
      <c r="H263" s="54">
        <f>STOCK[[#This Row],[Precio Final]]</f>
        <v>20</v>
      </c>
      <c r="I263" s="54">
        <f>STOCK[[#This Row],[Precio Venta Ideal (x1.5)]]</f>
        <v>19.0833333333333</v>
      </c>
      <c r="J263" s="71">
        <v>3</v>
      </c>
      <c r="K263" s="71">
        <f>SUMIFS(VENTAS[Cantidad],VENTAS[Código del producto Vendido],STOCK[[#This Row],[Code]])</f>
        <v>3</v>
      </c>
      <c r="L263" s="71">
        <f>STOCK[[#This Row],[Entradas]]-STOCK[[#This Row],[Salidas]]</f>
        <v>0</v>
      </c>
      <c r="M263" s="54">
        <f>STOCK[[#This Row],[Precio Final]]*10%</f>
        <v>2</v>
      </c>
      <c r="N263" s="54">
        <v>166</v>
      </c>
      <c r="O263" s="54">
        <v>18</v>
      </c>
      <c r="P263" s="54">
        <v>9.22222222222222</v>
      </c>
      <c r="Q263" s="71">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53" t="s">
        <v>575</v>
      </c>
      <c r="F264" s="53" t="s">
        <v>40</v>
      </c>
      <c r="G264" s="53" t="s">
        <v>36</v>
      </c>
      <c r="H264" s="53">
        <f>STOCK[[#This Row],[Precio Final]]</f>
        <v>20</v>
      </c>
      <c r="I264" s="53">
        <f>STOCK[[#This Row],[Precio Venta Ideal (x1.5)]]</f>
        <v>19.0833333333333</v>
      </c>
      <c r="J264" s="70">
        <v>3</v>
      </c>
      <c r="K264" s="70">
        <f>SUMIFS(VENTAS[Cantidad],VENTAS[Código del producto Vendido],STOCK[[#This Row],[Code]])</f>
        <v>3</v>
      </c>
      <c r="L264" s="70">
        <f>STOCK[[#This Row],[Entradas]]-STOCK[[#This Row],[Salidas]]</f>
        <v>0</v>
      </c>
      <c r="M264" s="53">
        <f>STOCK[[#This Row],[Precio Final]]*10%</f>
        <v>2</v>
      </c>
      <c r="N264" s="53">
        <v>166</v>
      </c>
      <c r="O264" s="53">
        <v>18</v>
      </c>
      <c r="P264" s="53">
        <v>9.22222222222222</v>
      </c>
      <c r="Q264" s="70">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54" t="s">
        <v>577</v>
      </c>
      <c r="F265" s="54" t="s">
        <v>62</v>
      </c>
      <c r="G265" s="54" t="s">
        <v>36</v>
      </c>
      <c r="H265" s="54">
        <f>STOCK[[#This Row],[Precio Final]]</f>
        <v>10</v>
      </c>
      <c r="I265" s="54">
        <f>STOCK[[#This Row],[Precio Venta Ideal (x1.5)]]</f>
        <v>9.1375</v>
      </c>
      <c r="J265" s="71">
        <v>3</v>
      </c>
      <c r="K265" s="71">
        <f>SUMIFS(VENTAS[Cantidad],VENTAS[Código del producto Vendido],STOCK[[#This Row],[Code]])</f>
        <v>3</v>
      </c>
      <c r="L265" s="71">
        <f>STOCK[[#This Row],[Entradas]]-STOCK[[#This Row],[Salidas]]</f>
        <v>0</v>
      </c>
      <c r="M265" s="54">
        <f>STOCK[[#This Row],[Precio Final]]*10%</f>
        <v>1</v>
      </c>
      <c r="N265" s="54">
        <v>77.25</v>
      </c>
      <c r="O265" s="54">
        <v>18</v>
      </c>
      <c r="P265" s="54">
        <v>4.29166666666667</v>
      </c>
      <c r="Q265" s="71">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53" t="s">
        <v>579</v>
      </c>
      <c r="F266" s="53" t="s">
        <v>40</v>
      </c>
      <c r="G266" s="53" t="s">
        <v>36</v>
      </c>
      <c r="H266" s="53">
        <f>STOCK[[#This Row],[Precio Final]]</f>
        <v>10</v>
      </c>
      <c r="I266" s="53">
        <f>STOCK[[#This Row],[Precio Venta Ideal (x1.5)]]</f>
        <v>9.7</v>
      </c>
      <c r="J266" s="70">
        <v>3</v>
      </c>
      <c r="K266" s="70">
        <f>SUMIFS(VENTAS[Cantidad],VENTAS[Código del producto Vendido],STOCK[[#This Row],[Code]])</f>
        <v>3</v>
      </c>
      <c r="L266" s="70">
        <f>STOCK[[#This Row],[Entradas]]-STOCK[[#This Row],[Salidas]]</f>
        <v>0</v>
      </c>
      <c r="M266" s="53">
        <f>STOCK[[#This Row],[Precio Final]]*10%</f>
        <v>1</v>
      </c>
      <c r="N266" s="53">
        <v>84</v>
      </c>
      <c r="O266" s="53">
        <v>18</v>
      </c>
      <c r="P266" s="53">
        <v>4.66666666666667</v>
      </c>
      <c r="Q266" s="70">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54" t="s">
        <v>581</v>
      </c>
      <c r="F267" s="54" t="s">
        <v>62</v>
      </c>
      <c r="G267" s="54" t="s">
        <v>36</v>
      </c>
      <c r="H267" s="54">
        <f>STOCK[[#This Row],[Precio Final]]</f>
        <v>10</v>
      </c>
      <c r="I267" s="54">
        <f>STOCK[[#This Row],[Precio Venta Ideal (x1.5)]]</f>
        <v>9.04</v>
      </c>
      <c r="J267" s="71">
        <v>3</v>
      </c>
      <c r="K267" s="71">
        <f>SUMIFS(VENTAS[Cantidad],VENTAS[Código del producto Vendido],STOCK[[#This Row],[Code]])</f>
        <v>3</v>
      </c>
      <c r="L267" s="71">
        <f>STOCK[[#This Row],[Entradas]]-STOCK[[#This Row],[Salidas]]</f>
        <v>0</v>
      </c>
      <c r="M267" s="54">
        <f>STOCK[[#This Row],[Precio Final]]*10%</f>
        <v>1</v>
      </c>
      <c r="N267" s="54">
        <v>84</v>
      </c>
      <c r="O267" s="54">
        <v>18</v>
      </c>
      <c r="P267" s="54">
        <v>4.66666666666667</v>
      </c>
      <c r="Q267" s="71">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53" t="s">
        <v>583</v>
      </c>
      <c r="F268" s="53" t="s">
        <v>49</v>
      </c>
      <c r="G268" s="53" t="s">
        <v>36</v>
      </c>
      <c r="H268" s="53">
        <f>STOCK[[#This Row],[Precio Final]]</f>
        <v>10</v>
      </c>
      <c r="I268" s="53">
        <f>STOCK[[#This Row],[Precio Venta Ideal (x1.5)]]</f>
        <v>9.04</v>
      </c>
      <c r="J268" s="70">
        <v>3</v>
      </c>
      <c r="K268" s="70">
        <f>SUMIFS(VENTAS[Cantidad],VENTAS[Código del producto Vendido],STOCK[[#This Row],[Code]])</f>
        <v>3</v>
      </c>
      <c r="L268" s="70">
        <f>STOCK[[#This Row],[Entradas]]-STOCK[[#This Row],[Salidas]]</f>
        <v>0</v>
      </c>
      <c r="M268" s="53">
        <f>STOCK[[#This Row],[Precio Final]]*10%</f>
        <v>1</v>
      </c>
      <c r="N268" s="53">
        <v>84</v>
      </c>
      <c r="O268" s="53">
        <v>18</v>
      </c>
      <c r="P268" s="53">
        <v>4.66666666666667</v>
      </c>
      <c r="Q268" s="70">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54" t="s">
        <v>585</v>
      </c>
      <c r="F269" s="54" t="s">
        <v>586</v>
      </c>
      <c r="G269" s="54" t="s">
        <v>36</v>
      </c>
      <c r="H269" s="54">
        <f>STOCK[[#This Row],[Precio Final]]</f>
        <v>9</v>
      </c>
      <c r="I269" s="54">
        <f>STOCK[[#This Row],[Precio Venta Ideal (x1.5)]]</f>
        <v>9.14</v>
      </c>
      <c r="J269" s="71">
        <v>4</v>
      </c>
      <c r="K269" s="71">
        <f>SUMIFS(VENTAS[Cantidad],VENTAS[Código del producto Vendido],STOCK[[#This Row],[Code]])</f>
        <v>4</v>
      </c>
      <c r="L269" s="71">
        <f>STOCK[[#This Row],[Entradas]]-STOCK[[#This Row],[Salidas]]</f>
        <v>0</v>
      </c>
      <c r="M269" s="54">
        <f>STOCK[[#This Row],[Precio Final]]*10%</f>
        <v>0.9</v>
      </c>
      <c r="N269" s="54">
        <v>87</v>
      </c>
      <c r="O269" s="54">
        <v>18</v>
      </c>
      <c r="P269" s="54">
        <v>4.83333333333333</v>
      </c>
      <c r="Q269" s="71">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53" t="s">
        <v>585</v>
      </c>
      <c r="F270" s="53" t="s">
        <v>62</v>
      </c>
      <c r="G270" s="53" t="s">
        <v>36</v>
      </c>
      <c r="H270" s="53">
        <f>STOCK[[#This Row],[Precio Final]]</f>
        <v>12</v>
      </c>
      <c r="I270" s="53">
        <f>STOCK[[#This Row],[Precio Venta Ideal (x1.5)]]</f>
        <v>9.59</v>
      </c>
      <c r="J270" s="70">
        <v>4</v>
      </c>
      <c r="K270" s="70">
        <f>SUMIFS(VENTAS[Cantidad],VENTAS[Código del producto Vendido],STOCK[[#This Row],[Code]])</f>
        <v>4</v>
      </c>
      <c r="L270" s="70">
        <f>STOCK[[#This Row],[Entradas]]-STOCK[[#This Row],[Salidas]]</f>
        <v>0</v>
      </c>
      <c r="M270" s="53">
        <f>STOCK[[#This Row],[Precio Final]]*10%</f>
        <v>1.2</v>
      </c>
      <c r="N270" s="53">
        <v>87</v>
      </c>
      <c r="O270" s="53">
        <v>18</v>
      </c>
      <c r="P270" s="53">
        <v>4.83333333333333</v>
      </c>
      <c r="Q270" s="70">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54" t="s">
        <v>589</v>
      </c>
      <c r="F271" s="54" t="s">
        <v>40</v>
      </c>
      <c r="G271" s="54" t="s">
        <v>36</v>
      </c>
      <c r="H271" s="54">
        <f>STOCK[[#This Row],[Precio Final]]</f>
        <v>12</v>
      </c>
      <c r="I271" s="54">
        <f>STOCK[[#This Row],[Precio Venta Ideal (x1.5)]]</f>
        <v>10.4025</v>
      </c>
      <c r="J271" s="71">
        <v>3</v>
      </c>
      <c r="K271" s="71">
        <f>SUMIFS(VENTAS[Cantidad],VENTAS[Código del producto Vendido],STOCK[[#This Row],[Code]])</f>
        <v>2</v>
      </c>
      <c r="L271" s="71">
        <f>STOCK[[#This Row],[Entradas]]-STOCK[[#This Row],[Salidas]]</f>
        <v>1</v>
      </c>
      <c r="M271" s="54">
        <f>STOCK[[#This Row],[Precio Final]]*10%</f>
        <v>1.2</v>
      </c>
      <c r="N271" s="54">
        <v>96.75</v>
      </c>
      <c r="O271" s="54">
        <v>18</v>
      </c>
      <c r="P271" s="54">
        <v>5.375</v>
      </c>
      <c r="Q271" s="71">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53" t="s">
        <v>591</v>
      </c>
      <c r="F272" s="53" t="s">
        <v>62</v>
      </c>
      <c r="G272" s="53" t="s">
        <v>36</v>
      </c>
      <c r="H272" s="53">
        <f>STOCK[[#This Row],[Precio Final]]</f>
        <v>15</v>
      </c>
      <c r="I272" s="53">
        <f>STOCK[[#This Row],[Precio Venta Ideal (x1.5)]]</f>
        <v>10.8525</v>
      </c>
      <c r="J272" s="70">
        <v>1</v>
      </c>
      <c r="K272" s="70">
        <f>SUMIFS(VENTAS[Cantidad],VENTAS[Código del producto Vendido],STOCK[[#This Row],[Code]])</f>
        <v>1</v>
      </c>
      <c r="L272" s="70">
        <f>STOCK[[#This Row],[Entradas]]-STOCK[[#This Row],[Salidas]]</f>
        <v>0</v>
      </c>
      <c r="M272" s="53">
        <f>STOCK[[#This Row],[Precio Final]]*10%</f>
        <v>1.5</v>
      </c>
      <c r="N272" s="53">
        <v>96.75</v>
      </c>
      <c r="O272" s="53">
        <v>18</v>
      </c>
      <c r="P272" s="53">
        <v>5.375</v>
      </c>
      <c r="Q272" s="70">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54" t="s">
        <v>593</v>
      </c>
      <c r="F273" s="54" t="s">
        <v>49</v>
      </c>
      <c r="G273" s="54" t="s">
        <v>36</v>
      </c>
      <c r="H273" s="54">
        <f>STOCK[[#This Row],[Precio Final]]</f>
        <v>15</v>
      </c>
      <c r="I273" s="54">
        <f>STOCK[[#This Row],[Precio Venta Ideal (x1.5)]]</f>
        <v>10.8525</v>
      </c>
      <c r="J273" s="71">
        <v>3</v>
      </c>
      <c r="K273" s="71">
        <f>SUMIFS(VENTAS[Cantidad],VENTAS[Código del producto Vendido],STOCK[[#This Row],[Code]])</f>
        <v>3</v>
      </c>
      <c r="L273" s="71">
        <f>STOCK[[#This Row],[Entradas]]-STOCK[[#This Row],[Salidas]]</f>
        <v>0</v>
      </c>
      <c r="M273" s="54">
        <f>STOCK[[#This Row],[Precio Final]]*10%</f>
        <v>1.5</v>
      </c>
      <c r="N273" s="54">
        <v>96.75</v>
      </c>
      <c r="O273" s="54">
        <v>18</v>
      </c>
      <c r="P273" s="54">
        <v>5.375</v>
      </c>
      <c r="Q273" s="71">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53" t="s">
        <v>595</v>
      </c>
      <c r="F274" s="53" t="s">
        <v>40</v>
      </c>
      <c r="G274" s="53" t="s">
        <v>36</v>
      </c>
      <c r="H274" s="53">
        <f>STOCK[[#This Row],[Precio Final]]</f>
        <v>12</v>
      </c>
      <c r="I274" s="53">
        <f>STOCK[[#This Row],[Precio Venta Ideal (x1.5)]]</f>
        <v>9.4025</v>
      </c>
      <c r="J274" s="70">
        <v>3</v>
      </c>
      <c r="K274" s="70">
        <f>SUMIFS(VENTAS[Cantidad],VENTAS[Código del producto Vendido],STOCK[[#This Row],[Code]])</f>
        <v>0</v>
      </c>
      <c r="L274" s="70">
        <f>STOCK[[#This Row],[Entradas]]-STOCK[[#This Row],[Salidas]]</f>
        <v>3</v>
      </c>
      <c r="M274" s="53">
        <f>STOCK[[#This Row],[Precio Final]]*10%</f>
        <v>1.2</v>
      </c>
      <c r="N274" s="53">
        <v>84.75</v>
      </c>
      <c r="O274" s="53">
        <v>18</v>
      </c>
      <c r="P274" s="53">
        <v>4.70833333333333</v>
      </c>
      <c r="Q274" s="70">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54" t="s">
        <v>595</v>
      </c>
      <c r="F275" s="54" t="s">
        <v>62</v>
      </c>
      <c r="G275" s="54" t="s">
        <v>36</v>
      </c>
      <c r="H275" s="54">
        <f>STOCK[[#This Row],[Precio Final]]</f>
        <v>9</v>
      </c>
      <c r="I275" s="54">
        <f>STOCK[[#This Row],[Precio Venta Ideal (x1.5)]]</f>
        <v>8.9525</v>
      </c>
      <c r="J275" s="71">
        <v>4</v>
      </c>
      <c r="K275" s="71">
        <f>SUMIFS(VENTAS[Cantidad],VENTAS[Código del producto Vendido],STOCK[[#This Row],[Code]])</f>
        <v>4</v>
      </c>
      <c r="L275" s="71">
        <f>STOCK[[#This Row],[Entradas]]-STOCK[[#This Row],[Salidas]]</f>
        <v>0</v>
      </c>
      <c r="M275" s="54">
        <f>STOCK[[#This Row],[Precio Final]]*10%</f>
        <v>0.9</v>
      </c>
      <c r="N275" s="54">
        <v>84.75</v>
      </c>
      <c r="O275" s="54">
        <v>18</v>
      </c>
      <c r="P275" s="54">
        <v>4.70833333333333</v>
      </c>
      <c r="Q275" s="71">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53" t="s">
        <v>595</v>
      </c>
      <c r="F276" s="53" t="s">
        <v>49</v>
      </c>
      <c r="G276" s="53" t="s">
        <v>36</v>
      </c>
      <c r="H276" s="53">
        <f>STOCK[[#This Row],[Precio Final]]</f>
        <v>12</v>
      </c>
      <c r="I276" s="53">
        <f>STOCK[[#This Row],[Precio Venta Ideal (x1.5)]]</f>
        <v>9.4025</v>
      </c>
      <c r="J276" s="70">
        <v>3</v>
      </c>
      <c r="K276" s="70">
        <f>SUMIFS(VENTAS[Cantidad],VENTAS[Código del producto Vendido],STOCK[[#This Row],[Code]])</f>
        <v>3</v>
      </c>
      <c r="L276" s="70">
        <f>STOCK[[#This Row],[Entradas]]-STOCK[[#This Row],[Salidas]]</f>
        <v>0</v>
      </c>
      <c r="M276" s="53">
        <f>STOCK[[#This Row],[Precio Final]]*10%</f>
        <v>1.2</v>
      </c>
      <c r="N276" s="53">
        <v>84.75</v>
      </c>
      <c r="O276" s="53">
        <v>18</v>
      </c>
      <c r="P276" s="53">
        <v>4.70833333333333</v>
      </c>
      <c r="Q276" s="70">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54" t="s">
        <v>599</v>
      </c>
      <c r="F277" s="54" t="s">
        <v>40</v>
      </c>
      <c r="G277" s="54" t="s">
        <v>36</v>
      </c>
      <c r="H277" s="54">
        <f>STOCK[[#This Row],[Precio Final]]</f>
        <v>12</v>
      </c>
      <c r="I277" s="54">
        <f>STOCK[[#This Row],[Precio Venta Ideal (x1.5)]]</f>
        <v>10.1525</v>
      </c>
      <c r="J277" s="71">
        <v>3</v>
      </c>
      <c r="K277" s="71">
        <f>SUMIFS(VENTAS[Cantidad],VENTAS[Código del producto Vendido],STOCK[[#This Row],[Code]])</f>
        <v>2</v>
      </c>
      <c r="L277" s="71">
        <f>STOCK[[#This Row],[Entradas]]-STOCK[[#This Row],[Salidas]]</f>
        <v>1</v>
      </c>
      <c r="M277" s="54">
        <f>STOCK[[#This Row],[Precio Final]]*10%</f>
        <v>1.2</v>
      </c>
      <c r="N277" s="54">
        <v>93.75</v>
      </c>
      <c r="O277" s="54">
        <v>18</v>
      </c>
      <c r="P277" s="54">
        <v>5.20833333333333</v>
      </c>
      <c r="Q277" s="71">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53" t="s">
        <v>599</v>
      </c>
      <c r="F278" s="53" t="s">
        <v>62</v>
      </c>
      <c r="G278" s="53" t="s">
        <v>36</v>
      </c>
      <c r="H278" s="53">
        <f>STOCK[[#This Row],[Precio Final]]</f>
        <v>12</v>
      </c>
      <c r="I278" s="53">
        <f>STOCK[[#This Row],[Precio Venta Ideal (x1.5)]]</f>
        <v>10.1525</v>
      </c>
      <c r="J278" s="70">
        <v>3</v>
      </c>
      <c r="K278" s="70">
        <f>SUMIFS(VENTAS[Cantidad],VENTAS[Código del producto Vendido],STOCK[[#This Row],[Code]])</f>
        <v>2</v>
      </c>
      <c r="L278" s="70">
        <f>STOCK[[#This Row],[Entradas]]-STOCK[[#This Row],[Salidas]]</f>
        <v>1</v>
      </c>
      <c r="M278" s="53">
        <f>STOCK[[#This Row],[Precio Final]]*10%</f>
        <v>1.2</v>
      </c>
      <c r="N278" s="53">
        <v>93.75</v>
      </c>
      <c r="O278" s="53">
        <v>18</v>
      </c>
      <c r="P278" s="53">
        <v>5.20833333333333</v>
      </c>
      <c r="Q278" s="70">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54" t="s">
        <v>599</v>
      </c>
      <c r="F279" s="54" t="s">
        <v>49</v>
      </c>
      <c r="G279" s="54" t="s">
        <v>36</v>
      </c>
      <c r="H279" s="54">
        <f>STOCK[[#This Row],[Precio Final]]</f>
        <v>12</v>
      </c>
      <c r="I279" s="54">
        <f>STOCK[[#This Row],[Precio Venta Ideal (x1.5)]]</f>
        <v>10.1525</v>
      </c>
      <c r="J279" s="71">
        <v>3</v>
      </c>
      <c r="K279" s="71">
        <f>SUMIFS(VENTAS[Cantidad],VENTAS[Código del producto Vendido],STOCK[[#This Row],[Code]])</f>
        <v>2</v>
      </c>
      <c r="L279" s="71">
        <f>STOCK[[#This Row],[Entradas]]-STOCK[[#This Row],[Salidas]]</f>
        <v>1</v>
      </c>
      <c r="M279" s="54">
        <f>STOCK[[#This Row],[Precio Final]]*10%</f>
        <v>1.2</v>
      </c>
      <c r="N279" s="54">
        <v>93.75</v>
      </c>
      <c r="O279" s="54">
        <v>18</v>
      </c>
      <c r="P279" s="54">
        <v>5.20833333333333</v>
      </c>
      <c r="Q279" s="71">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53" t="s">
        <v>603</v>
      </c>
      <c r="F280" s="53" t="s">
        <v>40</v>
      </c>
      <c r="G280" s="53" t="s">
        <v>36</v>
      </c>
      <c r="H280" s="53">
        <f>STOCK[[#This Row],[Precio Final]]</f>
        <v>20</v>
      </c>
      <c r="I280" s="53">
        <f>STOCK[[#This Row],[Precio Venta Ideal (x1.5)]]</f>
        <v>19.0833333333333</v>
      </c>
      <c r="J280" s="70">
        <v>4</v>
      </c>
      <c r="K280" s="70">
        <f>SUMIFS(VENTAS[Cantidad],VENTAS[Código del producto Vendido],STOCK[[#This Row],[Code]])</f>
        <v>2</v>
      </c>
      <c r="L280" s="70">
        <f>STOCK[[#This Row],[Entradas]]-STOCK[[#This Row],[Salidas]]</f>
        <v>2</v>
      </c>
      <c r="M280" s="53">
        <f>STOCK[[#This Row],[Precio Final]]*10%</f>
        <v>2</v>
      </c>
      <c r="N280" s="53">
        <v>166</v>
      </c>
      <c r="O280" s="53">
        <v>18</v>
      </c>
      <c r="P280" s="53">
        <v>9.22222222222222</v>
      </c>
      <c r="Q280" s="70">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54" t="s">
        <v>603</v>
      </c>
      <c r="F281" s="54" t="s">
        <v>62</v>
      </c>
      <c r="G281" s="54" t="s">
        <v>36</v>
      </c>
      <c r="H281" s="54">
        <f>STOCK[[#This Row],[Precio Final]]</f>
        <v>20</v>
      </c>
      <c r="I281" s="54">
        <f>STOCK[[#This Row],[Precio Venta Ideal (x1.5)]]</f>
        <v>19.0833333333333</v>
      </c>
      <c r="J281" s="71">
        <v>3</v>
      </c>
      <c r="K281" s="71">
        <f>SUMIFS(VENTAS[Cantidad],VENTAS[Código del producto Vendido],STOCK[[#This Row],[Code]])</f>
        <v>2</v>
      </c>
      <c r="L281" s="71">
        <f>STOCK[[#This Row],[Entradas]]-STOCK[[#This Row],[Salidas]]</f>
        <v>1</v>
      </c>
      <c r="M281" s="54">
        <f>STOCK[[#This Row],[Precio Final]]*10%</f>
        <v>2</v>
      </c>
      <c r="N281" s="54">
        <v>166</v>
      </c>
      <c r="O281" s="54">
        <v>18</v>
      </c>
      <c r="P281" s="54">
        <v>9.22222222222222</v>
      </c>
      <c r="Q281" s="71">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53" t="s">
        <v>603</v>
      </c>
      <c r="F282" s="53" t="s">
        <v>49</v>
      </c>
      <c r="G282" s="53" t="s">
        <v>36</v>
      </c>
      <c r="H282" s="53">
        <f>STOCK[[#This Row],[Precio Final]]</f>
        <v>20</v>
      </c>
      <c r="I282" s="53">
        <f>STOCK[[#This Row],[Precio Venta Ideal (x1.5)]]</f>
        <v>19.0833333333333</v>
      </c>
      <c r="J282" s="70">
        <v>4</v>
      </c>
      <c r="K282" s="70">
        <f>SUMIFS(VENTAS[Cantidad],VENTAS[Código del producto Vendido],STOCK[[#This Row],[Code]])</f>
        <v>2</v>
      </c>
      <c r="L282" s="70">
        <f>STOCK[[#This Row],[Entradas]]-STOCK[[#This Row],[Salidas]]</f>
        <v>2</v>
      </c>
      <c r="M282" s="53">
        <f>STOCK[[#This Row],[Precio Final]]*10%</f>
        <v>2</v>
      </c>
      <c r="N282" s="53">
        <v>166</v>
      </c>
      <c r="O282" s="53">
        <v>18</v>
      </c>
      <c r="P282" s="53">
        <v>9.22222222222222</v>
      </c>
      <c r="Q282" s="70">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54" t="s">
        <v>607</v>
      </c>
      <c r="F283" s="54" t="s">
        <v>46</v>
      </c>
      <c r="G283" s="54" t="s">
        <v>36</v>
      </c>
      <c r="H283" s="54">
        <f>STOCK[[#This Row],[Precio Final]]</f>
        <v>20</v>
      </c>
      <c r="I283" s="54">
        <f>STOCK[[#This Row],[Precio Venta Ideal (x1.5)]]</f>
        <v>19.0833333333333</v>
      </c>
      <c r="J283" s="71">
        <v>1</v>
      </c>
      <c r="K283" s="71">
        <f>SUMIFS(VENTAS[Cantidad],VENTAS[Código del producto Vendido],STOCK[[#This Row],[Code]])</f>
        <v>1</v>
      </c>
      <c r="L283" s="71">
        <f>STOCK[[#This Row],[Entradas]]-STOCK[[#This Row],[Salidas]]</f>
        <v>0</v>
      </c>
      <c r="M283" s="54">
        <f>STOCK[[#This Row],[Precio Final]]*10%</f>
        <v>2</v>
      </c>
      <c r="N283" s="54">
        <v>166</v>
      </c>
      <c r="O283" s="54">
        <v>18</v>
      </c>
      <c r="P283" s="54">
        <v>9.22222222222222</v>
      </c>
      <c r="Q283" s="71">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53" t="s">
        <v>609</v>
      </c>
      <c r="F284" s="53" t="s">
        <v>62</v>
      </c>
      <c r="G284" s="53" t="s">
        <v>36</v>
      </c>
      <c r="H284" s="53">
        <f>STOCK[[#This Row],[Precio Final]]</f>
        <v>10</v>
      </c>
      <c r="I284" s="53">
        <f>STOCK[[#This Row],[Precio Venta Ideal (x1.5)]]</f>
        <v>10.1025</v>
      </c>
      <c r="J284" s="70">
        <v>5</v>
      </c>
      <c r="K284" s="70">
        <f>SUMIFS(VENTAS[Cantidad],VENTAS[Código del producto Vendido],STOCK[[#This Row],[Code]])</f>
        <v>0</v>
      </c>
      <c r="L284" s="70">
        <f>STOCK[[#This Row],[Entradas]]-STOCK[[#This Row],[Salidas]]</f>
        <v>5</v>
      </c>
      <c r="M284" s="53">
        <f>STOCK[[#This Row],[Precio Final]]*10%</f>
        <v>1</v>
      </c>
      <c r="N284" s="53">
        <v>96.75</v>
      </c>
      <c r="O284" s="53">
        <v>18</v>
      </c>
      <c r="P284" s="53">
        <v>5.375</v>
      </c>
      <c r="Q284" s="70">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54" t="s">
        <v>611</v>
      </c>
      <c r="F285" s="54" t="s">
        <v>46</v>
      </c>
      <c r="G285" s="54" t="s">
        <v>36</v>
      </c>
      <c r="H285" s="54">
        <f>STOCK[[#This Row],[Precio Final]]</f>
        <v>25</v>
      </c>
      <c r="I285" s="54">
        <f>STOCK[[#This Row],[Precio Venta Ideal (x1.5)]]</f>
        <v>19.8333333333333</v>
      </c>
      <c r="J285" s="71">
        <v>3</v>
      </c>
      <c r="K285" s="71">
        <f>SUMIFS(VENTAS[Cantidad],VENTAS[Código del producto Vendido],STOCK[[#This Row],[Code]])</f>
        <v>3</v>
      </c>
      <c r="L285" s="71">
        <f>STOCK[[#This Row],[Entradas]]-STOCK[[#This Row],[Salidas]]</f>
        <v>0</v>
      </c>
      <c r="M285" s="54">
        <f>STOCK[[#This Row],[Precio Final]]*10%</f>
        <v>2.5</v>
      </c>
      <c r="N285" s="54">
        <v>166</v>
      </c>
      <c r="O285" s="54">
        <v>18</v>
      </c>
      <c r="P285" s="54">
        <v>9.22222222222222</v>
      </c>
      <c r="Q285" s="71">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53" t="s">
        <v>613</v>
      </c>
      <c r="F286" s="53" t="s">
        <v>46</v>
      </c>
      <c r="G286" s="53" t="s">
        <v>36</v>
      </c>
      <c r="H286" s="53">
        <f>STOCK[[#This Row],[Precio Final]]</f>
        <v>25</v>
      </c>
      <c r="I286" s="53">
        <f>STOCK[[#This Row],[Precio Venta Ideal (x1.5)]]</f>
        <v>19.8333333333333</v>
      </c>
      <c r="J286" s="70">
        <v>3</v>
      </c>
      <c r="K286" s="70">
        <f>SUMIFS(VENTAS[Cantidad],VENTAS[Código del producto Vendido],STOCK[[#This Row],[Code]])</f>
        <v>3</v>
      </c>
      <c r="L286" s="70">
        <f>STOCK[[#This Row],[Entradas]]-STOCK[[#This Row],[Salidas]]</f>
        <v>0</v>
      </c>
      <c r="M286" s="53">
        <f>STOCK[[#This Row],[Precio Final]]*10%</f>
        <v>2.5</v>
      </c>
      <c r="N286" s="53">
        <v>166</v>
      </c>
      <c r="O286" s="53">
        <v>18</v>
      </c>
      <c r="P286" s="53">
        <v>9.22222222222222</v>
      </c>
      <c r="Q286" s="70">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54" t="s">
        <v>615</v>
      </c>
      <c r="F287" s="54" t="s">
        <v>62</v>
      </c>
      <c r="G287" s="54" t="s">
        <v>36</v>
      </c>
      <c r="H287" s="54">
        <f>STOCK[[#This Row],[Precio Final]]</f>
        <v>15</v>
      </c>
      <c r="I287" s="54">
        <f>STOCK[[#This Row],[Precio Venta Ideal (x1.5)]]</f>
        <v>10.8525</v>
      </c>
      <c r="J287" s="71">
        <v>3</v>
      </c>
      <c r="K287" s="71">
        <f>SUMIFS(VENTAS[Cantidad],VENTAS[Código del producto Vendido],STOCK[[#This Row],[Code]])</f>
        <v>3</v>
      </c>
      <c r="L287" s="71">
        <f>STOCK[[#This Row],[Entradas]]-STOCK[[#This Row],[Salidas]]</f>
        <v>0</v>
      </c>
      <c r="M287" s="54">
        <f>STOCK[[#This Row],[Precio Final]]*10%</f>
        <v>1.5</v>
      </c>
      <c r="N287" s="54">
        <v>96.75</v>
      </c>
      <c r="O287" s="54">
        <v>18</v>
      </c>
      <c r="P287" s="54">
        <v>5.375</v>
      </c>
      <c r="Q287" s="71">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53" t="s">
        <v>615</v>
      </c>
      <c r="F288" s="53" t="s">
        <v>40</v>
      </c>
      <c r="G288" s="53" t="s">
        <v>36</v>
      </c>
      <c r="H288" s="53">
        <f>STOCK[[#This Row],[Precio Final]]</f>
        <v>15</v>
      </c>
      <c r="I288" s="53">
        <f>STOCK[[#This Row],[Precio Venta Ideal (x1.5)]]</f>
        <v>10.8525</v>
      </c>
      <c r="J288" s="70">
        <v>3</v>
      </c>
      <c r="K288" s="70">
        <f>SUMIFS(VENTAS[Cantidad],VENTAS[Código del producto Vendido],STOCK[[#This Row],[Code]])</f>
        <v>3</v>
      </c>
      <c r="L288" s="70">
        <f>STOCK[[#This Row],[Entradas]]-STOCK[[#This Row],[Salidas]]</f>
        <v>0</v>
      </c>
      <c r="M288" s="53">
        <f>STOCK[[#This Row],[Precio Final]]*10%</f>
        <v>1.5</v>
      </c>
      <c r="N288" s="53">
        <v>96.75</v>
      </c>
      <c r="O288" s="53">
        <v>18</v>
      </c>
      <c r="P288" s="53">
        <v>5.375</v>
      </c>
      <c r="Q288" s="70">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54" t="s">
        <v>618</v>
      </c>
      <c r="F289" s="54" t="s">
        <v>525</v>
      </c>
      <c r="G289" s="54" t="s">
        <v>36</v>
      </c>
      <c r="H289" s="54">
        <f>STOCK[[#This Row],[Precio Final]]</f>
        <v>12</v>
      </c>
      <c r="I289" s="54">
        <f>STOCK[[#This Row],[Precio Venta Ideal (x1.5)]]</f>
        <v>8.025</v>
      </c>
      <c r="J289" s="71">
        <v>6</v>
      </c>
      <c r="K289" s="71">
        <f>SUMIFS(VENTAS[Cantidad],VENTAS[Código del producto Vendido],STOCK[[#This Row],[Code]])</f>
        <v>4</v>
      </c>
      <c r="L289" s="71">
        <f>STOCK[[#This Row],[Entradas]]-STOCK[[#This Row],[Salidas]]</f>
        <v>2</v>
      </c>
      <c r="M289" s="54">
        <f>STOCK[[#This Row],[Precio Final]]*10%</f>
        <v>1.2</v>
      </c>
      <c r="N289" s="54">
        <v>67.5</v>
      </c>
      <c r="O289" s="54">
        <v>18</v>
      </c>
      <c r="P289" s="54">
        <v>3.75</v>
      </c>
      <c r="Q289" s="71">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53" t="s">
        <v>620</v>
      </c>
      <c r="F290" s="53" t="s">
        <v>40</v>
      </c>
      <c r="G290" s="53" t="s">
        <v>36</v>
      </c>
      <c r="H290" s="53">
        <f>STOCK[[#This Row],[Precio Final]]</f>
        <v>15</v>
      </c>
      <c r="I290" s="53">
        <f>STOCK[[#This Row],[Precio Venta Ideal (x1.5)]]</f>
        <v>18.3333333333333</v>
      </c>
      <c r="J290" s="70">
        <v>3</v>
      </c>
      <c r="K290" s="70">
        <f>SUMIFS(VENTAS[Cantidad],VENTAS[Código del producto Vendido],STOCK[[#This Row],[Code]])</f>
        <v>3</v>
      </c>
      <c r="L290" s="70">
        <f>STOCK[[#This Row],[Entradas]]-STOCK[[#This Row],[Salidas]]</f>
        <v>0</v>
      </c>
      <c r="M290" s="53">
        <f>STOCK[[#This Row],[Precio Final]]*10%</f>
        <v>1.5</v>
      </c>
      <c r="N290" s="53">
        <v>166</v>
      </c>
      <c r="O290" s="53">
        <v>18</v>
      </c>
      <c r="P290" s="53">
        <v>9.22222222222222</v>
      </c>
      <c r="Q290" s="70">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54" t="s">
        <v>622</v>
      </c>
      <c r="F291" s="54" t="s">
        <v>46</v>
      </c>
      <c r="G291" s="54" t="s">
        <v>36</v>
      </c>
      <c r="H291" s="54">
        <f>STOCK[[#This Row],[Precio Final]]</f>
        <v>16</v>
      </c>
      <c r="I291" s="54">
        <f>STOCK[[#This Row],[Precio Venta Ideal (x1.5)]]</f>
        <v>18.4833333333333</v>
      </c>
      <c r="J291" s="71">
        <v>3</v>
      </c>
      <c r="K291" s="71">
        <f>SUMIFS(VENTAS[Cantidad],VENTAS[Código del producto Vendido],STOCK[[#This Row],[Code]])</f>
        <v>3</v>
      </c>
      <c r="L291" s="71">
        <f>STOCK[[#This Row],[Entradas]]-STOCK[[#This Row],[Salidas]]</f>
        <v>0</v>
      </c>
      <c r="M291" s="54">
        <f>STOCK[[#This Row],[Precio Final]]*10%</f>
        <v>1.6</v>
      </c>
      <c r="N291" s="54">
        <v>166</v>
      </c>
      <c r="O291" s="54">
        <v>18</v>
      </c>
      <c r="P291" s="54">
        <v>9.22222222222222</v>
      </c>
      <c r="Q291" s="71">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53" t="s">
        <v>624</v>
      </c>
      <c r="F292" s="53" t="s">
        <v>46</v>
      </c>
      <c r="G292" s="53" t="s">
        <v>36</v>
      </c>
      <c r="H292" s="53">
        <f>STOCK[[#This Row],[Precio Final]]</f>
        <v>216</v>
      </c>
      <c r="I292" s="53">
        <f>STOCK[[#This Row],[Precio Venta Ideal (x1.5)]]</f>
        <v>48.4833333333333</v>
      </c>
      <c r="J292" s="70">
        <v>3</v>
      </c>
      <c r="K292" s="70">
        <f>SUMIFS(VENTAS[Cantidad],VENTAS[Código del producto Vendido],STOCK[[#This Row],[Code]])</f>
        <v>3</v>
      </c>
      <c r="L292" s="70">
        <f>STOCK[[#This Row],[Entradas]]-STOCK[[#This Row],[Salidas]]</f>
        <v>0</v>
      </c>
      <c r="M292" s="53">
        <f>STOCK[[#This Row],[Precio Final]]*10%</f>
        <v>21.6</v>
      </c>
      <c r="N292" s="53">
        <v>166</v>
      </c>
      <c r="O292" s="53">
        <v>18</v>
      </c>
      <c r="P292" s="53">
        <v>9.22222222222222</v>
      </c>
      <c r="Q292" s="70">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54" t="s">
        <v>626</v>
      </c>
      <c r="F293" s="54" t="s">
        <v>46</v>
      </c>
      <c r="G293" s="54" t="s">
        <v>36</v>
      </c>
      <c r="H293" s="54">
        <f>STOCK[[#This Row],[Precio Final]]</f>
        <v>16</v>
      </c>
      <c r="I293" s="54">
        <f>STOCK[[#This Row],[Precio Venta Ideal (x1.5)]]</f>
        <v>18.4833333333333</v>
      </c>
      <c r="J293" s="71">
        <v>3</v>
      </c>
      <c r="K293" s="71">
        <f>SUMIFS(VENTAS[Cantidad],VENTAS[Código del producto Vendido],STOCK[[#This Row],[Code]])</f>
        <v>3</v>
      </c>
      <c r="L293" s="71">
        <f>STOCK[[#This Row],[Entradas]]-STOCK[[#This Row],[Salidas]]</f>
        <v>0</v>
      </c>
      <c r="M293" s="54">
        <f>STOCK[[#This Row],[Precio Final]]*10%</f>
        <v>1.6</v>
      </c>
      <c r="N293" s="54">
        <v>166</v>
      </c>
      <c r="O293" s="54">
        <v>18</v>
      </c>
      <c r="P293" s="54">
        <v>9.22222222222222</v>
      </c>
      <c r="Q293" s="71">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53" t="s">
        <v>628</v>
      </c>
      <c r="F294" s="53" t="s">
        <v>187</v>
      </c>
      <c r="G294" s="53" t="s">
        <v>36</v>
      </c>
      <c r="H294" s="53">
        <f>STOCK[[#This Row],[Precio Final]]</f>
        <v>20</v>
      </c>
      <c r="I294" s="53">
        <f>STOCK[[#This Row],[Precio Venta Ideal (x1.5)]]</f>
        <v>19.0833333333333</v>
      </c>
      <c r="J294" s="70">
        <v>3</v>
      </c>
      <c r="K294" s="70">
        <f>SUMIFS(VENTAS[Cantidad],VENTAS[Código del producto Vendido],STOCK[[#This Row],[Code]])</f>
        <v>3</v>
      </c>
      <c r="L294" s="70">
        <f>STOCK[[#This Row],[Entradas]]-STOCK[[#This Row],[Salidas]]</f>
        <v>0</v>
      </c>
      <c r="M294" s="53">
        <f>STOCK[[#This Row],[Precio Final]]*10%</f>
        <v>2</v>
      </c>
      <c r="N294" s="53">
        <v>166</v>
      </c>
      <c r="O294" s="53">
        <v>18</v>
      </c>
      <c r="P294" s="53">
        <v>9.22222222222222</v>
      </c>
      <c r="Q294" s="70">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54" t="s">
        <v>630</v>
      </c>
      <c r="F295" s="54" t="s">
        <v>62</v>
      </c>
      <c r="G295" s="54" t="s">
        <v>36</v>
      </c>
      <c r="H295" s="54">
        <f>STOCK[[#This Row],[Precio Final]]</f>
        <v>20</v>
      </c>
      <c r="I295" s="54">
        <f>STOCK[[#This Row],[Precio Venta Ideal (x1.5)]]</f>
        <v>19.0833333333333</v>
      </c>
      <c r="J295" s="71">
        <v>2</v>
      </c>
      <c r="K295" s="71">
        <f>SUMIFS(VENTAS[Cantidad],VENTAS[Código del producto Vendido],STOCK[[#This Row],[Code]])</f>
        <v>0</v>
      </c>
      <c r="L295" s="71">
        <f>STOCK[[#This Row],[Entradas]]-STOCK[[#This Row],[Salidas]]</f>
        <v>2</v>
      </c>
      <c r="M295" s="54">
        <f>STOCK[[#This Row],[Precio Final]]*10%</f>
        <v>2</v>
      </c>
      <c r="N295" s="54">
        <v>166</v>
      </c>
      <c r="O295" s="54">
        <v>18</v>
      </c>
      <c r="P295" s="54">
        <v>9.22222222222222</v>
      </c>
      <c r="Q295" s="71">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53" t="s">
        <v>632</v>
      </c>
      <c r="F296" s="53" t="s">
        <v>40</v>
      </c>
      <c r="G296" s="53" t="s">
        <v>36</v>
      </c>
      <c r="H296" s="53">
        <f>STOCK[[#This Row],[Precio Final]]</f>
        <v>20</v>
      </c>
      <c r="I296" s="53">
        <f>STOCK[[#This Row],[Precio Venta Ideal (x1.5)]]</f>
        <v>19.0833333333333</v>
      </c>
      <c r="J296" s="70">
        <v>3</v>
      </c>
      <c r="K296" s="70">
        <f>SUMIFS(VENTAS[Cantidad],VENTAS[Código del producto Vendido],STOCK[[#This Row],[Code]])</f>
        <v>3</v>
      </c>
      <c r="L296" s="70">
        <f>STOCK[[#This Row],[Entradas]]-STOCK[[#This Row],[Salidas]]</f>
        <v>0</v>
      </c>
      <c r="M296" s="53">
        <f>STOCK[[#This Row],[Precio Final]]*10%</f>
        <v>2</v>
      </c>
      <c r="N296" s="53">
        <v>166</v>
      </c>
      <c r="O296" s="53">
        <v>18</v>
      </c>
      <c r="P296" s="53">
        <v>9.22222222222222</v>
      </c>
      <c r="Q296" s="70">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54" t="s">
        <v>632</v>
      </c>
      <c r="F297" s="54" t="s">
        <v>62</v>
      </c>
      <c r="G297" s="54" t="s">
        <v>36</v>
      </c>
      <c r="H297" s="54">
        <f>STOCK[[#This Row],[Precio Final]]</f>
        <v>15</v>
      </c>
      <c r="I297" s="54">
        <f>STOCK[[#This Row],[Precio Venta Ideal (x1.5)]]</f>
        <v>18.3333333333333</v>
      </c>
      <c r="J297" s="71">
        <v>3</v>
      </c>
      <c r="K297" s="71">
        <f>SUMIFS(VENTAS[Cantidad],VENTAS[Código del producto Vendido],STOCK[[#This Row],[Code]])</f>
        <v>3</v>
      </c>
      <c r="L297" s="71">
        <f>STOCK[[#This Row],[Entradas]]-STOCK[[#This Row],[Salidas]]</f>
        <v>0</v>
      </c>
      <c r="M297" s="54">
        <f>STOCK[[#This Row],[Precio Final]]*10%</f>
        <v>1.5</v>
      </c>
      <c r="N297" s="54">
        <v>166</v>
      </c>
      <c r="O297" s="54">
        <v>18</v>
      </c>
      <c r="P297" s="54">
        <v>9.22222222222222</v>
      </c>
      <c r="Q297" s="71">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53" t="s">
        <v>632</v>
      </c>
      <c r="F298" s="53" t="s">
        <v>46</v>
      </c>
      <c r="G298" s="53" t="s">
        <v>36</v>
      </c>
      <c r="H298" s="53">
        <f>STOCK[[#This Row],[Precio Final]]</f>
        <v>16</v>
      </c>
      <c r="I298" s="53">
        <f>STOCK[[#This Row],[Precio Venta Ideal (x1.5)]]</f>
        <v>18.4833333333333</v>
      </c>
      <c r="J298" s="70">
        <v>3</v>
      </c>
      <c r="K298" s="70">
        <f>SUMIFS(VENTAS[Cantidad],VENTAS[Código del producto Vendido],STOCK[[#This Row],[Code]])</f>
        <v>3</v>
      </c>
      <c r="L298" s="70">
        <f>STOCK[[#This Row],[Entradas]]-STOCK[[#This Row],[Salidas]]</f>
        <v>0</v>
      </c>
      <c r="M298" s="53">
        <f>STOCK[[#This Row],[Precio Final]]*10%</f>
        <v>1.6</v>
      </c>
      <c r="N298" s="53">
        <v>166</v>
      </c>
      <c r="O298" s="53">
        <v>18</v>
      </c>
      <c r="P298" s="53">
        <v>9.22222222222222</v>
      </c>
      <c r="Q298" s="70">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54" t="s">
        <v>636</v>
      </c>
      <c r="F299" s="54" t="s">
        <v>40</v>
      </c>
      <c r="G299" s="54" t="s">
        <v>36</v>
      </c>
      <c r="H299" s="54">
        <f>STOCK[[#This Row],[Precio Final]]</f>
        <v>16</v>
      </c>
      <c r="I299" s="54">
        <f>STOCK[[#This Row],[Precio Venta Ideal (x1.5)]]</f>
        <v>18.4833333333333</v>
      </c>
      <c r="J299" s="71">
        <v>4</v>
      </c>
      <c r="K299" s="71">
        <f>SUMIFS(VENTAS[Cantidad],VENTAS[Código del producto Vendido],STOCK[[#This Row],[Code]])</f>
        <v>4</v>
      </c>
      <c r="L299" s="71">
        <f>STOCK[[#This Row],[Entradas]]-STOCK[[#This Row],[Salidas]]</f>
        <v>0</v>
      </c>
      <c r="M299" s="54">
        <f>STOCK[[#This Row],[Precio Final]]*10%</f>
        <v>1.6</v>
      </c>
      <c r="N299" s="54">
        <v>166</v>
      </c>
      <c r="O299" s="54">
        <v>18</v>
      </c>
      <c r="P299" s="54">
        <v>9.22222222222222</v>
      </c>
      <c r="Q299" s="71">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53" t="s">
        <v>636</v>
      </c>
      <c r="F300" s="53" t="s">
        <v>62</v>
      </c>
      <c r="G300" s="53" t="s">
        <v>36</v>
      </c>
      <c r="H300" s="53">
        <f>STOCK[[#This Row],[Precio Final]]</f>
        <v>20</v>
      </c>
      <c r="I300" s="53">
        <f>STOCK[[#This Row],[Precio Venta Ideal (x1.5)]]</f>
        <v>19.0833333333333</v>
      </c>
      <c r="J300" s="70">
        <v>2</v>
      </c>
      <c r="K300" s="70">
        <f>SUMIFS(VENTAS[Cantidad],VENTAS[Código del producto Vendido],STOCK[[#This Row],[Code]])</f>
        <v>2</v>
      </c>
      <c r="L300" s="70">
        <f>STOCK[[#This Row],[Entradas]]-STOCK[[#This Row],[Salidas]]</f>
        <v>0</v>
      </c>
      <c r="M300" s="53">
        <f>STOCK[[#This Row],[Precio Final]]*10%</f>
        <v>2</v>
      </c>
      <c r="N300" s="53">
        <v>166</v>
      </c>
      <c r="O300" s="53">
        <v>18</v>
      </c>
      <c r="P300" s="53">
        <v>9.22222222222222</v>
      </c>
      <c r="Q300" s="70">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54" t="s">
        <v>639</v>
      </c>
      <c r="F301" s="54" t="s">
        <v>46</v>
      </c>
      <c r="G301" s="54" t="s">
        <v>36</v>
      </c>
      <c r="H301" s="54">
        <f>STOCK[[#This Row],[Precio Final]]</f>
        <v>20</v>
      </c>
      <c r="I301" s="54">
        <f>STOCK[[#This Row],[Precio Venta Ideal (x1.5)]]</f>
        <v>19.0833333333333</v>
      </c>
      <c r="J301" s="71">
        <v>4</v>
      </c>
      <c r="K301" s="71">
        <f>SUMIFS(VENTAS[Cantidad],VENTAS[Código del producto Vendido],STOCK[[#This Row],[Code]])</f>
        <v>4</v>
      </c>
      <c r="L301" s="71">
        <f>STOCK[[#This Row],[Entradas]]-STOCK[[#This Row],[Salidas]]</f>
        <v>0</v>
      </c>
      <c r="M301" s="54">
        <f>STOCK[[#This Row],[Precio Final]]*10%</f>
        <v>2</v>
      </c>
      <c r="N301" s="54">
        <v>166</v>
      </c>
      <c r="O301" s="54">
        <v>18</v>
      </c>
      <c r="P301" s="54">
        <v>9.22222222222222</v>
      </c>
      <c r="Q301" s="71">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53" t="s">
        <v>641</v>
      </c>
      <c r="F302" s="53" t="s">
        <v>62</v>
      </c>
      <c r="G302" s="53" t="s">
        <v>36</v>
      </c>
      <c r="H302" s="53">
        <f>STOCK[[#This Row],[Precio Final]]</f>
        <v>20</v>
      </c>
      <c r="I302" s="53">
        <f>STOCK[[#This Row],[Precio Venta Ideal (x1.5)]]</f>
        <v>19.0833333333333</v>
      </c>
      <c r="J302" s="70">
        <v>4</v>
      </c>
      <c r="K302" s="70">
        <f>SUMIFS(VENTAS[Cantidad],VENTAS[Código del producto Vendido],STOCK[[#This Row],[Code]])</f>
        <v>4</v>
      </c>
      <c r="L302" s="70">
        <f>STOCK[[#This Row],[Entradas]]-STOCK[[#This Row],[Salidas]]</f>
        <v>0</v>
      </c>
      <c r="M302" s="53">
        <f>STOCK[[#This Row],[Precio Final]]*10%</f>
        <v>2</v>
      </c>
      <c r="N302" s="53">
        <v>166</v>
      </c>
      <c r="O302" s="53">
        <v>18</v>
      </c>
      <c r="P302" s="53">
        <v>9.22222222222222</v>
      </c>
      <c r="Q302" s="70">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54" t="s">
        <v>641</v>
      </c>
      <c r="F303" s="54" t="s">
        <v>40</v>
      </c>
      <c r="G303" s="54" t="s">
        <v>36</v>
      </c>
      <c r="H303" s="54">
        <f>STOCK[[#This Row],[Precio Final]]</f>
        <v>16</v>
      </c>
      <c r="I303" s="54">
        <f>STOCK[[#This Row],[Precio Venta Ideal (x1.5)]]</f>
        <v>18.4833333333333</v>
      </c>
      <c r="J303" s="71">
        <v>3</v>
      </c>
      <c r="K303" s="71">
        <f>SUMIFS(VENTAS[Cantidad],VENTAS[Código del producto Vendido],STOCK[[#This Row],[Code]])</f>
        <v>3</v>
      </c>
      <c r="L303" s="71">
        <f>STOCK[[#This Row],[Entradas]]-STOCK[[#This Row],[Salidas]]</f>
        <v>0</v>
      </c>
      <c r="M303" s="54">
        <f>STOCK[[#This Row],[Precio Final]]*10%</f>
        <v>1.6</v>
      </c>
      <c r="N303" s="54">
        <v>166</v>
      </c>
      <c r="O303" s="54">
        <v>18</v>
      </c>
      <c r="P303" s="54">
        <v>9.22222222222222</v>
      </c>
      <c r="Q303" s="71">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53" t="s">
        <v>644</v>
      </c>
      <c r="F304" s="53" t="s">
        <v>62</v>
      </c>
      <c r="G304" s="53" t="s">
        <v>36</v>
      </c>
      <c r="H304" s="53">
        <f>STOCK[[#This Row],[Precio Final]]</f>
        <v>15</v>
      </c>
      <c r="I304" s="53">
        <f>STOCK[[#This Row],[Precio Venta Ideal (x1.5)]]</f>
        <v>18.3333333333333</v>
      </c>
      <c r="J304" s="70">
        <v>4</v>
      </c>
      <c r="K304" s="70">
        <f>SUMIFS(VENTAS[Cantidad],VENTAS[Código del producto Vendido],STOCK[[#This Row],[Code]])</f>
        <v>4</v>
      </c>
      <c r="L304" s="70">
        <f>STOCK[[#This Row],[Entradas]]-STOCK[[#This Row],[Salidas]]</f>
        <v>0</v>
      </c>
      <c r="M304" s="53">
        <f>STOCK[[#This Row],[Precio Final]]*10%</f>
        <v>1.5</v>
      </c>
      <c r="N304" s="53">
        <v>166</v>
      </c>
      <c r="O304" s="53">
        <v>18</v>
      </c>
      <c r="P304" s="53">
        <v>9.22222222222222</v>
      </c>
      <c r="Q304" s="70">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54" t="s">
        <v>646</v>
      </c>
      <c r="F305" s="54" t="s">
        <v>40</v>
      </c>
      <c r="G305" s="54" t="s">
        <v>36</v>
      </c>
      <c r="H305" s="54">
        <f>STOCK[[#This Row],[Precio Final]]</f>
        <v>20</v>
      </c>
      <c r="I305" s="54">
        <f>STOCK[[#This Row],[Precio Venta Ideal (x1.5)]]</f>
        <v>19.0833333333333</v>
      </c>
      <c r="J305" s="71">
        <v>5</v>
      </c>
      <c r="K305" s="71">
        <f>SUMIFS(VENTAS[Cantidad],VENTAS[Código del producto Vendido],STOCK[[#This Row],[Code]])</f>
        <v>2</v>
      </c>
      <c r="L305" s="71">
        <f>STOCK[[#This Row],[Entradas]]-STOCK[[#This Row],[Salidas]]</f>
        <v>3</v>
      </c>
      <c r="M305" s="54">
        <f>STOCK[[#This Row],[Precio Final]]*10%</f>
        <v>2</v>
      </c>
      <c r="N305" s="54">
        <v>166</v>
      </c>
      <c r="O305" s="54">
        <v>18</v>
      </c>
      <c r="P305" s="54">
        <v>9.22222222222222</v>
      </c>
      <c r="Q305" s="71">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53" t="s">
        <v>646</v>
      </c>
      <c r="F306" s="53" t="s">
        <v>62</v>
      </c>
      <c r="G306" s="53" t="s">
        <v>36</v>
      </c>
      <c r="H306" s="53">
        <f>STOCK[[#This Row],[Precio Final]]</f>
        <v>15</v>
      </c>
      <c r="I306" s="53">
        <f>STOCK[[#This Row],[Precio Venta Ideal (x1.5)]]</f>
        <v>18.3333333333333</v>
      </c>
      <c r="J306" s="70">
        <v>2</v>
      </c>
      <c r="K306" s="70">
        <f>SUMIFS(VENTAS[Cantidad],VENTAS[Código del producto Vendido],STOCK[[#This Row],[Code]])</f>
        <v>2</v>
      </c>
      <c r="L306" s="70">
        <f>STOCK[[#This Row],[Entradas]]-STOCK[[#This Row],[Salidas]]</f>
        <v>0</v>
      </c>
      <c r="M306" s="53">
        <f>STOCK[[#This Row],[Precio Final]]*10%</f>
        <v>1.5</v>
      </c>
      <c r="N306" s="53">
        <v>166</v>
      </c>
      <c r="O306" s="53">
        <v>18</v>
      </c>
      <c r="P306" s="53">
        <v>9.22222222222222</v>
      </c>
      <c r="Q306" s="70">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54" t="s">
        <v>646</v>
      </c>
      <c r="F307" s="54" t="s">
        <v>46</v>
      </c>
      <c r="G307" s="54" t="s">
        <v>36</v>
      </c>
      <c r="H307" s="54">
        <f>STOCK[[#This Row],[Precio Final]]</f>
        <v>20</v>
      </c>
      <c r="I307" s="54">
        <f>STOCK[[#This Row],[Precio Venta Ideal (x1.5)]]</f>
        <v>19.0833333333333</v>
      </c>
      <c r="J307" s="71">
        <v>3</v>
      </c>
      <c r="K307" s="71">
        <f>SUMIFS(VENTAS[Cantidad],VENTAS[Código del producto Vendido],STOCK[[#This Row],[Code]])</f>
        <v>3</v>
      </c>
      <c r="L307" s="71">
        <f>STOCK[[#This Row],[Entradas]]-STOCK[[#This Row],[Salidas]]</f>
        <v>0</v>
      </c>
      <c r="M307" s="54">
        <f>STOCK[[#This Row],[Precio Final]]*10%</f>
        <v>2</v>
      </c>
      <c r="N307" s="54">
        <v>166</v>
      </c>
      <c r="O307" s="54">
        <v>18</v>
      </c>
      <c r="P307" s="54">
        <v>9.22222222222222</v>
      </c>
      <c r="Q307" s="71">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53" t="s">
        <v>651</v>
      </c>
      <c r="F308" s="53" t="s">
        <v>46</v>
      </c>
      <c r="G308" s="53" t="s">
        <v>36</v>
      </c>
      <c r="H308" s="53">
        <f>STOCK[[#This Row],[Precio Final]]</f>
        <v>20</v>
      </c>
      <c r="I308" s="53">
        <f>STOCK[[#This Row],[Precio Venta Ideal (x1.5)]]</f>
        <v>19.0833333333333</v>
      </c>
      <c r="J308" s="70">
        <v>4</v>
      </c>
      <c r="K308" s="70">
        <f>SUMIFS(VENTAS[Cantidad],VENTAS[Código del producto Vendido],STOCK[[#This Row],[Code]])</f>
        <v>4</v>
      </c>
      <c r="L308" s="70">
        <f>STOCK[[#This Row],[Entradas]]-STOCK[[#This Row],[Salidas]]</f>
        <v>0</v>
      </c>
      <c r="M308" s="53">
        <f>STOCK[[#This Row],[Precio Final]]*10%</f>
        <v>2</v>
      </c>
      <c r="N308" s="53">
        <v>166</v>
      </c>
      <c r="O308" s="53">
        <v>18</v>
      </c>
      <c r="P308" s="53">
        <v>9.22222222222222</v>
      </c>
      <c r="Q308" s="70">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54" t="s">
        <v>653</v>
      </c>
      <c r="F309" s="54" t="s">
        <v>46</v>
      </c>
      <c r="G309" s="54" t="s">
        <v>36</v>
      </c>
      <c r="H309" s="54">
        <f>STOCK[[#This Row],[Precio Final]]</f>
        <v>20</v>
      </c>
      <c r="I309" s="54">
        <f>STOCK[[#This Row],[Precio Venta Ideal (x1.5)]]</f>
        <v>19.0833333333333</v>
      </c>
      <c r="J309" s="71">
        <v>4</v>
      </c>
      <c r="K309" s="71">
        <f>SUMIFS(VENTAS[Cantidad],VENTAS[Código del producto Vendido],STOCK[[#This Row],[Code]])</f>
        <v>4</v>
      </c>
      <c r="L309" s="71">
        <f>STOCK[[#This Row],[Entradas]]-STOCK[[#This Row],[Salidas]]</f>
        <v>0</v>
      </c>
      <c r="M309" s="54">
        <f>STOCK[[#This Row],[Precio Final]]*10%</f>
        <v>2</v>
      </c>
      <c r="N309" s="54">
        <v>166</v>
      </c>
      <c r="O309" s="54">
        <v>18</v>
      </c>
      <c r="P309" s="54">
        <v>9.22222222222222</v>
      </c>
      <c r="Q309" s="71">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53" t="s">
        <v>655</v>
      </c>
      <c r="F310" s="53" t="s">
        <v>46</v>
      </c>
      <c r="G310" s="53" t="s">
        <v>36</v>
      </c>
      <c r="H310" s="53">
        <f>STOCK[[#This Row],[Precio Final]]</f>
        <v>20</v>
      </c>
      <c r="I310" s="53">
        <f>STOCK[[#This Row],[Precio Venta Ideal (x1.5)]]</f>
        <v>19.0833333333333</v>
      </c>
      <c r="J310" s="70">
        <v>4</v>
      </c>
      <c r="K310" s="70">
        <f>SUMIFS(VENTAS[Cantidad],VENTAS[Código del producto Vendido],STOCK[[#This Row],[Code]])</f>
        <v>4</v>
      </c>
      <c r="L310" s="70">
        <f>STOCK[[#This Row],[Entradas]]-STOCK[[#This Row],[Salidas]]</f>
        <v>0</v>
      </c>
      <c r="M310" s="53">
        <f>STOCK[[#This Row],[Precio Final]]*10%</f>
        <v>2</v>
      </c>
      <c r="N310" s="53">
        <v>166</v>
      </c>
      <c r="O310" s="53">
        <v>18</v>
      </c>
      <c r="P310" s="53">
        <v>9.22222222222222</v>
      </c>
      <c r="Q310" s="70">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54" t="s">
        <v>657</v>
      </c>
      <c r="F311" s="54" t="s">
        <v>46</v>
      </c>
      <c r="G311" s="54" t="s">
        <v>36</v>
      </c>
      <c r="H311" s="54">
        <f>STOCK[[#This Row],[Precio Final]]</f>
        <v>20</v>
      </c>
      <c r="I311" s="54">
        <f>STOCK[[#This Row],[Precio Venta Ideal (x1.5)]]</f>
        <v>19.0833333333333</v>
      </c>
      <c r="J311" s="71">
        <v>4</v>
      </c>
      <c r="K311" s="71">
        <f>SUMIFS(VENTAS[Cantidad],VENTAS[Código del producto Vendido],STOCK[[#This Row],[Code]])</f>
        <v>4</v>
      </c>
      <c r="L311" s="71">
        <f>STOCK[[#This Row],[Entradas]]-STOCK[[#This Row],[Salidas]]</f>
        <v>0</v>
      </c>
      <c r="M311" s="54">
        <f>STOCK[[#This Row],[Precio Final]]*10%</f>
        <v>2</v>
      </c>
      <c r="N311" s="54">
        <v>166</v>
      </c>
      <c r="O311" s="54">
        <v>18</v>
      </c>
      <c r="P311" s="54">
        <v>9.22222222222222</v>
      </c>
      <c r="Q311" s="71">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53" t="s">
        <v>659</v>
      </c>
      <c r="F312" s="53" t="s">
        <v>46</v>
      </c>
      <c r="G312" s="53" t="s">
        <v>36</v>
      </c>
      <c r="H312" s="53">
        <f>STOCK[[#This Row],[Precio Final]]</f>
        <v>18</v>
      </c>
      <c r="I312" s="53">
        <f>STOCK[[#This Row],[Precio Venta Ideal (x1.5)]]</f>
        <v>18.7833333333333</v>
      </c>
      <c r="J312" s="70">
        <v>4</v>
      </c>
      <c r="K312" s="70">
        <f>SUMIFS(VENTAS[Cantidad],VENTAS[Código del producto Vendido],STOCK[[#This Row],[Code]])</f>
        <v>4</v>
      </c>
      <c r="L312" s="70">
        <f>STOCK[[#This Row],[Entradas]]-STOCK[[#This Row],[Salidas]]</f>
        <v>0</v>
      </c>
      <c r="M312" s="53">
        <f>STOCK[[#This Row],[Precio Final]]*10%</f>
        <v>1.8</v>
      </c>
      <c r="N312" s="53">
        <v>166</v>
      </c>
      <c r="O312" s="53">
        <v>18</v>
      </c>
      <c r="P312" s="53">
        <v>9.22222222222222</v>
      </c>
      <c r="Q312" s="70">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54" t="s">
        <v>661</v>
      </c>
      <c r="F313" s="54" t="s">
        <v>62</v>
      </c>
      <c r="G313" s="54" t="s">
        <v>36</v>
      </c>
      <c r="H313" s="54">
        <f>STOCK[[#This Row],[Precio Final]]</f>
        <v>18</v>
      </c>
      <c r="I313" s="54">
        <f>STOCK[[#This Row],[Precio Venta Ideal (x1.5)]]</f>
        <v>18.7833333333333</v>
      </c>
      <c r="J313" s="71">
        <v>4</v>
      </c>
      <c r="K313" s="71">
        <f>SUMIFS(VENTAS[Cantidad],VENTAS[Código del producto Vendido],STOCK[[#This Row],[Code]])</f>
        <v>4</v>
      </c>
      <c r="L313" s="71">
        <f>STOCK[[#This Row],[Entradas]]-STOCK[[#This Row],[Salidas]]</f>
        <v>0</v>
      </c>
      <c r="M313" s="54">
        <f>STOCK[[#This Row],[Precio Final]]*10%</f>
        <v>1.8</v>
      </c>
      <c r="N313" s="54">
        <v>166</v>
      </c>
      <c r="O313" s="54">
        <v>18</v>
      </c>
      <c r="P313" s="54">
        <v>9.22222222222222</v>
      </c>
      <c r="Q313" s="71">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53" t="s">
        <v>663</v>
      </c>
      <c r="F314" s="53" t="s">
        <v>40</v>
      </c>
      <c r="G314" s="53" t="s">
        <v>36</v>
      </c>
      <c r="H314" s="53">
        <f>STOCK[[#This Row],[Precio Final]]</f>
        <v>12</v>
      </c>
      <c r="I314" s="53">
        <f>STOCK[[#This Row],[Precio Venta Ideal (x1.5)]]</f>
        <v>9.15250000000001</v>
      </c>
      <c r="J314" s="70">
        <v>4</v>
      </c>
      <c r="K314" s="70">
        <f>SUMIFS(VENTAS[Cantidad],VENTAS[Código del producto Vendido],STOCK[[#This Row],[Code]])</f>
        <v>4</v>
      </c>
      <c r="L314" s="70">
        <f>STOCK[[#This Row],[Entradas]]-STOCK[[#This Row],[Salidas]]</f>
        <v>0</v>
      </c>
      <c r="M314" s="53">
        <f>STOCK[[#This Row],[Precio Final]]*10%</f>
        <v>1.2</v>
      </c>
      <c r="N314" s="53">
        <v>81.75</v>
      </c>
      <c r="O314" s="53">
        <v>18</v>
      </c>
      <c r="P314" s="53">
        <v>4.54166666666667</v>
      </c>
      <c r="Q314" s="70">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54" t="s">
        <v>663</v>
      </c>
      <c r="F315" s="54" t="s">
        <v>62</v>
      </c>
      <c r="G315" s="54" t="s">
        <v>36</v>
      </c>
      <c r="H315" s="54">
        <f>STOCK[[#This Row],[Precio Final]]</f>
        <v>8</v>
      </c>
      <c r="I315" s="54">
        <f>STOCK[[#This Row],[Precio Venta Ideal (x1.5)]]</f>
        <v>8.55250000000001</v>
      </c>
      <c r="J315" s="71">
        <v>3</v>
      </c>
      <c r="K315" s="71">
        <f>SUMIFS(VENTAS[Cantidad],VENTAS[Código del producto Vendido],STOCK[[#This Row],[Code]])</f>
        <v>3</v>
      </c>
      <c r="L315" s="71">
        <f>STOCK[[#This Row],[Entradas]]-STOCK[[#This Row],[Salidas]]</f>
        <v>0</v>
      </c>
      <c r="M315" s="54">
        <f>STOCK[[#This Row],[Precio Final]]*10%</f>
        <v>0.8</v>
      </c>
      <c r="N315" s="54">
        <v>81.75</v>
      </c>
      <c r="O315" s="54">
        <v>18</v>
      </c>
      <c r="P315" s="54">
        <v>4.54166666666667</v>
      </c>
      <c r="Q315" s="71">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53" t="s">
        <v>663</v>
      </c>
      <c r="F316" s="53" t="s">
        <v>46</v>
      </c>
      <c r="G316" s="53" t="s">
        <v>36</v>
      </c>
      <c r="H316" s="53">
        <f>STOCK[[#This Row],[Precio Final]]</f>
        <v>8</v>
      </c>
      <c r="I316" s="53">
        <f>STOCK[[#This Row],[Precio Venta Ideal (x1.5)]]</f>
        <v>8.55250000000001</v>
      </c>
      <c r="J316" s="70">
        <v>3</v>
      </c>
      <c r="K316" s="70">
        <f>SUMIFS(VENTAS[Cantidad],VENTAS[Código del producto Vendido],STOCK[[#This Row],[Code]])</f>
        <v>3</v>
      </c>
      <c r="L316" s="70">
        <f>STOCK[[#This Row],[Entradas]]-STOCK[[#This Row],[Salidas]]</f>
        <v>0</v>
      </c>
      <c r="M316" s="53">
        <f>STOCK[[#This Row],[Precio Final]]*10%</f>
        <v>0.8</v>
      </c>
      <c r="N316" s="53">
        <v>81.75</v>
      </c>
      <c r="O316" s="53">
        <v>18</v>
      </c>
      <c r="P316" s="53">
        <v>4.54166666666667</v>
      </c>
      <c r="Q316" s="70">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54" t="s">
        <v>667</v>
      </c>
      <c r="F317" s="54" t="s">
        <v>49</v>
      </c>
      <c r="G317" s="54" t="s">
        <v>36</v>
      </c>
      <c r="H317" s="54">
        <f>STOCK[[#This Row],[Precio Final]]</f>
        <v>9</v>
      </c>
      <c r="I317" s="54">
        <f>STOCK[[#This Row],[Precio Venta Ideal (x1.5)]]</f>
        <v>9.515</v>
      </c>
      <c r="J317" s="71">
        <v>3</v>
      </c>
      <c r="K317" s="71">
        <f>SUMIFS(VENTAS[Cantidad],VENTAS[Código del producto Vendido],STOCK[[#This Row],[Code]])</f>
        <v>3</v>
      </c>
      <c r="L317" s="71">
        <f>STOCK[[#This Row],[Entradas]]-STOCK[[#This Row],[Salidas]]</f>
        <v>0</v>
      </c>
      <c r="M317" s="54">
        <f>STOCK[[#This Row],[Precio Final]]*10%</f>
        <v>0.9</v>
      </c>
      <c r="N317" s="54">
        <v>91.5</v>
      </c>
      <c r="O317" s="54">
        <v>18</v>
      </c>
      <c r="P317" s="54">
        <v>5.08333333333333</v>
      </c>
      <c r="Q317" s="71">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53" t="s">
        <v>669</v>
      </c>
      <c r="F318" s="53" t="s">
        <v>62</v>
      </c>
      <c r="G318" s="53" t="s">
        <v>36</v>
      </c>
      <c r="H318" s="53">
        <f>STOCK[[#This Row],[Precio Final]]</f>
        <v>9</v>
      </c>
      <c r="I318" s="53">
        <f>STOCK[[#This Row],[Precio Venta Ideal (x1.5)]]</f>
        <v>9.515</v>
      </c>
      <c r="J318" s="70">
        <v>3</v>
      </c>
      <c r="K318" s="70">
        <f>SUMIFS(VENTAS[Cantidad],VENTAS[Código del producto Vendido],STOCK[[#This Row],[Code]])</f>
        <v>3</v>
      </c>
      <c r="L318" s="70">
        <f>STOCK[[#This Row],[Entradas]]-STOCK[[#This Row],[Salidas]]</f>
        <v>0</v>
      </c>
      <c r="M318" s="53">
        <f>STOCK[[#This Row],[Precio Final]]*10%</f>
        <v>0.9</v>
      </c>
      <c r="N318" s="53">
        <v>91.5</v>
      </c>
      <c r="O318" s="53">
        <v>18</v>
      </c>
      <c r="P318" s="53">
        <v>5.08333333333333</v>
      </c>
      <c r="Q318" s="70">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54" t="s">
        <v>671</v>
      </c>
      <c r="F319" s="54" t="s">
        <v>40</v>
      </c>
      <c r="G319" s="54" t="s">
        <v>36</v>
      </c>
      <c r="H319" s="54">
        <f>STOCK[[#This Row],[Precio Final]]</f>
        <v>9</v>
      </c>
      <c r="I319" s="54">
        <f>STOCK[[#This Row],[Precio Venta Ideal (x1.5)]]</f>
        <v>9.515</v>
      </c>
      <c r="J319" s="71">
        <v>3</v>
      </c>
      <c r="K319" s="71">
        <f>SUMIFS(VENTAS[Cantidad],VENTAS[Código del producto Vendido],STOCK[[#This Row],[Code]])</f>
        <v>3</v>
      </c>
      <c r="L319" s="71">
        <f>STOCK[[#This Row],[Entradas]]-STOCK[[#This Row],[Salidas]]</f>
        <v>0</v>
      </c>
      <c r="M319" s="54">
        <f>STOCK[[#This Row],[Precio Final]]*10%</f>
        <v>0.9</v>
      </c>
      <c r="N319" s="54">
        <v>91.5</v>
      </c>
      <c r="O319" s="54">
        <v>18</v>
      </c>
      <c r="P319" s="54">
        <v>5.08333333333333</v>
      </c>
      <c r="Q319" s="71">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53" t="s">
        <v>673</v>
      </c>
      <c r="F320" s="53" t="s">
        <v>62</v>
      </c>
      <c r="G320" s="53" t="s">
        <v>36</v>
      </c>
      <c r="H320" s="53">
        <f>STOCK[[#This Row],[Precio Final]]</f>
        <v>12</v>
      </c>
      <c r="I320" s="53">
        <f>STOCK[[#This Row],[Precio Venta Ideal (x1.5)]]</f>
        <v>9.7025</v>
      </c>
      <c r="J320" s="70">
        <v>3</v>
      </c>
      <c r="K320" s="70">
        <f>SUMIFS(VENTAS[Cantidad],VENTAS[Código del producto Vendido],STOCK[[#This Row],[Code]])</f>
        <v>1</v>
      </c>
      <c r="L320" s="70">
        <f>STOCK[[#This Row],[Entradas]]-STOCK[[#This Row],[Salidas]]</f>
        <v>2</v>
      </c>
      <c r="M320" s="53">
        <f>STOCK[[#This Row],[Precio Final]]*10%</f>
        <v>1.2</v>
      </c>
      <c r="N320" s="53">
        <v>88.35</v>
      </c>
      <c r="O320" s="53">
        <v>18</v>
      </c>
      <c r="P320" s="53">
        <v>4.90833333333333</v>
      </c>
      <c r="Q320" s="70">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54" t="s">
        <v>673</v>
      </c>
      <c r="F321" s="54" t="s">
        <v>49</v>
      </c>
      <c r="G321" s="54" t="s">
        <v>36</v>
      </c>
      <c r="H321" s="54">
        <f>STOCK[[#This Row],[Precio Final]]</f>
        <v>9</v>
      </c>
      <c r="I321" s="54">
        <f>STOCK[[#This Row],[Precio Venta Ideal (x1.5)]]</f>
        <v>9.2525</v>
      </c>
      <c r="J321" s="71">
        <v>3</v>
      </c>
      <c r="K321" s="71">
        <f>SUMIFS(VENTAS[Cantidad],VENTAS[Código del producto Vendido],STOCK[[#This Row],[Code]])</f>
        <v>3</v>
      </c>
      <c r="L321" s="71">
        <f>STOCK[[#This Row],[Entradas]]-STOCK[[#This Row],[Salidas]]</f>
        <v>0</v>
      </c>
      <c r="M321" s="54">
        <f>STOCK[[#This Row],[Precio Final]]*10%</f>
        <v>0.9</v>
      </c>
      <c r="N321" s="54">
        <v>88.35</v>
      </c>
      <c r="O321" s="54">
        <v>18</v>
      </c>
      <c r="P321" s="54">
        <v>4.90833333333333</v>
      </c>
      <c r="Q321" s="71">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53" t="s">
        <v>676</v>
      </c>
      <c r="F322" s="53" t="s">
        <v>62</v>
      </c>
      <c r="G322" s="53" t="s">
        <v>36</v>
      </c>
      <c r="H322" s="53">
        <f>STOCK[[#This Row],[Precio Final]]</f>
        <v>18</v>
      </c>
      <c r="I322" s="53">
        <f>STOCK[[#This Row],[Precio Venta Ideal (x1.5)]]</f>
        <v>18.7833333333333</v>
      </c>
      <c r="J322" s="70">
        <v>4</v>
      </c>
      <c r="K322" s="70">
        <f>SUMIFS(VENTAS[Cantidad],VENTAS[Código del producto Vendido],STOCK[[#This Row],[Code]])</f>
        <v>4</v>
      </c>
      <c r="L322" s="70">
        <f>STOCK[[#This Row],[Entradas]]-STOCK[[#This Row],[Salidas]]</f>
        <v>0</v>
      </c>
      <c r="M322" s="53">
        <f>STOCK[[#This Row],[Precio Final]]*10%</f>
        <v>1.8</v>
      </c>
      <c r="N322" s="53">
        <v>166</v>
      </c>
      <c r="O322" s="53">
        <v>18</v>
      </c>
      <c r="P322" s="53">
        <v>9.22222222222222</v>
      </c>
      <c r="Q322" s="70">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54" t="s">
        <v>678</v>
      </c>
      <c r="F323" s="54" t="s">
        <v>49</v>
      </c>
      <c r="G323" s="54" t="s">
        <v>36</v>
      </c>
      <c r="H323" s="54">
        <f>STOCK[[#This Row],[Precio Final]]</f>
        <v>12</v>
      </c>
      <c r="I323" s="54">
        <f>STOCK[[#This Row],[Precio Venta Ideal (x1.5)]]</f>
        <v>13.09</v>
      </c>
      <c r="J323" s="71">
        <v>4</v>
      </c>
      <c r="K323" s="71">
        <f>SUMIFS(VENTAS[Cantidad],VENTAS[Código del producto Vendido],STOCK[[#This Row],[Code]])</f>
        <v>2</v>
      </c>
      <c r="L323" s="71">
        <f>STOCK[[#This Row],[Entradas]]-STOCK[[#This Row],[Salidas]]</f>
        <v>2</v>
      </c>
      <c r="M323" s="54">
        <f>STOCK[[#This Row],[Precio Final]]*10%</f>
        <v>1.2</v>
      </c>
      <c r="N323" s="54">
        <v>129</v>
      </c>
      <c r="O323" s="54">
        <v>18</v>
      </c>
      <c r="P323" s="54">
        <v>7.16666666666667</v>
      </c>
      <c r="Q323" s="71">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53" t="s">
        <v>678</v>
      </c>
      <c r="F324" s="53" t="s">
        <v>46</v>
      </c>
      <c r="G324" s="53" t="s">
        <v>36</v>
      </c>
      <c r="H324" s="53">
        <f>STOCK[[#This Row],[Precio Final]]</f>
        <v>12</v>
      </c>
      <c r="I324" s="53">
        <f>STOCK[[#This Row],[Precio Venta Ideal (x1.5)]]</f>
        <v>13.09</v>
      </c>
      <c r="J324" s="70">
        <v>4</v>
      </c>
      <c r="K324" s="70">
        <f>SUMIFS(VENTAS[Cantidad],VENTAS[Código del producto Vendido],STOCK[[#This Row],[Code]])</f>
        <v>2</v>
      </c>
      <c r="L324" s="70">
        <f>STOCK[[#This Row],[Entradas]]-STOCK[[#This Row],[Salidas]]</f>
        <v>2</v>
      </c>
      <c r="M324" s="53">
        <f>STOCK[[#This Row],[Precio Final]]*10%</f>
        <v>1.2</v>
      </c>
      <c r="N324" s="53">
        <v>129</v>
      </c>
      <c r="O324" s="53">
        <v>18</v>
      </c>
      <c r="P324" s="53">
        <v>7.16666666666667</v>
      </c>
      <c r="Q324" s="70">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54" t="s">
        <v>682</v>
      </c>
      <c r="F325" s="54" t="s">
        <v>46</v>
      </c>
      <c r="G325" s="54" t="s">
        <v>36</v>
      </c>
      <c r="H325" s="54">
        <f>STOCK[[#This Row],[Precio Final]]</f>
        <v>20</v>
      </c>
      <c r="I325" s="54">
        <f>STOCK[[#This Row],[Precio Venta Ideal (x1.5)]]</f>
        <v>19.0833333333333</v>
      </c>
      <c r="J325" s="71">
        <v>3</v>
      </c>
      <c r="K325" s="71">
        <f>SUMIFS(VENTAS[Cantidad],VENTAS[Código del producto Vendido],STOCK[[#This Row],[Code]])</f>
        <v>3</v>
      </c>
      <c r="L325" s="71">
        <f>STOCK[[#This Row],[Entradas]]-STOCK[[#This Row],[Salidas]]</f>
        <v>0</v>
      </c>
      <c r="M325" s="54">
        <f>STOCK[[#This Row],[Precio Final]]*10%</f>
        <v>2</v>
      </c>
      <c r="N325" s="54">
        <v>166</v>
      </c>
      <c r="O325" s="54">
        <v>18</v>
      </c>
      <c r="P325" s="54">
        <v>9.22222222222222</v>
      </c>
      <c r="Q325" s="71">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53" t="s">
        <v>684</v>
      </c>
      <c r="F326" s="53" t="s">
        <v>49</v>
      </c>
      <c r="G326" s="53" t="s">
        <v>36</v>
      </c>
      <c r="H326" s="53">
        <f>STOCK[[#This Row],[Precio Final]]</f>
        <v>20</v>
      </c>
      <c r="I326" s="53">
        <f>STOCK[[#This Row],[Precio Venta Ideal (x1.5)]]</f>
        <v>19.0833333333333</v>
      </c>
      <c r="J326" s="70">
        <v>3</v>
      </c>
      <c r="K326" s="70">
        <f>SUMIFS(VENTAS[Cantidad],VENTAS[Código del producto Vendido],STOCK[[#This Row],[Code]])</f>
        <v>3</v>
      </c>
      <c r="L326" s="70">
        <f>STOCK[[#This Row],[Entradas]]-STOCK[[#This Row],[Salidas]]</f>
        <v>0</v>
      </c>
      <c r="M326" s="53">
        <f>STOCK[[#This Row],[Precio Final]]*10%</f>
        <v>2</v>
      </c>
      <c r="N326" s="53">
        <v>166</v>
      </c>
      <c r="O326" s="53">
        <v>18</v>
      </c>
      <c r="P326" s="53">
        <v>9.22222222222222</v>
      </c>
      <c r="Q326" s="70">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54" t="s">
        <v>686</v>
      </c>
      <c r="F327" s="54" t="s">
        <v>46</v>
      </c>
      <c r="G327" s="54" t="s">
        <v>36</v>
      </c>
      <c r="H327" s="54">
        <f>STOCK[[#This Row],[Precio Final]]</f>
        <v>9</v>
      </c>
      <c r="I327" s="54">
        <f>STOCK[[#This Row],[Precio Venta Ideal (x1.5)]]</f>
        <v>9.2525</v>
      </c>
      <c r="J327" s="71">
        <v>3</v>
      </c>
      <c r="K327" s="71">
        <f>SUMIFS(VENTAS[Cantidad],VENTAS[Código del producto Vendido],STOCK[[#This Row],[Code]])</f>
        <v>3</v>
      </c>
      <c r="L327" s="71">
        <f>STOCK[[#This Row],[Entradas]]-STOCK[[#This Row],[Salidas]]</f>
        <v>0</v>
      </c>
      <c r="M327" s="54">
        <f>STOCK[[#This Row],[Precio Final]]*10%</f>
        <v>0.9</v>
      </c>
      <c r="N327" s="54">
        <v>88.35</v>
      </c>
      <c r="O327" s="54">
        <v>18</v>
      </c>
      <c r="P327" s="54">
        <v>4.90833333333333</v>
      </c>
      <c r="Q327" s="71">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53" t="s">
        <v>688</v>
      </c>
      <c r="F328" s="53" t="s">
        <v>49</v>
      </c>
      <c r="G328" s="53" t="s">
        <v>36</v>
      </c>
      <c r="H328" s="53">
        <f>STOCK[[#This Row],[Precio Final]]</f>
        <v>20</v>
      </c>
      <c r="I328" s="53">
        <f>STOCK[[#This Row],[Precio Venta Ideal (x1.5)]]</f>
        <v>19.25</v>
      </c>
      <c r="J328" s="70">
        <v>2</v>
      </c>
      <c r="K328" s="70">
        <f>SUMIFS(VENTAS[Cantidad],VENTAS[Código del producto Vendido],STOCK[[#This Row],[Code]])</f>
        <v>0</v>
      </c>
      <c r="L328" s="70">
        <f>STOCK[[#This Row],[Entradas]]-STOCK[[#This Row],[Salidas]]</f>
        <v>2</v>
      </c>
      <c r="M328" s="53">
        <f>STOCK[[#This Row],[Precio Final]]*10%</f>
        <v>2</v>
      </c>
      <c r="N328" s="53">
        <v>123</v>
      </c>
      <c r="O328" s="53">
        <v>18</v>
      </c>
      <c r="P328" s="53">
        <v>6.83333333333333</v>
      </c>
      <c r="Q328" s="70">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3" t="str">
        <f>_xlfn.DISPIMG("ID_DBBE60A7E968485B9EC6AFFF212E77E0",1)</f>
        <v>=DISPIMG("ID_DBBE60A7E968485B9EC6AFFF212E77E0",1)</v>
      </c>
      <c r="C329" s="53" t="s">
        <v>32</v>
      </c>
      <c r="D329" s="54" t="s">
        <v>196</v>
      </c>
      <c r="E329" s="54" t="s">
        <v>690</v>
      </c>
      <c r="F329" s="53" t="s">
        <v>49</v>
      </c>
      <c r="H329" s="54">
        <f>STOCK[[#This Row],[Precio Final]]</f>
        <v>15</v>
      </c>
      <c r="I329" s="53">
        <f>STOCK[[#This Row],[Precio Venta Ideal (x1.5)]]</f>
        <v>12.825</v>
      </c>
      <c r="J329" s="70">
        <v>1</v>
      </c>
      <c r="K329" s="70">
        <f>SUMIFS(VENTAS[Cantidad],VENTAS[Código del producto Vendido],STOCK[[#This Row],[Code]])</f>
        <v>0</v>
      </c>
      <c r="L329" s="70">
        <f>STOCK[[#This Row],[Entradas]]-STOCK[[#This Row],[Salidas]]</f>
        <v>1</v>
      </c>
      <c r="M329" s="53">
        <f>STOCK[[#This Row],[Precio Final]]*10%</f>
        <v>1.5</v>
      </c>
      <c r="N329" s="53">
        <v>81</v>
      </c>
      <c r="O329" s="54">
        <v>18</v>
      </c>
      <c r="P329" s="53">
        <v>4.5</v>
      </c>
      <c r="Q329" s="70">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3" t="str">
        <f>_xlfn.DISPIMG("ID_DBBE60A7E968485B9EC6AFFF212E77E0",1)</f>
        <v>=DISPIMG("ID_DBBE60A7E968485B9EC6AFFF212E77E0",1)</v>
      </c>
      <c r="C330" s="54" t="s">
        <v>32</v>
      </c>
      <c r="D330" s="54" t="s">
        <v>196</v>
      </c>
      <c r="E330" s="54" t="s">
        <v>690</v>
      </c>
      <c r="F330" s="54" t="s">
        <v>62</v>
      </c>
      <c r="G330" s="54" t="s">
        <v>36</v>
      </c>
      <c r="H330" s="54">
        <f>STOCK[[#This Row],[Precio Final]]</f>
        <v>15</v>
      </c>
      <c r="I330" s="54">
        <f>STOCK[[#This Row],[Precio Venta Ideal (x1.5)]]</f>
        <v>12.825</v>
      </c>
      <c r="J330" s="71">
        <v>1</v>
      </c>
      <c r="K330" s="71">
        <f>SUMIFS(VENTAS[Cantidad],VENTAS[Código del producto Vendido],STOCK[[#This Row],[Code]])</f>
        <v>1</v>
      </c>
      <c r="L330" s="71">
        <f>STOCK[[#This Row],[Entradas]]-STOCK[[#This Row],[Salidas]]</f>
        <v>0</v>
      </c>
      <c r="M330" s="54">
        <f>STOCK[[#This Row],[Precio Final]]*10%</f>
        <v>1.5</v>
      </c>
      <c r="N330" s="54">
        <v>81</v>
      </c>
      <c r="O330" s="54">
        <v>18</v>
      </c>
      <c r="P330" s="54">
        <v>4.5</v>
      </c>
      <c r="Q330" s="71">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53" t="s">
        <v>693</v>
      </c>
      <c r="F331" s="53" t="s">
        <v>40</v>
      </c>
      <c r="G331" s="53" t="s">
        <v>36</v>
      </c>
      <c r="H331" s="53">
        <f>STOCK[[#This Row],[Precio Final]]</f>
        <v>11</v>
      </c>
      <c r="I331" s="53">
        <f>STOCK[[#This Row],[Precio Venta Ideal (x1.5)]]</f>
        <v>11.975</v>
      </c>
      <c r="J331" s="70">
        <v>2</v>
      </c>
      <c r="K331" s="70">
        <f>SUMIFS(VENTAS[Cantidad],VENTAS[Código del producto Vendido],STOCK[[#This Row],[Code]])</f>
        <v>2</v>
      </c>
      <c r="L331" s="70">
        <f>STOCK[[#This Row],[Entradas]]-STOCK[[#This Row],[Salidas]]</f>
        <v>0</v>
      </c>
      <c r="M331" s="53">
        <f>STOCK[[#This Row],[Precio Final]]*10%</f>
        <v>1.1</v>
      </c>
      <c r="N331" s="53">
        <v>78</v>
      </c>
      <c r="O331" s="53">
        <v>18</v>
      </c>
      <c r="P331" s="53">
        <v>4.33333333333333</v>
      </c>
      <c r="Q331" s="70">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54" t="s">
        <v>695</v>
      </c>
      <c r="F332" s="54" t="s">
        <v>62</v>
      </c>
      <c r="G332" s="54" t="s">
        <v>36</v>
      </c>
      <c r="H332" s="54">
        <f>STOCK[[#This Row],[Precio Final]]</f>
        <v>5</v>
      </c>
      <c r="I332" s="54">
        <f>STOCK[[#This Row],[Precio Venta Ideal (x1.5)]]</f>
        <v>11.4083333333333</v>
      </c>
      <c r="J332" s="71">
        <v>2</v>
      </c>
      <c r="K332" s="71">
        <f>SUMIFS(VENTAS[Cantidad],VENTAS[Código del producto Vendido],STOCK[[#This Row],[Code]])</f>
        <v>2</v>
      </c>
      <c r="L332" s="71">
        <f>STOCK[[#This Row],[Entradas]]-STOCK[[#This Row],[Salidas]]</f>
        <v>0</v>
      </c>
      <c r="M332" s="54">
        <f>STOCK[[#This Row],[Precio Final]]*10%</f>
        <v>0.5</v>
      </c>
      <c r="N332" s="54">
        <v>82</v>
      </c>
      <c r="O332" s="54">
        <v>18</v>
      </c>
      <c r="P332" s="54">
        <v>4.55555555555556</v>
      </c>
      <c r="Q332" s="71">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53" t="s">
        <v>697</v>
      </c>
      <c r="F333" s="53" t="s">
        <v>211</v>
      </c>
      <c r="G333" s="53" t="s">
        <v>36</v>
      </c>
      <c r="H333" s="53">
        <f>STOCK[[#This Row],[Precio Final]]</f>
        <v>10</v>
      </c>
      <c r="I333" s="53">
        <f>STOCK[[#This Row],[Precio Venta Ideal (x1.5)]]</f>
        <v>12.1583333333333</v>
      </c>
      <c r="J333" s="70">
        <v>2</v>
      </c>
      <c r="K333" s="70">
        <f>SUMIFS(VENTAS[Cantidad],VENTAS[Código del producto Vendido],STOCK[[#This Row],[Code]])</f>
        <v>2</v>
      </c>
      <c r="L333" s="70">
        <f>STOCK[[#This Row],[Entradas]]-STOCK[[#This Row],[Salidas]]</f>
        <v>0</v>
      </c>
      <c r="M333" s="53">
        <f>STOCK[[#This Row],[Precio Final]]*10%</f>
        <v>1</v>
      </c>
      <c r="N333" s="53">
        <v>82</v>
      </c>
      <c r="O333" s="53">
        <v>18</v>
      </c>
      <c r="P333" s="53">
        <v>4.55555555555556</v>
      </c>
      <c r="Q333" s="70">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54" t="s">
        <v>699</v>
      </c>
      <c r="F334" s="54" t="s">
        <v>40</v>
      </c>
      <c r="G334" s="54" t="s">
        <v>36</v>
      </c>
      <c r="H334" s="54">
        <f>STOCK[[#This Row],[Precio Final]]</f>
        <v>10</v>
      </c>
      <c r="I334" s="54">
        <f>STOCK[[#This Row],[Precio Venta Ideal (x1.5)]]</f>
        <v>12.1583333333333</v>
      </c>
      <c r="J334" s="71">
        <v>2</v>
      </c>
      <c r="K334" s="71">
        <f>SUMIFS(VENTAS[Cantidad],VENTAS[Código del producto Vendido],STOCK[[#This Row],[Code]])</f>
        <v>2</v>
      </c>
      <c r="L334" s="71">
        <f>STOCK[[#This Row],[Entradas]]-STOCK[[#This Row],[Salidas]]</f>
        <v>0</v>
      </c>
      <c r="M334" s="54">
        <f>STOCK[[#This Row],[Precio Final]]*10%</f>
        <v>1</v>
      </c>
      <c r="N334" s="54">
        <v>82</v>
      </c>
      <c r="O334" s="54">
        <v>18</v>
      </c>
      <c r="P334" s="54">
        <v>4.55555555555556</v>
      </c>
      <c r="Q334" s="71">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53" t="s">
        <v>701</v>
      </c>
      <c r="F335" s="53" t="s">
        <v>49</v>
      </c>
      <c r="G335" s="53" t="s">
        <v>36</v>
      </c>
      <c r="H335" s="53">
        <f>STOCK[[#This Row],[Precio Final]]</f>
        <v>15</v>
      </c>
      <c r="I335" s="53">
        <f>STOCK[[#This Row],[Precio Venta Ideal (x1.5)]]</f>
        <v>12.9083333333333</v>
      </c>
      <c r="J335" s="70">
        <v>2</v>
      </c>
      <c r="K335" s="70">
        <f>SUMIFS(VENTAS[Cantidad],VENTAS[Código del producto Vendido],STOCK[[#This Row],[Code]])</f>
        <v>0</v>
      </c>
      <c r="L335" s="70">
        <f>STOCK[[#This Row],[Entradas]]-STOCK[[#This Row],[Salidas]]</f>
        <v>2</v>
      </c>
      <c r="M335" s="53">
        <f>STOCK[[#This Row],[Precio Final]]*10%</f>
        <v>1.5</v>
      </c>
      <c r="N335" s="53">
        <v>82</v>
      </c>
      <c r="O335" s="53">
        <v>18</v>
      </c>
      <c r="P335" s="53">
        <v>4.55555555555556</v>
      </c>
      <c r="Q335" s="70">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54" t="s">
        <v>703</v>
      </c>
      <c r="F336" s="54" t="s">
        <v>40</v>
      </c>
      <c r="G336" s="54" t="s">
        <v>704</v>
      </c>
      <c r="H336" s="54">
        <f>STOCK[[#This Row],[Precio Final]]</f>
        <v>18</v>
      </c>
      <c r="I336" s="54">
        <f>STOCK[[#This Row],[Precio Venta Ideal (x1.5)]]</f>
        <v>28.305</v>
      </c>
      <c r="J336" s="71">
        <v>1</v>
      </c>
      <c r="K336" s="71">
        <f>SUMIFS(VENTAS[Cantidad],VENTAS[Código del producto Vendido],STOCK[[#This Row],[Code]])</f>
        <v>1</v>
      </c>
      <c r="L336" s="71">
        <f>STOCK[[#This Row],[Entradas]]-STOCK[[#This Row],[Salidas]]</f>
        <v>0</v>
      </c>
      <c r="M336" s="54">
        <f>STOCK[[#This Row],[Precio Final]]*10%</f>
        <v>1.8</v>
      </c>
      <c r="N336" s="54">
        <v>248</v>
      </c>
      <c r="O336" s="54">
        <v>18</v>
      </c>
      <c r="P336" s="54">
        <v>15.57</v>
      </c>
      <c r="Q336" s="71">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53" t="s">
        <v>707</v>
      </c>
      <c r="F337" s="53" t="s">
        <v>40</v>
      </c>
      <c r="G337" s="53" t="s">
        <v>704</v>
      </c>
      <c r="H337" s="53">
        <f>STOCK[[#This Row],[Precio Final]]</f>
        <v>15</v>
      </c>
      <c r="I337" s="53">
        <f>STOCK[[#This Row],[Precio Venta Ideal (x1.5)]]</f>
        <v>14.85</v>
      </c>
      <c r="J337" s="70">
        <v>1</v>
      </c>
      <c r="K337" s="70">
        <f>SUMIFS(VENTAS[Cantidad],VENTAS[Código del producto Vendido],STOCK[[#This Row],[Code]])</f>
        <v>0</v>
      </c>
      <c r="L337" s="70">
        <f>STOCK[[#This Row],[Entradas]]-STOCK[[#This Row],[Salidas]]</f>
        <v>1</v>
      </c>
      <c r="M337" s="53">
        <f>STOCK[[#This Row],[Precio Final]]*10%</f>
        <v>1.5</v>
      </c>
      <c r="N337" s="53">
        <v>129</v>
      </c>
      <c r="O337" s="53">
        <v>18</v>
      </c>
      <c r="P337" s="53">
        <v>8</v>
      </c>
      <c r="Q337" s="70">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54" t="s">
        <v>709</v>
      </c>
      <c r="F338" s="54" t="s">
        <v>40</v>
      </c>
      <c r="G338" s="54" t="s">
        <v>704</v>
      </c>
      <c r="H338" s="54">
        <f>STOCK[[#This Row],[Precio Final]]</f>
        <v>17</v>
      </c>
      <c r="I338" s="54">
        <f>STOCK[[#This Row],[Precio Venta Ideal (x1.5)]]</f>
        <v>19.65</v>
      </c>
      <c r="J338" s="71">
        <v>1</v>
      </c>
      <c r="K338" s="71">
        <f>SUMIFS(VENTAS[Cantidad],VENTAS[Código del producto Vendido],STOCK[[#This Row],[Code]])</f>
        <v>1</v>
      </c>
      <c r="L338" s="71">
        <f>STOCK[[#This Row],[Entradas]]-STOCK[[#This Row],[Salidas]]</f>
        <v>0</v>
      </c>
      <c r="M338" s="54">
        <f>STOCK[[#This Row],[Precio Final]]*10%</f>
        <v>1.7</v>
      </c>
      <c r="N338" s="54">
        <v>198</v>
      </c>
      <c r="O338" s="54">
        <v>18</v>
      </c>
      <c r="P338" s="54">
        <v>11</v>
      </c>
      <c r="Q338" s="71">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53" t="s">
        <v>712</v>
      </c>
      <c r="F339" s="53" t="s">
        <v>40</v>
      </c>
      <c r="G339" s="53" t="s">
        <v>704</v>
      </c>
      <c r="H339" s="53">
        <f>STOCK[[#This Row],[Precio Final]]</f>
        <v>50</v>
      </c>
      <c r="I339" s="53">
        <f>STOCK[[#This Row],[Precio Venta Ideal (x1.5)]]</f>
        <v>54.1666666666667</v>
      </c>
      <c r="J339" s="70">
        <v>1</v>
      </c>
      <c r="K339" s="70">
        <f>SUMIFS(VENTAS[Cantidad],VENTAS[Código del producto Vendido],STOCK[[#This Row],[Code]])</f>
        <v>0</v>
      </c>
      <c r="L339" s="70">
        <f>STOCK[[#This Row],[Entradas]]-STOCK[[#This Row],[Salidas]]</f>
        <v>1</v>
      </c>
      <c r="M339" s="53">
        <f>STOCK[[#This Row],[Precio Final]]*10%</f>
        <v>5</v>
      </c>
      <c r="N339" s="53">
        <v>497</v>
      </c>
      <c r="O339" s="53">
        <v>18</v>
      </c>
      <c r="P339" s="53">
        <v>27.6111111111111</v>
      </c>
      <c r="Q339" s="70">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54" t="s">
        <v>715</v>
      </c>
      <c r="F340" s="54" t="s">
        <v>716</v>
      </c>
      <c r="G340" s="54" t="s">
        <v>704</v>
      </c>
      <c r="H340" s="54">
        <f>STOCK[[#This Row],[Precio Final]]</f>
        <v>20</v>
      </c>
      <c r="I340" s="54">
        <f>STOCK[[#This Row],[Precio Venta Ideal (x1.5)]]</f>
        <v>22.4166666666667</v>
      </c>
      <c r="J340" s="71">
        <v>2</v>
      </c>
      <c r="K340" s="71">
        <f>SUMIFS(VENTAS[Cantidad],VENTAS[Código del producto Vendido],STOCK[[#This Row],[Code]])</f>
        <v>0</v>
      </c>
      <c r="L340" s="71">
        <f>STOCK[[#This Row],[Entradas]]-STOCK[[#This Row],[Salidas]]</f>
        <v>2</v>
      </c>
      <c r="M340" s="54">
        <f>STOCK[[#This Row],[Precio Final]]*10%</f>
        <v>2</v>
      </c>
      <c r="N340" s="54">
        <v>170</v>
      </c>
      <c r="O340" s="54">
        <v>18</v>
      </c>
      <c r="P340" s="54">
        <v>9.44444444444444</v>
      </c>
      <c r="Q340" s="71">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53" t="s">
        <v>715</v>
      </c>
      <c r="F341" s="53" t="s">
        <v>62</v>
      </c>
      <c r="G341" s="53" t="s">
        <v>704</v>
      </c>
      <c r="H341" s="53">
        <f>STOCK[[#This Row],[Precio Final]]</f>
        <v>20</v>
      </c>
      <c r="I341" s="53">
        <f>STOCK[[#This Row],[Precio Venta Ideal (x1.5)]]</f>
        <v>22.4166666666667</v>
      </c>
      <c r="J341" s="70">
        <v>3</v>
      </c>
      <c r="K341" s="70">
        <f>SUMIFS(VENTAS[Cantidad],VENTAS[Código del producto Vendido],STOCK[[#This Row],[Code]])</f>
        <v>1</v>
      </c>
      <c r="L341" s="70">
        <f>STOCK[[#This Row],[Entradas]]-STOCK[[#This Row],[Salidas]]</f>
        <v>2</v>
      </c>
      <c r="M341" s="53">
        <f>STOCK[[#This Row],[Precio Final]]*10%</f>
        <v>2</v>
      </c>
      <c r="N341" s="53">
        <v>170</v>
      </c>
      <c r="O341" s="53">
        <v>18</v>
      </c>
      <c r="P341" s="53">
        <v>9.44444444444444</v>
      </c>
      <c r="Q341" s="70">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54" t="s">
        <v>719</v>
      </c>
      <c r="F342" s="54" t="s">
        <v>720</v>
      </c>
      <c r="G342" s="54" t="s">
        <v>704</v>
      </c>
      <c r="H342" s="54">
        <f>STOCK[[#This Row],[Precio Final]]</f>
        <v>15</v>
      </c>
      <c r="I342" s="54">
        <f>STOCK[[#This Row],[Precio Venta Ideal (x1.5)]]</f>
        <v>10.8333333333333</v>
      </c>
      <c r="J342" s="71">
        <v>4</v>
      </c>
      <c r="K342" s="71">
        <f>SUMIFS(VENTAS[Cantidad],VENTAS[Código del producto Vendido],STOCK[[#This Row],[Code]])</f>
        <v>4</v>
      </c>
      <c r="L342" s="71">
        <f>STOCK[[#This Row],[Entradas]]-STOCK[[#This Row],[Salidas]]</f>
        <v>0</v>
      </c>
      <c r="M342" s="54">
        <f>STOCK[[#This Row],[Precio Final]]*10%</f>
        <v>1.5</v>
      </c>
      <c r="N342" s="54">
        <v>85</v>
      </c>
      <c r="O342" s="54">
        <v>18</v>
      </c>
      <c r="P342" s="54">
        <v>4.72222222222222</v>
      </c>
      <c r="Q342" s="71">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53" t="s">
        <v>722</v>
      </c>
      <c r="F343" s="53" t="s">
        <v>46</v>
      </c>
      <c r="G343" s="53" t="s">
        <v>704</v>
      </c>
      <c r="H343" s="53">
        <f>STOCK[[#This Row],[Precio Final]]</f>
        <v>9</v>
      </c>
      <c r="I343" s="53">
        <f>STOCK[[#This Row],[Precio Venta Ideal (x1.5)]]</f>
        <v>8.88333333333333</v>
      </c>
      <c r="J343" s="70">
        <v>2</v>
      </c>
      <c r="K343" s="70">
        <f>SUMIFS(VENTAS[Cantidad],VENTAS[Código del producto Vendido],STOCK[[#This Row],[Code]])</f>
        <v>2</v>
      </c>
      <c r="L343" s="70">
        <f>STOCK[[#This Row],[Entradas]]-STOCK[[#This Row],[Salidas]]</f>
        <v>0</v>
      </c>
      <c r="M343" s="53">
        <f>STOCK[[#This Row],[Precio Final]]*10%</f>
        <v>0.9</v>
      </c>
      <c r="N343" s="53">
        <v>85</v>
      </c>
      <c r="O343" s="53">
        <v>18</v>
      </c>
      <c r="P343" s="53">
        <v>4.72222222222222</v>
      </c>
      <c r="Q343" s="70">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54" t="s">
        <v>722</v>
      </c>
      <c r="F344" s="54" t="s">
        <v>62</v>
      </c>
      <c r="G344" s="54" t="s">
        <v>704</v>
      </c>
      <c r="H344" s="54">
        <f>STOCK[[#This Row],[Precio Final]]</f>
        <v>9</v>
      </c>
      <c r="I344" s="54">
        <f>STOCK[[#This Row],[Precio Venta Ideal (x1.5)]]</f>
        <v>8.88333333333333</v>
      </c>
      <c r="J344" s="71">
        <v>5</v>
      </c>
      <c r="K344" s="71">
        <f>SUMIFS(VENTAS[Cantidad],VENTAS[Código del producto Vendido],STOCK[[#This Row],[Code]])</f>
        <v>5</v>
      </c>
      <c r="L344" s="71">
        <f>STOCK[[#This Row],[Entradas]]-STOCK[[#This Row],[Salidas]]</f>
        <v>0</v>
      </c>
      <c r="M344" s="54">
        <f>STOCK[[#This Row],[Precio Final]]*10%</f>
        <v>0.9</v>
      </c>
      <c r="N344" s="54">
        <v>85</v>
      </c>
      <c r="O344" s="54">
        <v>18</v>
      </c>
      <c r="P344" s="54">
        <v>4.72222222222222</v>
      </c>
      <c r="Q344" s="71">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53" t="s">
        <v>722</v>
      </c>
      <c r="F345" s="53" t="s">
        <v>46</v>
      </c>
      <c r="G345" s="53" t="s">
        <v>704</v>
      </c>
      <c r="H345" s="53">
        <f>STOCK[[#This Row],[Precio Final]]</f>
        <v>9</v>
      </c>
      <c r="I345" s="53">
        <f>STOCK[[#This Row],[Precio Venta Ideal (x1.5)]]</f>
        <v>8.88333333333333</v>
      </c>
      <c r="J345" s="70">
        <v>1</v>
      </c>
      <c r="K345" s="70">
        <f>SUMIFS(VENTAS[Cantidad],VENTAS[Código del producto Vendido],STOCK[[#This Row],[Code]])</f>
        <v>1</v>
      </c>
      <c r="L345" s="70">
        <f>STOCK[[#This Row],[Entradas]]-STOCK[[#This Row],[Salidas]]</f>
        <v>0</v>
      </c>
      <c r="M345" s="53">
        <f>STOCK[[#This Row],[Precio Final]]*10%</f>
        <v>0.9</v>
      </c>
      <c r="N345" s="53">
        <v>85</v>
      </c>
      <c r="O345" s="53">
        <v>18</v>
      </c>
      <c r="P345" s="53">
        <v>4.72222222222222</v>
      </c>
      <c r="Q345" s="70">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54" t="s">
        <v>727</v>
      </c>
      <c r="F346" s="54" t="s">
        <v>525</v>
      </c>
      <c r="G346" s="54" t="s">
        <v>704</v>
      </c>
      <c r="H346" s="54">
        <f>STOCK[[#This Row],[Precio Final]]</f>
        <v>12</v>
      </c>
      <c r="I346" s="54">
        <f>STOCK[[#This Row],[Precio Venta Ideal (x1.5)]]</f>
        <v>9.3</v>
      </c>
      <c r="J346" s="71">
        <v>2</v>
      </c>
      <c r="K346" s="71">
        <f>SUMIFS(VENTAS[Cantidad],VENTAS[Código del producto Vendido],STOCK[[#This Row],[Code]])</f>
        <v>0</v>
      </c>
      <c r="L346" s="71">
        <f>STOCK[[#This Row],[Entradas]]-STOCK[[#This Row],[Salidas]]</f>
        <v>2</v>
      </c>
      <c r="M346" s="54">
        <f>STOCK[[#This Row],[Precio Final]]*10%</f>
        <v>1.2</v>
      </c>
      <c r="N346" s="54">
        <v>0</v>
      </c>
      <c r="O346" s="54">
        <v>0</v>
      </c>
      <c r="P346" s="54">
        <v>5</v>
      </c>
      <c r="Q346" s="71">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53" t="s">
        <v>722</v>
      </c>
      <c r="F347" s="53" t="s">
        <v>62</v>
      </c>
      <c r="G347" s="53" t="s">
        <v>704</v>
      </c>
      <c r="H347" s="53">
        <f>STOCK[[#This Row],[Precio Final]]</f>
        <v>9</v>
      </c>
      <c r="I347" s="53">
        <f>STOCK[[#This Row],[Precio Venta Ideal (x1.5)]]</f>
        <v>8.88333333333333</v>
      </c>
      <c r="J347" s="70">
        <v>12</v>
      </c>
      <c r="K347" s="70">
        <f>SUMIFS(VENTAS[Cantidad],VENTAS[Código del producto Vendido],STOCK[[#This Row],[Code]])</f>
        <v>12</v>
      </c>
      <c r="L347" s="70">
        <f>STOCK[[#This Row],[Entradas]]-STOCK[[#This Row],[Salidas]]</f>
        <v>0</v>
      </c>
      <c r="M347" s="53">
        <f>STOCK[[#This Row],[Precio Final]]*10%</f>
        <v>0.9</v>
      </c>
      <c r="N347" s="53">
        <v>85</v>
      </c>
      <c r="O347" s="53">
        <v>18</v>
      </c>
      <c r="P347" s="53">
        <v>4.72222222222222</v>
      </c>
      <c r="Q347" s="70">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54" t="s">
        <v>730</v>
      </c>
      <c r="F348" s="54" t="s">
        <v>62</v>
      </c>
      <c r="G348" s="54" t="s">
        <v>704</v>
      </c>
      <c r="H348" s="54">
        <f>STOCK[[#This Row],[Precio Final]]</f>
        <v>19</v>
      </c>
      <c r="I348" s="54">
        <f>STOCK[[#This Row],[Precio Venta Ideal (x1.5)]]</f>
        <v>20.7666666666667</v>
      </c>
      <c r="J348" s="71">
        <v>1</v>
      </c>
      <c r="K348" s="71">
        <f>SUMIFS(VENTAS[Cantidad],VENTAS[Código del producto Vendido],STOCK[[#This Row],[Code]])</f>
        <v>1</v>
      </c>
      <c r="L348" s="71">
        <f>STOCK[[#This Row],[Entradas]]-STOCK[[#This Row],[Salidas]]</f>
        <v>0</v>
      </c>
      <c r="M348" s="54">
        <f>STOCK[[#This Row],[Precio Final]]*10%</f>
        <v>1.9</v>
      </c>
      <c r="N348" s="54">
        <v>170</v>
      </c>
      <c r="O348" s="54">
        <v>18</v>
      </c>
      <c r="P348" s="54">
        <v>9.44444444444444</v>
      </c>
      <c r="Q348" s="71">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53" t="s">
        <v>732</v>
      </c>
      <c r="F349" s="53" t="s">
        <v>733</v>
      </c>
      <c r="G349" s="53" t="s">
        <v>704</v>
      </c>
      <c r="H349" s="53">
        <f>STOCK[[#This Row],[Precio Final]]</f>
        <v>20</v>
      </c>
      <c r="I349" s="53">
        <f>STOCK[[#This Row],[Precio Venta Ideal (x1.5)]]</f>
        <v>20.9166666666667</v>
      </c>
      <c r="J349" s="70">
        <v>2</v>
      </c>
      <c r="K349" s="70">
        <f>SUMIFS(VENTAS[Cantidad],VENTAS[Código del producto Vendido],STOCK[[#This Row],[Code]])</f>
        <v>2</v>
      </c>
      <c r="L349" s="70">
        <f>STOCK[[#This Row],[Entradas]]-STOCK[[#This Row],[Salidas]]</f>
        <v>0</v>
      </c>
      <c r="M349" s="53">
        <f>STOCK[[#This Row],[Precio Final]]*10%</f>
        <v>2</v>
      </c>
      <c r="N349" s="53">
        <v>170</v>
      </c>
      <c r="O349" s="53">
        <v>18</v>
      </c>
      <c r="P349" s="53">
        <v>9.44444444444444</v>
      </c>
      <c r="Q349" s="70">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54" t="s">
        <v>736</v>
      </c>
      <c r="F350" s="54" t="s">
        <v>62</v>
      </c>
      <c r="G350" s="54" t="s">
        <v>704</v>
      </c>
      <c r="H350" s="54">
        <f>STOCK[[#This Row],[Precio Final]]</f>
        <v>20</v>
      </c>
      <c r="I350" s="54">
        <f>STOCK[[#This Row],[Precio Venta Ideal (x1.5)]]</f>
        <v>20.9166666666667</v>
      </c>
      <c r="J350" s="71">
        <v>3</v>
      </c>
      <c r="K350" s="71">
        <f>SUMIFS(VENTAS[Cantidad],VENTAS[Código del producto Vendido],STOCK[[#This Row],[Code]])</f>
        <v>2</v>
      </c>
      <c r="L350" s="71">
        <f>STOCK[[#This Row],[Entradas]]-STOCK[[#This Row],[Salidas]]</f>
        <v>1</v>
      </c>
      <c r="M350" s="54">
        <f>STOCK[[#This Row],[Precio Final]]*10%</f>
        <v>2</v>
      </c>
      <c r="N350" s="54">
        <v>170</v>
      </c>
      <c r="O350" s="54">
        <v>18</v>
      </c>
      <c r="P350" s="54">
        <v>9.44444444444444</v>
      </c>
      <c r="Q350" s="71">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53" t="s">
        <v>736</v>
      </c>
      <c r="F351" s="53" t="s">
        <v>49</v>
      </c>
      <c r="G351" s="53" t="s">
        <v>704</v>
      </c>
      <c r="H351" s="53">
        <f>STOCK[[#This Row],[Precio Final]]</f>
        <v>20</v>
      </c>
      <c r="I351" s="53">
        <f>STOCK[[#This Row],[Precio Venta Ideal (x1.5)]]</f>
        <v>20.9166666666667</v>
      </c>
      <c r="J351" s="70">
        <v>3</v>
      </c>
      <c r="K351" s="70">
        <f>SUMIFS(VENTAS[Cantidad],VENTAS[Código del producto Vendido],STOCK[[#This Row],[Code]])</f>
        <v>1</v>
      </c>
      <c r="L351" s="70">
        <f>STOCK[[#This Row],[Entradas]]-STOCK[[#This Row],[Salidas]]</f>
        <v>2</v>
      </c>
      <c r="M351" s="53">
        <f>STOCK[[#This Row],[Precio Final]]*10%</f>
        <v>2</v>
      </c>
      <c r="N351" s="53">
        <v>170</v>
      </c>
      <c r="O351" s="53">
        <v>18</v>
      </c>
      <c r="P351" s="53">
        <v>9.44444444444444</v>
      </c>
      <c r="Q351" s="70">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54" t="s">
        <v>739</v>
      </c>
      <c r="F352" s="54" t="s">
        <v>740</v>
      </c>
      <c r="G352" s="54" t="s">
        <v>704</v>
      </c>
      <c r="H352" s="54">
        <f>STOCK[[#This Row],[Precio Final]]</f>
        <v>15</v>
      </c>
      <c r="I352" s="54">
        <f>STOCK[[#This Row],[Precio Venta Ideal (x1.5)]]</f>
        <v>18.95</v>
      </c>
      <c r="J352" s="71">
        <v>1</v>
      </c>
      <c r="K352" s="71">
        <f>SUMIFS(VENTAS[Cantidad],VENTAS[Código del producto Vendido],STOCK[[#This Row],[Code]])</f>
        <v>1</v>
      </c>
      <c r="L352" s="71">
        <f>STOCK[[#This Row],[Entradas]]-STOCK[[#This Row],[Salidas]]</f>
        <v>0</v>
      </c>
      <c r="M352" s="54">
        <f>STOCK[[#This Row],[Precio Final]]*10%</f>
        <v>1.5</v>
      </c>
      <c r="N352" s="54">
        <v>195</v>
      </c>
      <c r="O352" s="54">
        <v>18</v>
      </c>
      <c r="P352" s="54">
        <v>10.8333333333333</v>
      </c>
      <c r="Q352" s="71">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53" t="s">
        <v>739</v>
      </c>
      <c r="F353" s="53" t="s">
        <v>740</v>
      </c>
      <c r="G353" s="53" t="s">
        <v>704</v>
      </c>
      <c r="H353" s="53">
        <f>STOCK[[#This Row],[Precio Final]]</f>
        <v>12</v>
      </c>
      <c r="I353" s="53">
        <f>STOCK[[#This Row],[Precio Venta Ideal (x1.5)]]</f>
        <v>18.5</v>
      </c>
      <c r="J353" s="70">
        <v>1</v>
      </c>
      <c r="K353" s="70">
        <f>SUMIFS(VENTAS[Cantidad],VENTAS[Código del producto Vendido],STOCK[[#This Row],[Code]])</f>
        <v>1</v>
      </c>
      <c r="L353" s="70">
        <f>STOCK[[#This Row],[Entradas]]-STOCK[[#This Row],[Salidas]]</f>
        <v>0</v>
      </c>
      <c r="M353" s="53">
        <f>STOCK[[#This Row],[Precio Final]]*10%</f>
        <v>1.2</v>
      </c>
      <c r="N353" s="53">
        <v>195</v>
      </c>
      <c r="O353" s="53">
        <v>18</v>
      </c>
      <c r="P353" s="53">
        <v>10.8333333333333</v>
      </c>
      <c r="Q353" s="70">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54" t="s">
        <v>744</v>
      </c>
      <c r="F354" s="54" t="s">
        <v>62</v>
      </c>
      <c r="G354" s="54" t="s">
        <v>704</v>
      </c>
      <c r="H354" s="54">
        <f>STOCK[[#This Row],[Precio Final]]</f>
        <v>30</v>
      </c>
      <c r="I354" s="54">
        <f>STOCK[[#This Row],[Precio Venta Ideal (x1.5)]]</f>
        <v>38.5</v>
      </c>
      <c r="J354" s="71">
        <v>0</v>
      </c>
      <c r="K354" s="71">
        <f>SUMIFS(VENTAS[Cantidad],VENTAS[Código del producto Vendido],STOCK[[#This Row],[Code]])</f>
        <v>0</v>
      </c>
      <c r="L354" s="71">
        <f>STOCK[[#This Row],[Entradas]]-STOCK[[#This Row],[Salidas]]</f>
        <v>0</v>
      </c>
      <c r="M354" s="54">
        <f>STOCK[[#This Row],[Precio Final]]*10%</f>
        <v>3</v>
      </c>
      <c r="N354" s="54">
        <v>345</v>
      </c>
      <c r="O354" s="54">
        <v>18</v>
      </c>
      <c r="P354" s="54">
        <v>19.1666666666667</v>
      </c>
      <c r="Q354" s="71">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53" t="s">
        <v>746</v>
      </c>
      <c r="F355" s="53" t="s">
        <v>747</v>
      </c>
      <c r="G355" s="53" t="s">
        <v>704</v>
      </c>
      <c r="H355" s="53">
        <f>STOCK[[#This Row],[Precio Final]]</f>
        <v>35</v>
      </c>
      <c r="I355" s="53">
        <f>STOCK[[#This Row],[Precio Venta Ideal (x1.5)]]</f>
        <v>47.8333333333333</v>
      </c>
      <c r="J355" s="70">
        <v>1</v>
      </c>
      <c r="K355" s="70">
        <f>SUMIFS(VENTAS[Cantidad],VENTAS[Código del producto Vendido],STOCK[[#This Row],[Code]])</f>
        <v>1</v>
      </c>
      <c r="L355" s="70">
        <f>STOCK[[#This Row],[Entradas]]-STOCK[[#This Row],[Salidas]]</f>
        <v>0</v>
      </c>
      <c r="M355" s="53">
        <f>STOCK[[#This Row],[Precio Final]]*10%</f>
        <v>3.5</v>
      </c>
      <c r="N355" s="53">
        <v>430</v>
      </c>
      <c r="O355" s="53">
        <v>18</v>
      </c>
      <c r="P355" s="53">
        <v>23.8888888888889</v>
      </c>
      <c r="Q355" s="70">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54" t="s">
        <v>750</v>
      </c>
      <c r="F356" s="54" t="s">
        <v>751</v>
      </c>
      <c r="G356" s="54" t="s">
        <v>704</v>
      </c>
      <c r="H356" s="54">
        <f>STOCK[[#This Row],[Precio Final]]</f>
        <v>35</v>
      </c>
      <c r="I356" s="54">
        <f>STOCK[[#This Row],[Precio Venta Ideal (x1.5)]]</f>
        <v>46.8666666666666</v>
      </c>
      <c r="J356" s="71">
        <v>1</v>
      </c>
      <c r="K356" s="71">
        <f>SUMIFS(VENTAS[Cantidad],VENTAS[Código del producto Vendido],STOCK[[#This Row],[Code]])</f>
        <v>0</v>
      </c>
      <c r="L356" s="71">
        <f>STOCK[[#This Row],[Entradas]]-STOCK[[#This Row],[Salidas]]</f>
        <v>1</v>
      </c>
      <c r="M356" s="54">
        <f>STOCK[[#This Row],[Precio Final]]*10%</f>
        <v>3.5</v>
      </c>
      <c r="N356" s="54">
        <v>395</v>
      </c>
      <c r="O356" s="54">
        <v>18</v>
      </c>
      <c r="P356" s="54">
        <v>21.9444444444444</v>
      </c>
      <c r="Q356" s="71">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53" t="s">
        <v>753</v>
      </c>
      <c r="F357" s="53" t="s">
        <v>754</v>
      </c>
      <c r="G357" s="53" t="s">
        <v>704</v>
      </c>
      <c r="H357" s="53">
        <f>STOCK[[#This Row],[Precio Final]]</f>
        <v>35</v>
      </c>
      <c r="I357" s="53">
        <f>STOCK[[#This Row],[Precio Venta Ideal (x1.5)]]</f>
        <v>45.75</v>
      </c>
      <c r="J357" s="70">
        <v>3</v>
      </c>
      <c r="K357" s="70">
        <f>SUMIFS(VENTAS[Cantidad],VENTAS[Código del producto Vendido],STOCK[[#This Row],[Code]])</f>
        <v>3</v>
      </c>
      <c r="L357" s="70">
        <f>STOCK[[#This Row],[Entradas]]-STOCK[[#This Row],[Salidas]]</f>
        <v>0</v>
      </c>
      <c r="M357" s="53">
        <f>STOCK[[#This Row],[Precio Final]]*10%</f>
        <v>3.5</v>
      </c>
      <c r="N357" s="53">
        <v>360</v>
      </c>
      <c r="O357" s="53">
        <v>18</v>
      </c>
      <c r="P357" s="53">
        <v>20</v>
      </c>
      <c r="Q357" s="70">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54" t="s">
        <v>756</v>
      </c>
      <c r="F358" s="54" t="s">
        <v>540</v>
      </c>
      <c r="G358" s="54" t="s">
        <v>704</v>
      </c>
      <c r="H358" s="54">
        <f>STOCK[[#This Row],[Precio Final]]</f>
        <v>35</v>
      </c>
      <c r="I358" s="54">
        <f>STOCK[[#This Row],[Precio Venta Ideal (x1.5)]]</f>
        <v>43.8333333333333</v>
      </c>
      <c r="J358" s="71">
        <v>2</v>
      </c>
      <c r="K358" s="71">
        <f>SUMIFS(VENTAS[Cantidad],VENTAS[Código del producto Vendido],STOCK[[#This Row],[Code]])</f>
        <v>2</v>
      </c>
      <c r="L358" s="71">
        <f>STOCK[[#This Row],[Entradas]]-STOCK[[#This Row],[Salidas]]</f>
        <v>0</v>
      </c>
      <c r="M358" s="54">
        <f>STOCK[[#This Row],[Precio Final]]*10%</f>
        <v>3.5</v>
      </c>
      <c r="N358" s="54">
        <v>400</v>
      </c>
      <c r="O358" s="54">
        <v>18</v>
      </c>
      <c r="P358" s="54">
        <v>22.2222222222222</v>
      </c>
      <c r="Q358" s="71">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53" t="s">
        <v>758</v>
      </c>
      <c r="F359" s="53" t="s">
        <v>759</v>
      </c>
      <c r="G359" s="53" t="s">
        <v>704</v>
      </c>
      <c r="H359" s="53">
        <f>STOCK[[#This Row],[Precio Final]]</f>
        <v>35</v>
      </c>
      <c r="I359" s="53">
        <f>STOCK[[#This Row],[Precio Venta Ideal (x1.5)]]</f>
        <v>45.75</v>
      </c>
      <c r="J359" s="70">
        <v>1</v>
      </c>
      <c r="K359" s="70">
        <f>SUMIFS(VENTAS[Cantidad],VENTAS[Código del producto Vendido],STOCK[[#This Row],[Code]])</f>
        <v>1</v>
      </c>
      <c r="L359" s="70">
        <f>STOCK[[#This Row],[Entradas]]-STOCK[[#This Row],[Salidas]]</f>
        <v>0</v>
      </c>
      <c r="M359" s="53">
        <f>STOCK[[#This Row],[Precio Final]]*10%</f>
        <v>3.5</v>
      </c>
      <c r="N359" s="53">
        <v>360</v>
      </c>
      <c r="O359" s="53">
        <v>18</v>
      </c>
      <c r="P359" s="53">
        <v>20</v>
      </c>
      <c r="Q359" s="70">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54" t="s">
        <v>758</v>
      </c>
      <c r="F360" s="54" t="s">
        <v>517</v>
      </c>
      <c r="G360" s="54" t="s">
        <v>704</v>
      </c>
      <c r="H360" s="54">
        <f>STOCK[[#This Row],[Precio Final]]</f>
        <v>35</v>
      </c>
      <c r="I360" s="54">
        <f>STOCK[[#This Row],[Precio Venta Ideal (x1.5)]]</f>
        <v>45.75</v>
      </c>
      <c r="J360" s="71">
        <v>1</v>
      </c>
      <c r="K360" s="71">
        <f>SUMIFS(VENTAS[Cantidad],VENTAS[Código del producto Vendido],STOCK[[#This Row],[Code]])</f>
        <v>1</v>
      </c>
      <c r="L360" s="71">
        <f>STOCK[[#This Row],[Entradas]]-STOCK[[#This Row],[Salidas]]</f>
        <v>0</v>
      </c>
      <c r="M360" s="54">
        <f>STOCK[[#This Row],[Precio Final]]*10%</f>
        <v>3.5</v>
      </c>
      <c r="N360" s="54">
        <v>360</v>
      </c>
      <c r="O360" s="54">
        <v>18</v>
      </c>
      <c r="P360" s="54">
        <v>20</v>
      </c>
      <c r="Q360" s="71">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53" t="s">
        <v>763</v>
      </c>
      <c r="F361" s="53" t="s">
        <v>764</v>
      </c>
      <c r="G361" s="53" t="s">
        <v>704</v>
      </c>
      <c r="H361" s="53">
        <f>STOCK[[#This Row],[Precio Final]]</f>
        <v>35</v>
      </c>
      <c r="I361" s="53">
        <f>STOCK[[#This Row],[Precio Venta Ideal (x1.5)]]</f>
        <v>33.3333333333333</v>
      </c>
      <c r="J361" s="70">
        <v>2</v>
      </c>
      <c r="K361" s="70">
        <f>SUMIFS(VENTAS[Cantidad],VENTAS[Código del producto Vendido],STOCK[[#This Row],[Code]])</f>
        <v>0</v>
      </c>
      <c r="L361" s="70">
        <f>STOCK[[#This Row],[Entradas]]-STOCK[[#This Row],[Salidas]]</f>
        <v>2</v>
      </c>
      <c r="M361" s="53">
        <f>STOCK[[#This Row],[Precio Final]]*10%</f>
        <v>3.5</v>
      </c>
      <c r="N361" s="53">
        <v>265</v>
      </c>
      <c r="O361" s="53">
        <v>18</v>
      </c>
      <c r="P361" s="53">
        <v>14.7222222222222</v>
      </c>
      <c r="Q361" s="70">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54" t="s">
        <v>763</v>
      </c>
      <c r="F362" s="54" t="s">
        <v>766</v>
      </c>
      <c r="G362" s="54" t="s">
        <v>704</v>
      </c>
      <c r="H362" s="54">
        <f>STOCK[[#This Row],[Precio Final]]</f>
        <v>35</v>
      </c>
      <c r="I362" s="54">
        <f>STOCK[[#This Row],[Precio Venta Ideal (x1.5)]]</f>
        <v>33.3333333333333</v>
      </c>
      <c r="J362" s="71">
        <v>2</v>
      </c>
      <c r="K362" s="71">
        <f>SUMIFS(VENTAS[Cantidad],VENTAS[Código del producto Vendido],STOCK[[#This Row],[Code]])</f>
        <v>1</v>
      </c>
      <c r="L362" s="71">
        <f>STOCK[[#This Row],[Entradas]]-STOCK[[#This Row],[Salidas]]</f>
        <v>1</v>
      </c>
      <c r="M362" s="54">
        <f>STOCK[[#This Row],[Precio Final]]*10%</f>
        <v>3.5</v>
      </c>
      <c r="N362" s="54">
        <v>265</v>
      </c>
      <c r="O362" s="54">
        <v>18</v>
      </c>
      <c r="P362" s="54">
        <v>14.7222222222222</v>
      </c>
      <c r="Q362" s="71">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53" t="s">
        <v>763</v>
      </c>
      <c r="F363" s="53" t="s">
        <v>768</v>
      </c>
      <c r="G363" s="53" t="s">
        <v>704</v>
      </c>
      <c r="H363" s="53">
        <f>STOCK[[#This Row],[Precio Final]]</f>
        <v>35</v>
      </c>
      <c r="I363" s="53">
        <f>STOCK[[#This Row],[Precio Venta Ideal (x1.5)]]</f>
        <v>33.3333333333333</v>
      </c>
      <c r="J363" s="70">
        <v>1</v>
      </c>
      <c r="K363" s="70">
        <f>SUMIFS(VENTAS[Cantidad],VENTAS[Código del producto Vendido],STOCK[[#This Row],[Code]])</f>
        <v>0</v>
      </c>
      <c r="L363" s="70">
        <f>STOCK[[#This Row],[Entradas]]-STOCK[[#This Row],[Salidas]]</f>
        <v>1</v>
      </c>
      <c r="M363" s="53">
        <f>STOCK[[#This Row],[Precio Final]]*10%</f>
        <v>3.5</v>
      </c>
      <c r="N363" s="53">
        <v>265</v>
      </c>
      <c r="O363" s="53">
        <v>18</v>
      </c>
      <c r="P363" s="53">
        <v>14.7222222222222</v>
      </c>
      <c r="Q363" s="70">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54" t="s">
        <v>770</v>
      </c>
      <c r="F364" s="54" t="s">
        <v>517</v>
      </c>
      <c r="G364" s="54" t="s">
        <v>704</v>
      </c>
      <c r="H364" s="54">
        <f>STOCK[[#This Row],[Precio Final]]</f>
        <v>25</v>
      </c>
      <c r="I364" s="54">
        <f>STOCK[[#This Row],[Precio Venta Ideal (x1.5)]]</f>
        <v>21.5833333333333</v>
      </c>
      <c r="J364" s="71">
        <v>2</v>
      </c>
      <c r="K364" s="71">
        <f>SUMIFS(VENTAS[Cantidad],VENTAS[Código del producto Vendido],STOCK[[#This Row],[Code]])</f>
        <v>1</v>
      </c>
      <c r="L364" s="71">
        <f>STOCK[[#This Row],[Entradas]]-STOCK[[#This Row],[Salidas]]</f>
        <v>1</v>
      </c>
      <c r="M364" s="54">
        <f>STOCK[[#This Row],[Precio Final]]*10%</f>
        <v>2.5</v>
      </c>
      <c r="N364" s="54">
        <v>169</v>
      </c>
      <c r="O364" s="54">
        <v>18</v>
      </c>
      <c r="P364" s="54">
        <v>9.38888888888889</v>
      </c>
      <c r="Q364" s="71">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53" t="s">
        <v>772</v>
      </c>
      <c r="F365" s="53" t="s">
        <v>540</v>
      </c>
      <c r="G365" s="53" t="s">
        <v>704</v>
      </c>
      <c r="H365" s="53">
        <f>STOCK[[#This Row],[Precio Final]]</f>
        <v>39</v>
      </c>
      <c r="I365" s="53">
        <f>STOCK[[#This Row],[Precio Venta Ideal (x1.5)]]</f>
        <v>50.1</v>
      </c>
      <c r="J365" s="70">
        <v>1</v>
      </c>
      <c r="K365" s="70">
        <f>SUMIFS(VENTAS[Cantidad],VENTAS[Código del producto Vendido],STOCK[[#This Row],[Code]])</f>
        <v>1</v>
      </c>
      <c r="L365" s="70">
        <f>STOCK[[#This Row],[Entradas]]-STOCK[[#This Row],[Salidas]]</f>
        <v>0</v>
      </c>
      <c r="M365" s="53">
        <f>STOCK[[#This Row],[Precio Final]]*10%</f>
        <v>3.9</v>
      </c>
      <c r="N365" s="53">
        <v>396</v>
      </c>
      <c r="O365" s="53">
        <v>18</v>
      </c>
      <c r="P365" s="53">
        <v>25</v>
      </c>
      <c r="Q365" s="70">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54" t="s">
        <v>774</v>
      </c>
      <c r="F366" s="54" t="s">
        <v>759</v>
      </c>
      <c r="G366" s="54" t="s">
        <v>704</v>
      </c>
      <c r="H366" s="54">
        <f>STOCK[[#This Row],[Precio Final]]</f>
        <v>35</v>
      </c>
      <c r="I366" s="54">
        <f>STOCK[[#This Row],[Precio Venta Ideal (x1.5)]]</f>
        <v>40.1666666666667</v>
      </c>
      <c r="J366" s="71">
        <v>1</v>
      </c>
      <c r="K366" s="71">
        <f>SUMIFS(VENTAS[Cantidad],VENTAS[Código del producto Vendido],STOCK[[#This Row],[Code]])</f>
        <v>1</v>
      </c>
      <c r="L366" s="71">
        <f>STOCK[[#This Row],[Entradas]]-STOCK[[#This Row],[Salidas]]</f>
        <v>0</v>
      </c>
      <c r="M366" s="54">
        <f>STOCK[[#This Row],[Precio Final]]*10%</f>
        <v>3.5</v>
      </c>
      <c r="N366" s="54">
        <v>356</v>
      </c>
      <c r="O366" s="54">
        <v>18</v>
      </c>
      <c r="P366" s="54">
        <v>19.7777777777778</v>
      </c>
      <c r="Q366" s="71">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53" t="s">
        <v>774</v>
      </c>
      <c r="F367" s="53" t="s">
        <v>768</v>
      </c>
      <c r="G367" s="53" t="s">
        <v>704</v>
      </c>
      <c r="H367" s="53">
        <f>STOCK[[#This Row],[Precio Final]]</f>
        <v>30</v>
      </c>
      <c r="I367" s="53">
        <f>STOCK[[#This Row],[Precio Venta Ideal (x1.5)]]</f>
        <v>39.4166666666667</v>
      </c>
      <c r="J367" s="70">
        <v>1</v>
      </c>
      <c r="K367" s="70">
        <f>SUMIFS(VENTAS[Cantidad],VENTAS[Código del producto Vendido],STOCK[[#This Row],[Code]])</f>
        <v>1</v>
      </c>
      <c r="L367" s="70">
        <f>STOCK[[#This Row],[Entradas]]-STOCK[[#This Row],[Salidas]]</f>
        <v>0</v>
      </c>
      <c r="M367" s="53">
        <f>STOCK[[#This Row],[Precio Final]]*10%</f>
        <v>3</v>
      </c>
      <c r="N367" s="53">
        <v>356</v>
      </c>
      <c r="O367" s="53">
        <v>18</v>
      </c>
      <c r="P367" s="53">
        <v>19.7777777777778</v>
      </c>
      <c r="Q367" s="70">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54" t="s">
        <v>777</v>
      </c>
      <c r="F368" s="54" t="s">
        <v>778</v>
      </c>
      <c r="G368" s="54" t="s">
        <v>704</v>
      </c>
      <c r="H368" s="54">
        <f>STOCK[[#This Row],[Precio Final]]</f>
        <v>10</v>
      </c>
      <c r="I368" s="54">
        <f>STOCK[[#This Row],[Precio Venta Ideal (x1.5)]]</f>
        <v>10.5833333333333</v>
      </c>
      <c r="J368" s="71">
        <v>3</v>
      </c>
      <c r="K368" s="71">
        <f>SUMIFS(VENTAS[Cantidad],VENTAS[Código del producto Vendido],STOCK[[#This Row],[Code]])</f>
        <v>3</v>
      </c>
      <c r="L368" s="71">
        <f>STOCK[[#This Row],[Entradas]]-STOCK[[#This Row],[Salidas]]</f>
        <v>0</v>
      </c>
      <c r="M368" s="54">
        <f>STOCK[[#This Row],[Precio Final]]*10%</f>
        <v>1</v>
      </c>
      <c r="N368" s="54">
        <v>100</v>
      </c>
      <c r="O368" s="54">
        <v>18</v>
      </c>
      <c r="P368" s="54">
        <v>5.55555555555556</v>
      </c>
      <c r="Q368" s="71">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53" t="s">
        <v>777</v>
      </c>
      <c r="F369" s="53" t="s">
        <v>40</v>
      </c>
      <c r="G369" s="53" t="s">
        <v>704</v>
      </c>
      <c r="H369" s="53">
        <f>STOCK[[#This Row],[Precio Final]]</f>
        <v>10</v>
      </c>
      <c r="I369" s="53">
        <f>STOCK[[#This Row],[Precio Venta Ideal (x1.5)]]</f>
        <v>10.5833333333333</v>
      </c>
      <c r="J369" s="70">
        <v>2</v>
      </c>
      <c r="K369" s="70">
        <f>SUMIFS(VENTAS[Cantidad],VENTAS[Código del producto Vendido],STOCK[[#This Row],[Code]])</f>
        <v>2</v>
      </c>
      <c r="L369" s="70">
        <f>STOCK[[#This Row],[Entradas]]-STOCK[[#This Row],[Salidas]]</f>
        <v>0</v>
      </c>
      <c r="M369" s="53">
        <f>STOCK[[#This Row],[Precio Final]]*10%</f>
        <v>1</v>
      </c>
      <c r="N369" s="53">
        <v>100</v>
      </c>
      <c r="O369" s="53">
        <v>18</v>
      </c>
      <c r="P369" s="53">
        <v>5.55555555555556</v>
      </c>
      <c r="Q369" s="70">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54" t="s">
        <v>782</v>
      </c>
      <c r="F370" s="54" t="s">
        <v>40</v>
      </c>
      <c r="G370" s="54" t="s">
        <v>704</v>
      </c>
      <c r="H370" s="54">
        <f>STOCK[[#This Row],[Precio Final]]</f>
        <v>10</v>
      </c>
      <c r="I370" s="54">
        <f>STOCK[[#This Row],[Precio Venta Ideal (x1.5)]]</f>
        <v>10.5833333333333</v>
      </c>
      <c r="J370" s="71">
        <v>2</v>
      </c>
      <c r="K370" s="71">
        <f>SUMIFS(VENTAS[Cantidad],VENTAS[Código del producto Vendido],STOCK[[#This Row],[Code]])</f>
        <v>0</v>
      </c>
      <c r="L370" s="71">
        <f>STOCK[[#This Row],[Entradas]]-STOCK[[#This Row],[Salidas]]</f>
        <v>2</v>
      </c>
      <c r="M370" s="54">
        <f>STOCK[[#This Row],[Precio Final]]*10%</f>
        <v>1</v>
      </c>
      <c r="N370" s="54">
        <v>100</v>
      </c>
      <c r="O370" s="54">
        <v>18</v>
      </c>
      <c r="P370" s="54">
        <v>5.55555555555556</v>
      </c>
      <c r="Q370" s="71">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53" t="s">
        <v>782</v>
      </c>
      <c r="F371" s="53" t="s">
        <v>778</v>
      </c>
      <c r="G371" s="53" t="s">
        <v>704</v>
      </c>
      <c r="H371" s="53">
        <f>STOCK[[#This Row],[Precio Final]]</f>
        <v>10</v>
      </c>
      <c r="I371" s="53">
        <f>STOCK[[#This Row],[Precio Venta Ideal (x1.5)]]</f>
        <v>10.5833333333333</v>
      </c>
      <c r="J371" s="70">
        <v>1</v>
      </c>
      <c r="K371" s="70">
        <f>SUMIFS(VENTAS[Cantidad],VENTAS[Código del producto Vendido],STOCK[[#This Row],[Code]])</f>
        <v>1</v>
      </c>
      <c r="L371" s="70">
        <f>STOCK[[#This Row],[Entradas]]-STOCK[[#This Row],[Salidas]]</f>
        <v>0</v>
      </c>
      <c r="M371" s="53">
        <f>STOCK[[#This Row],[Precio Final]]*10%</f>
        <v>1</v>
      </c>
      <c r="N371" s="53">
        <v>100</v>
      </c>
      <c r="O371" s="53">
        <v>18</v>
      </c>
      <c r="P371" s="53">
        <v>5.55555555555556</v>
      </c>
      <c r="Q371" s="70">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54" t="s">
        <v>785</v>
      </c>
      <c r="F372" s="54" t="s">
        <v>40</v>
      </c>
      <c r="G372" s="54" t="s">
        <v>704</v>
      </c>
      <c r="H372" s="54">
        <f>STOCK[[#This Row],[Precio Final]]</f>
        <v>10</v>
      </c>
      <c r="I372" s="54">
        <f>STOCK[[#This Row],[Precio Venta Ideal (x1.5)]]</f>
        <v>10.5833333333333</v>
      </c>
      <c r="J372" s="71">
        <v>2</v>
      </c>
      <c r="K372" s="71">
        <f>SUMIFS(VENTAS[Cantidad],VENTAS[Código del producto Vendido],STOCK[[#This Row],[Code]])</f>
        <v>1</v>
      </c>
      <c r="L372" s="71">
        <f>STOCK[[#This Row],[Entradas]]-STOCK[[#This Row],[Salidas]]</f>
        <v>1</v>
      </c>
      <c r="M372" s="54">
        <f>STOCK[[#This Row],[Precio Final]]*10%</f>
        <v>1</v>
      </c>
      <c r="N372" s="54">
        <v>100</v>
      </c>
      <c r="O372" s="54">
        <v>18</v>
      </c>
      <c r="P372" s="54">
        <v>5.55555555555556</v>
      </c>
      <c r="Q372" s="71">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53" t="s">
        <v>787</v>
      </c>
      <c r="F373" s="53" t="s">
        <v>62</v>
      </c>
      <c r="G373" s="53" t="s">
        <v>704</v>
      </c>
      <c r="H373" s="53">
        <f>STOCK[[#This Row],[Precio Final]]</f>
        <v>10</v>
      </c>
      <c r="I373" s="53">
        <f>STOCK[[#This Row],[Precio Venta Ideal (x1.5)]]</f>
        <v>10.5833333333333</v>
      </c>
      <c r="J373" s="70">
        <v>1</v>
      </c>
      <c r="K373" s="70">
        <f>SUMIFS(VENTAS[Cantidad],VENTAS[Código del producto Vendido],STOCK[[#This Row],[Code]])</f>
        <v>1</v>
      </c>
      <c r="L373" s="70">
        <f>STOCK[[#This Row],[Entradas]]-STOCK[[#This Row],[Salidas]]</f>
        <v>0</v>
      </c>
      <c r="M373" s="53">
        <f>STOCK[[#This Row],[Precio Final]]*10%</f>
        <v>1</v>
      </c>
      <c r="N373" s="53">
        <v>100</v>
      </c>
      <c r="O373" s="53">
        <v>18</v>
      </c>
      <c r="P373" s="53">
        <v>5.55555555555556</v>
      </c>
      <c r="Q373" s="70">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54" t="s">
        <v>789</v>
      </c>
      <c r="F374" s="54" t="s">
        <v>394</v>
      </c>
      <c r="G374" s="54" t="s">
        <v>704</v>
      </c>
      <c r="H374" s="54">
        <f>STOCK[[#This Row],[Precio Final]]</f>
        <v>0</v>
      </c>
      <c r="I374" s="54">
        <f>STOCK[[#This Row],[Precio Venta Ideal (x1.5)]]</f>
        <v>17.3333333333334</v>
      </c>
      <c r="J374" s="71">
        <v>0</v>
      </c>
      <c r="K374" s="71">
        <f>SUMIFS(VENTAS[Cantidad],VENTAS[Código del producto Vendido],STOCK[[#This Row],[Code]])</f>
        <v>0</v>
      </c>
      <c r="L374" s="71">
        <f>STOCK[[#This Row],[Entradas]]-STOCK[[#This Row],[Salidas]]</f>
        <v>0</v>
      </c>
      <c r="M374" s="54">
        <f>STOCK[[#This Row],[Precio Final]]*10%</f>
        <v>0</v>
      </c>
      <c r="N374" s="54">
        <v>199</v>
      </c>
      <c r="O374" s="54">
        <v>18</v>
      </c>
      <c r="P374" s="54">
        <v>11.0555555555556</v>
      </c>
      <c r="Q374" s="71">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53" t="s">
        <v>791</v>
      </c>
      <c r="F375" s="53" t="s">
        <v>525</v>
      </c>
      <c r="G375" s="53" t="s">
        <v>704</v>
      </c>
      <c r="H375" s="53">
        <f>STOCK[[#This Row],[Precio Final]]</f>
        <v>15</v>
      </c>
      <c r="I375" s="53">
        <f>STOCK[[#This Row],[Precio Venta Ideal (x1.5)]]</f>
        <v>19.5833333333334</v>
      </c>
      <c r="J375" s="70">
        <v>2</v>
      </c>
      <c r="K375" s="70">
        <f>SUMIFS(VENTAS[Cantidad],VENTAS[Código del producto Vendido],STOCK[[#This Row],[Code]])</f>
        <v>2</v>
      </c>
      <c r="L375" s="70">
        <f>STOCK[[#This Row],[Entradas]]-STOCK[[#This Row],[Salidas]]</f>
        <v>0</v>
      </c>
      <c r="M375" s="53">
        <f>STOCK[[#This Row],[Precio Final]]*10%</f>
        <v>1.5</v>
      </c>
      <c r="N375" s="53">
        <v>199</v>
      </c>
      <c r="O375" s="53">
        <v>18</v>
      </c>
      <c r="P375" s="53">
        <v>11.0555555555556</v>
      </c>
      <c r="Q375" s="70">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54" t="s">
        <v>793</v>
      </c>
      <c r="F376" s="54" t="s">
        <v>49</v>
      </c>
      <c r="G376" s="54" t="s">
        <v>704</v>
      </c>
      <c r="H376" s="54">
        <f>STOCK[[#This Row],[Precio Final]]</f>
        <v>19</v>
      </c>
      <c r="I376" s="54">
        <f>STOCK[[#This Row],[Precio Venta Ideal (x1.5)]]</f>
        <v>22.4333333333334</v>
      </c>
      <c r="J376" s="71">
        <v>1</v>
      </c>
      <c r="K376" s="71">
        <f>SUMIFS(VENTAS[Cantidad],VENTAS[Código del producto Vendido],STOCK[[#This Row],[Code]])</f>
        <v>1</v>
      </c>
      <c r="L376" s="71">
        <f>STOCK[[#This Row],[Entradas]]-STOCK[[#This Row],[Salidas]]</f>
        <v>0</v>
      </c>
      <c r="M376" s="54">
        <f>STOCK[[#This Row],[Precio Final]]*10%</f>
        <v>1.9</v>
      </c>
      <c r="N376" s="54">
        <v>199</v>
      </c>
      <c r="O376" s="54">
        <v>18</v>
      </c>
      <c r="P376" s="54">
        <v>11.0555555555556</v>
      </c>
      <c r="Q376" s="71">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53" t="s">
        <v>793</v>
      </c>
      <c r="F377" s="53" t="s">
        <v>778</v>
      </c>
      <c r="G377" s="53" t="s">
        <v>704</v>
      </c>
      <c r="H377" s="53">
        <f>STOCK[[#This Row],[Precio Final]]</f>
        <v>0</v>
      </c>
      <c r="I377" s="53">
        <f>STOCK[[#This Row],[Precio Venta Ideal (x1.5)]]</f>
        <v>40.5</v>
      </c>
      <c r="J377" s="70">
        <v>0</v>
      </c>
      <c r="K377" s="70">
        <f>SUMIFS(VENTAS[Cantidad],VENTAS[Código del producto Vendido],STOCK[[#This Row],[Code]])</f>
        <v>0</v>
      </c>
      <c r="L377" s="70">
        <f>STOCK[[#This Row],[Entradas]]-STOCK[[#This Row],[Salidas]]</f>
        <v>0</v>
      </c>
      <c r="M377" s="53">
        <f>STOCK[[#This Row],[Precio Final]]*10%</f>
        <v>0</v>
      </c>
      <c r="N377" s="53">
        <v>450</v>
      </c>
      <c r="O377" s="53">
        <v>18</v>
      </c>
      <c r="P377" s="53">
        <v>25</v>
      </c>
      <c r="Q377" s="70">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54" t="s">
        <v>796</v>
      </c>
      <c r="F378" s="54" t="s">
        <v>46</v>
      </c>
      <c r="G378" s="54" t="s">
        <v>36</v>
      </c>
      <c r="H378" s="54">
        <f>STOCK[[#This Row],[Precio Final]]</f>
        <v>20</v>
      </c>
      <c r="I378" s="54">
        <f>STOCK[[#This Row],[Precio Venta Ideal (x1.5)]]</f>
        <v>22.25</v>
      </c>
      <c r="J378" s="71">
        <v>1</v>
      </c>
      <c r="K378" s="71">
        <f>SUMIFS(VENTAS[Cantidad],VENTAS[Código del producto Vendido],STOCK[[#This Row],[Code]])</f>
        <v>1</v>
      </c>
      <c r="L378" s="71">
        <f>STOCK[[#This Row],[Entradas]]-STOCK[[#This Row],[Salidas]]</f>
        <v>0</v>
      </c>
      <c r="M378" s="54">
        <f>STOCK[[#This Row],[Precio Final]]*10%</f>
        <v>2</v>
      </c>
      <c r="N378" s="54">
        <v>195</v>
      </c>
      <c r="O378" s="54">
        <v>18</v>
      </c>
      <c r="P378" s="54">
        <v>10.8333333333333</v>
      </c>
      <c r="Q378" s="71">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53" t="s">
        <v>798</v>
      </c>
      <c r="F379" s="53" t="s">
        <v>46</v>
      </c>
      <c r="G379" s="53" t="s">
        <v>36</v>
      </c>
      <c r="H379" s="53">
        <f>STOCK[[#This Row],[Precio Final]]</f>
        <v>20</v>
      </c>
      <c r="I379" s="53">
        <f>STOCK[[#This Row],[Precio Venta Ideal (x1.5)]]</f>
        <v>20.5833333333333</v>
      </c>
      <c r="J379" s="70">
        <v>1</v>
      </c>
      <c r="K379" s="70">
        <f>SUMIFS(VENTAS[Cantidad],VENTAS[Código del producto Vendido],STOCK[[#This Row],[Code]])</f>
        <v>1</v>
      </c>
      <c r="L379" s="70">
        <f>STOCK[[#This Row],[Entradas]]-STOCK[[#This Row],[Salidas]]</f>
        <v>0</v>
      </c>
      <c r="M379" s="53">
        <f>STOCK[[#This Row],[Precio Final]]*10%</f>
        <v>2</v>
      </c>
      <c r="N379" s="53">
        <v>175</v>
      </c>
      <c r="O379" s="53">
        <v>18</v>
      </c>
      <c r="P379" s="53">
        <v>9.72222222222222</v>
      </c>
      <c r="Q379" s="70">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54" t="s">
        <v>800</v>
      </c>
      <c r="F380" s="54" t="s">
        <v>62</v>
      </c>
      <c r="G380" s="54" t="s">
        <v>36</v>
      </c>
      <c r="H380" s="54">
        <f>STOCK[[#This Row],[Precio Final]]</f>
        <v>18</v>
      </c>
      <c r="I380" s="54">
        <f>STOCK[[#This Row],[Precio Venta Ideal (x1.5)]]</f>
        <v>13.6166666666667</v>
      </c>
      <c r="J380" s="71">
        <v>3</v>
      </c>
      <c r="K380" s="71">
        <f>SUMIFS(VENTAS[Cantidad],VENTAS[Código del producto Vendido],STOCK[[#This Row],[Code]])</f>
        <v>1</v>
      </c>
      <c r="L380" s="71">
        <f>STOCK[[#This Row],[Entradas]]-STOCK[[#This Row],[Salidas]]</f>
        <v>2</v>
      </c>
      <c r="M380" s="54">
        <f>STOCK[[#This Row],[Precio Final]]*10%</f>
        <v>1.8</v>
      </c>
      <c r="N380" s="54">
        <v>95</v>
      </c>
      <c r="O380" s="54">
        <v>18</v>
      </c>
      <c r="P380" s="54">
        <v>5.27777777777778</v>
      </c>
      <c r="Q380" s="71">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53" t="s">
        <v>803</v>
      </c>
      <c r="F381" s="53" t="s">
        <v>187</v>
      </c>
      <c r="G381" s="53" t="s">
        <v>36</v>
      </c>
      <c r="H381" s="53">
        <f>STOCK[[#This Row],[Precio Final]]</f>
        <v>15</v>
      </c>
      <c r="I381" s="53">
        <f>STOCK[[#This Row],[Precio Venta Ideal (x1.5)]]</f>
        <v>15.6666666666667</v>
      </c>
      <c r="J381" s="70">
        <v>1</v>
      </c>
      <c r="K381" s="70">
        <f>SUMIFS(VENTAS[Cantidad],VENTAS[Código del producto Vendido],STOCK[[#This Row],[Code]])</f>
        <v>1</v>
      </c>
      <c r="L381" s="70">
        <f>STOCK[[#This Row],[Entradas]]-STOCK[[#This Row],[Salidas]]</f>
        <v>0</v>
      </c>
      <c r="M381" s="53">
        <f>STOCK[[#This Row],[Precio Final]]*10%</f>
        <v>1.5</v>
      </c>
      <c r="N381" s="53">
        <v>125</v>
      </c>
      <c r="O381" s="53">
        <v>18</v>
      </c>
      <c r="P381" s="53">
        <v>6.94444444444444</v>
      </c>
      <c r="Q381" s="70">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54" t="s">
        <v>805</v>
      </c>
      <c r="F382" s="54" t="s">
        <v>49</v>
      </c>
      <c r="G382" s="54" t="s">
        <v>36</v>
      </c>
      <c r="H382" s="54">
        <f>STOCK[[#This Row],[Precio Final]]</f>
        <v>20</v>
      </c>
      <c r="I382" s="54">
        <f>STOCK[[#This Row],[Precio Venta Ideal (x1.5)]]</f>
        <v>15.75</v>
      </c>
      <c r="J382" s="71">
        <v>3</v>
      </c>
      <c r="K382" s="71">
        <f>SUMIFS(VENTAS[Cantidad],VENTAS[Código del producto Vendido],STOCK[[#This Row],[Code]])</f>
        <v>1</v>
      </c>
      <c r="L382" s="71">
        <f>STOCK[[#This Row],[Entradas]]-STOCK[[#This Row],[Salidas]]</f>
        <v>2</v>
      </c>
      <c r="M382" s="54">
        <f>STOCK[[#This Row],[Precio Final]]*10%</f>
        <v>2</v>
      </c>
      <c r="N382" s="54">
        <v>135</v>
      </c>
      <c r="O382" s="54">
        <v>18</v>
      </c>
      <c r="P382" s="54">
        <v>7.5</v>
      </c>
      <c r="Q382" s="71">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53" t="s">
        <v>807</v>
      </c>
      <c r="F383" s="53" t="s">
        <v>49</v>
      </c>
      <c r="G383" s="53" t="s">
        <v>36</v>
      </c>
      <c r="H383" s="53">
        <f>STOCK[[#This Row],[Precio Final]]</f>
        <v>20</v>
      </c>
      <c r="I383" s="53">
        <f>STOCK[[#This Row],[Precio Venta Ideal (x1.5)]]</f>
        <v>26.3333333333334</v>
      </c>
      <c r="J383" s="70">
        <v>3</v>
      </c>
      <c r="K383" s="70">
        <f>SUMIFS(VENTAS[Cantidad],VENTAS[Código del producto Vendido],STOCK[[#This Row],[Code]])</f>
        <v>3</v>
      </c>
      <c r="L383" s="70">
        <f>STOCK[[#This Row],[Entradas]]-STOCK[[#This Row],[Salidas]]</f>
        <v>0</v>
      </c>
      <c r="M383" s="53">
        <f>STOCK[[#This Row],[Precio Final]]*10%</f>
        <v>2</v>
      </c>
      <c r="N383" s="53">
        <v>235</v>
      </c>
      <c r="O383" s="53">
        <v>18</v>
      </c>
      <c r="P383" s="53">
        <v>13.0555555555556</v>
      </c>
      <c r="Q383" s="70">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54" t="s">
        <v>809</v>
      </c>
      <c r="F384" s="54" t="s">
        <v>62</v>
      </c>
      <c r="G384" s="54" t="s">
        <v>36</v>
      </c>
      <c r="H384" s="54">
        <f>STOCK[[#This Row],[Precio Final]]</f>
        <v>18</v>
      </c>
      <c r="I384" s="54">
        <f>STOCK[[#This Row],[Precio Venta Ideal (x1.5)]]</f>
        <v>16.95</v>
      </c>
      <c r="J384" s="71">
        <v>2</v>
      </c>
      <c r="K384" s="71">
        <f>SUMIFS(VENTAS[Cantidad],VENTAS[Código del producto Vendido],STOCK[[#This Row],[Code]])</f>
        <v>2</v>
      </c>
      <c r="L384" s="71">
        <f>STOCK[[#This Row],[Entradas]]-STOCK[[#This Row],[Salidas]]</f>
        <v>0</v>
      </c>
      <c r="M384" s="54">
        <f>STOCK[[#This Row],[Precio Final]]*10%</f>
        <v>1.8</v>
      </c>
      <c r="N384" s="54">
        <v>126</v>
      </c>
      <c r="O384" s="54">
        <v>18</v>
      </c>
      <c r="P384" s="54">
        <v>7</v>
      </c>
      <c r="Q384" s="71">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53" t="s">
        <v>811</v>
      </c>
      <c r="F385" s="53" t="s">
        <v>40</v>
      </c>
      <c r="G385" s="53" t="s">
        <v>36</v>
      </c>
      <c r="H385" s="53">
        <f>STOCK[[#This Row],[Precio Final]]</f>
        <v>18</v>
      </c>
      <c r="I385" s="53">
        <f>STOCK[[#This Row],[Precio Venta Ideal (x1.5)]]</f>
        <v>14.45</v>
      </c>
      <c r="J385" s="70">
        <v>3</v>
      </c>
      <c r="K385" s="70">
        <f>SUMIFS(VENTAS[Cantidad],VENTAS[Código del producto Vendido],STOCK[[#This Row],[Code]])</f>
        <v>3</v>
      </c>
      <c r="L385" s="70">
        <f>STOCK[[#This Row],[Entradas]]-STOCK[[#This Row],[Salidas]]</f>
        <v>0</v>
      </c>
      <c r="M385" s="53">
        <f>STOCK[[#This Row],[Precio Final]]*10%</f>
        <v>1.8</v>
      </c>
      <c r="N385" s="53">
        <v>96</v>
      </c>
      <c r="O385" s="53">
        <v>18</v>
      </c>
      <c r="P385" s="53">
        <v>5.33333333333333</v>
      </c>
      <c r="Q385" s="70">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54" t="s">
        <v>813</v>
      </c>
      <c r="F386" s="54" t="s">
        <v>46</v>
      </c>
      <c r="G386" s="54" t="s">
        <v>36</v>
      </c>
      <c r="H386" s="54">
        <f>STOCK[[#This Row],[Precio Final]]</f>
        <v>12</v>
      </c>
      <c r="I386" s="54">
        <f>STOCK[[#This Row],[Precio Venta Ideal (x1.5)]]</f>
        <v>11.9666666666667</v>
      </c>
      <c r="J386" s="71">
        <v>2</v>
      </c>
      <c r="K386" s="71">
        <f>SUMIFS(VENTAS[Cantidad],VENTAS[Código del producto Vendido],STOCK[[#This Row],[Code]])</f>
        <v>1</v>
      </c>
      <c r="L386" s="71">
        <f>STOCK[[#This Row],[Entradas]]-STOCK[[#This Row],[Salidas]]</f>
        <v>1</v>
      </c>
      <c r="M386" s="54">
        <f>STOCK[[#This Row],[Precio Final]]*10%</f>
        <v>1.2</v>
      </c>
      <c r="N386" s="54">
        <v>95</v>
      </c>
      <c r="O386" s="54">
        <v>18</v>
      </c>
      <c r="P386" s="54">
        <v>5.27777777777778</v>
      </c>
      <c r="Q386" s="71">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53" t="s">
        <v>816</v>
      </c>
      <c r="F387" s="53" t="s">
        <v>88</v>
      </c>
      <c r="G387" s="53" t="s">
        <v>36</v>
      </c>
      <c r="H387" s="53">
        <f>STOCK[[#This Row],[Precio Final]]</f>
        <v>10</v>
      </c>
      <c r="I387" s="53">
        <f>STOCK[[#This Row],[Precio Venta Ideal (x1.5)]]</f>
        <v>10.8333333333333</v>
      </c>
      <c r="J387" s="70">
        <v>1</v>
      </c>
      <c r="K387" s="70">
        <f>SUMIFS(VENTAS[Cantidad],VENTAS[Código del producto Vendido],STOCK[[#This Row],[Code]])</f>
        <v>1</v>
      </c>
      <c r="L387" s="70">
        <f>STOCK[[#This Row],[Entradas]]-STOCK[[#This Row],[Salidas]]</f>
        <v>0</v>
      </c>
      <c r="M387" s="53">
        <f>STOCK[[#This Row],[Precio Final]]*10%</f>
        <v>1</v>
      </c>
      <c r="N387" s="53">
        <v>103</v>
      </c>
      <c r="O387" s="53">
        <v>18</v>
      </c>
      <c r="P387" s="53">
        <v>5.72222222222222</v>
      </c>
      <c r="Q387" s="70">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54" t="s">
        <v>818</v>
      </c>
      <c r="F388" s="54" t="s">
        <v>819</v>
      </c>
      <c r="G388" s="54" t="s">
        <v>36</v>
      </c>
      <c r="H388" s="54">
        <f>STOCK[[#This Row],[Precio Final]]</f>
        <v>10</v>
      </c>
      <c r="I388" s="54">
        <f>STOCK[[#This Row],[Precio Venta Ideal (x1.5)]]</f>
        <v>11.6666666666667</v>
      </c>
      <c r="J388" s="71">
        <v>3</v>
      </c>
      <c r="K388" s="71">
        <f>SUMIFS(VENTAS[Cantidad],VENTAS[Código del producto Vendido],STOCK[[#This Row],[Code]])</f>
        <v>3</v>
      </c>
      <c r="L388" s="71">
        <f>STOCK[[#This Row],[Entradas]]-STOCK[[#This Row],[Salidas]]</f>
        <v>0</v>
      </c>
      <c r="M388" s="54">
        <f>STOCK[[#This Row],[Precio Final]]*10%</f>
        <v>1</v>
      </c>
      <c r="N388" s="54">
        <v>113</v>
      </c>
      <c r="O388" s="54">
        <v>18</v>
      </c>
      <c r="P388" s="54">
        <v>6.27777777777778</v>
      </c>
      <c r="Q388" s="71">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53" t="s">
        <v>822</v>
      </c>
      <c r="F389" s="53" t="s">
        <v>62</v>
      </c>
      <c r="G389" s="53" t="s">
        <v>36</v>
      </c>
      <c r="H389" s="53">
        <f>STOCK[[#This Row],[Precio Final]]</f>
        <v>10</v>
      </c>
      <c r="I389" s="53">
        <f>STOCK[[#This Row],[Precio Venta Ideal (x1.5)]]</f>
        <v>13.5</v>
      </c>
      <c r="J389" s="70">
        <v>1</v>
      </c>
      <c r="K389" s="70">
        <f>SUMIFS(VENTAS[Cantidad],VENTAS[Código del producto Vendido],STOCK[[#This Row],[Code]])</f>
        <v>1</v>
      </c>
      <c r="L389" s="70">
        <f>STOCK[[#This Row],[Entradas]]-STOCK[[#This Row],[Salidas]]</f>
        <v>0</v>
      </c>
      <c r="M389" s="53">
        <f>STOCK[[#This Row],[Precio Final]]*10%</f>
        <v>1</v>
      </c>
      <c r="N389" s="53">
        <v>135</v>
      </c>
      <c r="O389" s="53">
        <v>18</v>
      </c>
      <c r="P389" s="53">
        <v>7.5</v>
      </c>
      <c r="Q389" s="70">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54" t="s">
        <v>824</v>
      </c>
      <c r="F390" s="54" t="s">
        <v>62</v>
      </c>
      <c r="G390" s="54" t="s">
        <v>36</v>
      </c>
      <c r="H390" s="54">
        <f>STOCK[[#This Row],[Precio Final]]</f>
        <v>15</v>
      </c>
      <c r="I390" s="54">
        <f>STOCK[[#This Row],[Precio Venta Ideal (x1.5)]]</f>
        <v>12.4166666666667</v>
      </c>
      <c r="J390" s="71">
        <v>1</v>
      </c>
      <c r="K390" s="71">
        <f>SUMIFS(VENTAS[Cantidad],VENTAS[Código del producto Vendido],STOCK[[#This Row],[Code]])</f>
        <v>0</v>
      </c>
      <c r="L390" s="71">
        <f>STOCK[[#This Row],[Entradas]]-STOCK[[#This Row],[Salidas]]</f>
        <v>1</v>
      </c>
      <c r="M390" s="54">
        <f>STOCK[[#This Row],[Precio Final]]*10%</f>
        <v>1.5</v>
      </c>
      <c r="N390" s="54">
        <v>113</v>
      </c>
      <c r="O390" s="54">
        <v>18</v>
      </c>
      <c r="P390" s="54">
        <v>6.27777777777778</v>
      </c>
      <c r="Q390" s="71">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53" t="s">
        <v>826</v>
      </c>
      <c r="F391" s="53" t="s">
        <v>40</v>
      </c>
      <c r="G391" s="53" t="s">
        <v>36</v>
      </c>
      <c r="H391" s="53">
        <f>STOCK[[#This Row],[Precio Final]]</f>
        <v>20</v>
      </c>
      <c r="I391" s="53">
        <f>STOCK[[#This Row],[Precio Venta Ideal (x1.5)]]</f>
        <v>12.8333333333333</v>
      </c>
      <c r="J391" s="70">
        <v>1</v>
      </c>
      <c r="K391" s="70">
        <f>SUMIFS(VENTAS[Cantidad],VENTAS[Código del producto Vendido],STOCK[[#This Row],[Code]])</f>
        <v>1</v>
      </c>
      <c r="L391" s="70">
        <f>STOCK[[#This Row],[Entradas]]-STOCK[[#This Row],[Salidas]]</f>
        <v>0</v>
      </c>
      <c r="M391" s="53">
        <f>STOCK[[#This Row],[Precio Final]]*10%</f>
        <v>2</v>
      </c>
      <c r="N391" s="53">
        <v>109</v>
      </c>
      <c r="O391" s="53">
        <v>18</v>
      </c>
      <c r="P391" s="53">
        <v>6.05555555555556</v>
      </c>
      <c r="Q391" s="70">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54" t="s">
        <v>829</v>
      </c>
      <c r="F392" s="54" t="s">
        <v>46</v>
      </c>
      <c r="G392" s="54" t="s">
        <v>36</v>
      </c>
      <c r="H392" s="54">
        <f>STOCK[[#This Row],[Precio Final]]</f>
        <v>12</v>
      </c>
      <c r="I392" s="54">
        <f>STOCK[[#This Row],[Precio Venta Ideal (x1.5)]]</f>
        <v>12.3833333333333</v>
      </c>
      <c r="J392" s="71">
        <v>1</v>
      </c>
      <c r="K392" s="71">
        <f>SUMIFS(VENTAS[Cantidad],VENTAS[Código del producto Vendido],STOCK[[#This Row],[Code]])</f>
        <v>1</v>
      </c>
      <c r="L392" s="71">
        <f>STOCK[[#This Row],[Entradas]]-STOCK[[#This Row],[Salidas]]</f>
        <v>0</v>
      </c>
      <c r="M392" s="54">
        <f>STOCK[[#This Row],[Precio Final]]*10%</f>
        <v>1.2</v>
      </c>
      <c r="N392" s="54">
        <v>109</v>
      </c>
      <c r="O392" s="54">
        <v>18</v>
      </c>
      <c r="P392" s="54">
        <v>6.05555555555556</v>
      </c>
      <c r="Q392" s="71">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53" t="s">
        <v>831</v>
      </c>
      <c r="F393" s="53" t="s">
        <v>62</v>
      </c>
      <c r="G393" s="53" t="s">
        <v>36</v>
      </c>
      <c r="H393" s="53">
        <f>STOCK[[#This Row],[Precio Final]]</f>
        <v>15</v>
      </c>
      <c r="I393" s="53">
        <f>STOCK[[#This Row],[Precio Venta Ideal (x1.5)]]</f>
        <v>16.0833333333333</v>
      </c>
      <c r="J393" s="70">
        <v>1</v>
      </c>
      <c r="K393" s="70">
        <f>SUMIFS(VENTAS[Cantidad],VENTAS[Código del producto Vendido],STOCK[[#This Row],[Code]])</f>
        <v>1</v>
      </c>
      <c r="L393" s="70">
        <f>STOCK[[#This Row],[Entradas]]-STOCK[[#This Row],[Salidas]]</f>
        <v>0</v>
      </c>
      <c r="M393" s="53">
        <f>STOCK[[#This Row],[Precio Final]]*10%</f>
        <v>1.5</v>
      </c>
      <c r="N393" s="53">
        <v>148</v>
      </c>
      <c r="O393" s="53">
        <v>18</v>
      </c>
      <c r="P393" s="53">
        <v>8.22222222222222</v>
      </c>
      <c r="Q393" s="70">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54" t="s">
        <v>833</v>
      </c>
      <c r="F394" s="54" t="s">
        <v>40</v>
      </c>
      <c r="G394" s="54" t="s">
        <v>36</v>
      </c>
      <c r="H394" s="54">
        <f>STOCK[[#This Row],[Precio Final]]</f>
        <v>25</v>
      </c>
      <c r="I394" s="54">
        <f>STOCK[[#This Row],[Precio Venta Ideal (x1.5)]]</f>
        <v>17.75</v>
      </c>
      <c r="J394" s="71">
        <v>3</v>
      </c>
      <c r="K394" s="71">
        <f>SUMIFS(VENTAS[Cantidad],VENTAS[Código del producto Vendido],STOCK[[#This Row],[Code]])</f>
        <v>1</v>
      </c>
      <c r="L394" s="71">
        <f>STOCK[[#This Row],[Entradas]]-STOCK[[#This Row],[Salidas]]</f>
        <v>2</v>
      </c>
      <c r="M394" s="54">
        <f>STOCK[[#This Row],[Precio Final]]*10%</f>
        <v>2.5</v>
      </c>
      <c r="N394" s="54">
        <v>150</v>
      </c>
      <c r="O394" s="54">
        <v>18</v>
      </c>
      <c r="P394" s="54">
        <v>8.33333333333333</v>
      </c>
      <c r="Q394" s="71">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53" t="s">
        <v>836</v>
      </c>
      <c r="F395" s="53" t="s">
        <v>525</v>
      </c>
      <c r="G395" s="53" t="s">
        <v>36</v>
      </c>
      <c r="H395" s="53">
        <f>STOCK[[#This Row],[Precio Final]]</f>
        <v>10</v>
      </c>
      <c r="I395" s="53">
        <f>STOCK[[#This Row],[Precio Venta Ideal (x1.5)]]</f>
        <v>8</v>
      </c>
      <c r="J395" s="70">
        <v>2</v>
      </c>
      <c r="K395" s="70">
        <f>SUMIFS(VENTAS[Cantidad],VENTAS[Código del producto Vendido],STOCK[[#This Row],[Code]])</f>
        <v>1</v>
      </c>
      <c r="L395" s="70">
        <f>STOCK[[#This Row],[Entradas]]-STOCK[[#This Row],[Salidas]]</f>
        <v>1</v>
      </c>
      <c r="M395" s="53">
        <f>STOCK[[#This Row],[Precio Final]]*10%</f>
        <v>1</v>
      </c>
      <c r="N395" s="53">
        <v>69</v>
      </c>
      <c r="O395" s="53">
        <v>18</v>
      </c>
      <c r="P395" s="53">
        <v>3.83333333333333</v>
      </c>
      <c r="Q395" s="70">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54" t="s">
        <v>838</v>
      </c>
      <c r="F396" s="54" t="s">
        <v>40</v>
      </c>
      <c r="G396" s="54" t="s">
        <v>36</v>
      </c>
      <c r="H396" s="54">
        <f>STOCK[[#This Row],[Precio Final]]</f>
        <v>35</v>
      </c>
      <c r="I396" s="54">
        <f>STOCK[[#This Row],[Precio Venta Ideal (x1.5)]]</f>
        <v>44.8333333333333</v>
      </c>
      <c r="J396" s="71">
        <v>1</v>
      </c>
      <c r="K396" s="71">
        <f>SUMIFS(VENTAS[Cantidad],VENTAS[Código del producto Vendido],STOCK[[#This Row],[Code]])</f>
        <v>1</v>
      </c>
      <c r="L396" s="71">
        <f>STOCK[[#This Row],[Entradas]]-STOCK[[#This Row],[Salidas]]</f>
        <v>0</v>
      </c>
      <c r="M396" s="54">
        <f>STOCK[[#This Row],[Precio Final]]*10%</f>
        <v>3.5</v>
      </c>
      <c r="N396" s="54">
        <v>385</v>
      </c>
      <c r="O396" s="54">
        <v>18</v>
      </c>
      <c r="P396" s="54">
        <v>21.3888888888889</v>
      </c>
      <c r="Q396" s="71">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53" t="s">
        <v>840</v>
      </c>
      <c r="F397" s="53" t="s">
        <v>62</v>
      </c>
      <c r="G397" s="53" t="s">
        <v>36</v>
      </c>
      <c r="H397" s="53">
        <f>STOCK[[#This Row],[Precio Final]]</f>
        <v>9</v>
      </c>
      <c r="I397" s="53">
        <f>STOCK[[#This Row],[Precio Venta Ideal (x1.5)]]</f>
        <v>7.35</v>
      </c>
      <c r="J397" s="70">
        <v>1</v>
      </c>
      <c r="K397" s="70">
        <f>SUMIFS(VENTAS[Cantidad],VENTAS[Código del producto Vendido],STOCK[[#This Row],[Code]])</f>
        <v>0</v>
      </c>
      <c r="L397" s="70">
        <f>STOCK[[#This Row],[Entradas]]-STOCK[[#This Row],[Salidas]]</f>
        <v>1</v>
      </c>
      <c r="M397" s="53">
        <f>STOCK[[#This Row],[Precio Final]]*10%</f>
        <v>0.9</v>
      </c>
      <c r="N397" s="53">
        <v>63</v>
      </c>
      <c r="O397" s="53">
        <v>18</v>
      </c>
      <c r="P397" s="53">
        <v>3.5</v>
      </c>
      <c r="Q397" s="70">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54" t="s">
        <v>842</v>
      </c>
      <c r="F398" s="54" t="s">
        <v>62</v>
      </c>
      <c r="G398" s="54" t="s">
        <v>36</v>
      </c>
      <c r="H398" s="54">
        <f>STOCK[[#This Row],[Precio Final]]</f>
        <v>10</v>
      </c>
      <c r="I398" s="54">
        <f>STOCK[[#This Row],[Precio Venta Ideal (x1.5)]]</f>
        <v>7.01666666666667</v>
      </c>
      <c r="J398" s="71">
        <v>1</v>
      </c>
      <c r="K398" s="71">
        <f>SUMIFS(VENTAS[Cantidad],VENTAS[Código del producto Vendido],STOCK[[#This Row],[Code]])</f>
        <v>1</v>
      </c>
      <c r="L398" s="71">
        <f>STOCK[[#This Row],[Entradas]]-STOCK[[#This Row],[Salidas]]</f>
        <v>0</v>
      </c>
      <c r="M398" s="54">
        <f>STOCK[[#This Row],[Precio Final]]*10%</f>
        <v>1</v>
      </c>
      <c r="N398" s="54">
        <v>59</v>
      </c>
      <c r="O398" s="54">
        <v>18</v>
      </c>
      <c r="P398" s="54">
        <v>3.27777777777778</v>
      </c>
      <c r="Q398" s="71">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53" t="s">
        <v>844</v>
      </c>
      <c r="F399" s="53" t="s">
        <v>46</v>
      </c>
      <c r="G399" s="53" t="s">
        <v>36</v>
      </c>
      <c r="H399" s="53">
        <f>STOCK[[#This Row],[Precio Final]]</f>
        <v>9</v>
      </c>
      <c r="I399" s="53">
        <f>STOCK[[#This Row],[Precio Venta Ideal (x1.5)]]</f>
        <v>6.53333333333334</v>
      </c>
      <c r="J399" s="70">
        <v>1</v>
      </c>
      <c r="K399" s="70">
        <f>SUMIFS(VENTAS[Cantidad],VENTAS[Código del producto Vendido],STOCK[[#This Row],[Code]])</f>
        <v>1</v>
      </c>
      <c r="L399" s="70">
        <f>STOCK[[#This Row],[Entradas]]-STOCK[[#This Row],[Salidas]]</f>
        <v>0</v>
      </c>
      <c r="M399" s="53">
        <f>STOCK[[#This Row],[Precio Final]]*10%</f>
        <v>0.9</v>
      </c>
      <c r="N399" s="53">
        <v>55</v>
      </c>
      <c r="O399" s="53">
        <v>18</v>
      </c>
      <c r="P399" s="53">
        <v>3.05555555555556</v>
      </c>
      <c r="Q399" s="70">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54" t="s">
        <v>846</v>
      </c>
      <c r="F400" s="54" t="s">
        <v>49</v>
      </c>
      <c r="G400" s="54" t="s">
        <v>36</v>
      </c>
      <c r="H400" s="54">
        <f>STOCK[[#This Row],[Precio Final]]</f>
        <v>12</v>
      </c>
      <c r="I400" s="54">
        <f>STOCK[[#This Row],[Precio Venta Ideal (x1.5)]]</f>
        <v>8.11666666666666</v>
      </c>
      <c r="J400" s="71">
        <v>1</v>
      </c>
      <c r="K400" s="71">
        <f>SUMIFS(VENTAS[Cantidad],VENTAS[Código del producto Vendido],STOCK[[#This Row],[Code]])</f>
        <v>0</v>
      </c>
      <c r="L400" s="71">
        <f>STOCK[[#This Row],[Entradas]]-STOCK[[#This Row],[Salidas]]</f>
        <v>1</v>
      </c>
      <c r="M400" s="54">
        <f>STOCK[[#This Row],[Precio Final]]*10%</f>
        <v>1.2</v>
      </c>
      <c r="N400" s="54">
        <v>65</v>
      </c>
      <c r="O400" s="54">
        <v>18</v>
      </c>
      <c r="P400" s="54">
        <v>3.61111111111111</v>
      </c>
      <c r="Q400" s="71">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53" t="s">
        <v>846</v>
      </c>
      <c r="F401" s="53" t="s">
        <v>62</v>
      </c>
      <c r="G401" s="53" t="s">
        <v>36</v>
      </c>
      <c r="H401" s="53">
        <f>STOCK[[#This Row],[Precio Final]]</f>
        <v>12</v>
      </c>
      <c r="I401" s="53">
        <f>STOCK[[#This Row],[Precio Venta Ideal (x1.5)]]</f>
        <v>8.11666666666666</v>
      </c>
      <c r="J401" s="70">
        <v>1</v>
      </c>
      <c r="K401" s="70">
        <f>SUMIFS(VENTAS[Cantidad],VENTAS[Código del producto Vendido],STOCK[[#This Row],[Code]])</f>
        <v>0</v>
      </c>
      <c r="L401" s="70">
        <f>STOCK[[#This Row],[Entradas]]-STOCK[[#This Row],[Salidas]]</f>
        <v>1</v>
      </c>
      <c r="M401" s="53">
        <f>STOCK[[#This Row],[Precio Final]]*10%</f>
        <v>1.2</v>
      </c>
      <c r="N401" s="53">
        <v>65</v>
      </c>
      <c r="O401" s="53">
        <v>18</v>
      </c>
      <c r="P401" s="53">
        <v>3.61111111111111</v>
      </c>
      <c r="Q401" s="70">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54" t="s">
        <v>849</v>
      </c>
      <c r="F402" s="54" t="s">
        <v>46</v>
      </c>
      <c r="G402" s="54" t="s">
        <v>36</v>
      </c>
      <c r="H402" s="54">
        <f>STOCK[[#This Row],[Precio Final]]</f>
        <v>12</v>
      </c>
      <c r="I402" s="54">
        <f>STOCK[[#This Row],[Precio Venta Ideal (x1.5)]]</f>
        <v>8.59999999999999</v>
      </c>
      <c r="J402" s="71">
        <v>1</v>
      </c>
      <c r="K402" s="71">
        <f>SUMIFS(VENTAS[Cantidad],VENTAS[Código del producto Vendido],STOCK[[#This Row],[Code]])</f>
        <v>0</v>
      </c>
      <c r="L402" s="71">
        <f>STOCK[[#This Row],[Entradas]]-STOCK[[#This Row],[Salidas]]</f>
        <v>1</v>
      </c>
      <c r="M402" s="54">
        <f>STOCK[[#This Row],[Precio Final]]*10%</f>
        <v>1.2</v>
      </c>
      <c r="N402" s="54">
        <v>69</v>
      </c>
      <c r="O402" s="54">
        <v>18</v>
      </c>
      <c r="P402" s="54">
        <v>3.83333333333333</v>
      </c>
      <c r="Q402" s="71">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53" t="s">
        <v>851</v>
      </c>
      <c r="F403" s="53" t="s">
        <v>49</v>
      </c>
      <c r="G403" s="53" t="s">
        <v>36</v>
      </c>
      <c r="H403" s="53">
        <f>STOCK[[#This Row],[Precio Final]]</f>
        <v>30</v>
      </c>
      <c r="I403" s="53">
        <f>STOCK[[#This Row],[Precio Venta Ideal (x1.5)]]</f>
        <v>34.5833333333334</v>
      </c>
      <c r="J403" s="70">
        <v>1</v>
      </c>
      <c r="K403" s="70">
        <f>SUMIFS(VENTAS[Cantidad],VENTAS[Código del producto Vendido],STOCK[[#This Row],[Code]])</f>
        <v>1</v>
      </c>
      <c r="L403" s="70">
        <f>STOCK[[#This Row],[Entradas]]-STOCK[[#This Row],[Salidas]]</f>
        <v>0</v>
      </c>
      <c r="M403" s="53">
        <f>STOCK[[#This Row],[Precio Final]]*10%</f>
        <v>3</v>
      </c>
      <c r="N403" s="53">
        <v>289</v>
      </c>
      <c r="O403" s="53">
        <v>18</v>
      </c>
      <c r="P403" s="53">
        <v>16.0555555555556</v>
      </c>
      <c r="Q403" s="70">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54" t="s">
        <v>853</v>
      </c>
      <c r="F404" s="54" t="s">
        <v>62</v>
      </c>
      <c r="G404" s="54" t="s">
        <v>36</v>
      </c>
      <c r="H404" s="54">
        <f>STOCK[[#This Row],[Precio Final]]</f>
        <v>25</v>
      </c>
      <c r="I404" s="54">
        <f>STOCK[[#This Row],[Precio Venta Ideal (x1.5)]]</f>
        <v>28.9166666666667</v>
      </c>
      <c r="J404" s="71">
        <v>1</v>
      </c>
      <c r="K404" s="71">
        <f>SUMIFS(VENTAS[Cantidad],VENTAS[Código del producto Vendido],STOCK[[#This Row],[Code]])</f>
        <v>1</v>
      </c>
      <c r="L404" s="71">
        <f>STOCK[[#This Row],[Entradas]]-STOCK[[#This Row],[Salidas]]</f>
        <v>0</v>
      </c>
      <c r="M404" s="54">
        <f>STOCK[[#This Row],[Precio Final]]*10%</f>
        <v>2.5</v>
      </c>
      <c r="N404" s="54">
        <v>275</v>
      </c>
      <c r="O404" s="54">
        <v>18</v>
      </c>
      <c r="P404" s="54">
        <v>15.2777777777778</v>
      </c>
      <c r="Q404" s="71">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53" t="s">
        <v>855</v>
      </c>
      <c r="F405" s="53" t="s">
        <v>46</v>
      </c>
      <c r="G405" s="53" t="s">
        <v>36</v>
      </c>
      <c r="H405" s="53">
        <f>STOCK[[#This Row],[Precio Final]]</f>
        <v>10</v>
      </c>
      <c r="I405" s="53">
        <f>STOCK[[#This Row],[Precio Venta Ideal (x1.5)]]</f>
        <v>7.36666666666666</v>
      </c>
      <c r="J405" s="70">
        <v>0</v>
      </c>
      <c r="K405" s="70">
        <f>SUMIFS(VENTAS[Cantidad],VENTAS[Código del producto Vendido],STOCK[[#This Row],[Code]])</f>
        <v>0</v>
      </c>
      <c r="L405" s="70">
        <f>STOCK[[#This Row],[Entradas]]-STOCK[[#This Row],[Salidas]]</f>
        <v>0</v>
      </c>
      <c r="M405" s="53">
        <f>STOCK[[#This Row],[Precio Final]]*10%</f>
        <v>1</v>
      </c>
      <c r="N405" s="53">
        <v>65</v>
      </c>
      <c r="O405" s="53">
        <v>18</v>
      </c>
      <c r="P405" s="53">
        <v>3.61111111111111</v>
      </c>
      <c r="Q405" s="70">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54" t="s">
        <v>858</v>
      </c>
      <c r="F406" s="54" t="s">
        <v>525</v>
      </c>
      <c r="G406" s="54" t="s">
        <v>36</v>
      </c>
      <c r="H406" s="54">
        <f>STOCK[[#This Row],[Precio Final]]</f>
        <v>7</v>
      </c>
      <c r="I406" s="54">
        <f>STOCK[[#This Row],[Precio Venta Ideal (x1.5)]]</f>
        <v>5.66666666666667</v>
      </c>
      <c r="J406" s="71">
        <v>1</v>
      </c>
      <c r="K406" s="71">
        <f>SUMIFS(VENTAS[Cantidad],VENTAS[Código del producto Vendido],STOCK[[#This Row],[Code]])</f>
        <v>0</v>
      </c>
      <c r="L406" s="71">
        <f>STOCK[[#This Row],[Entradas]]-STOCK[[#This Row],[Salidas]]</f>
        <v>1</v>
      </c>
      <c r="M406" s="54">
        <f>STOCK[[#This Row],[Precio Final]]*10%</f>
        <v>0.7</v>
      </c>
      <c r="N406" s="54">
        <v>50</v>
      </c>
      <c r="O406" s="54">
        <v>18</v>
      </c>
      <c r="P406" s="54">
        <v>2.77777777777778</v>
      </c>
      <c r="Q406" s="71">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53" t="s">
        <v>860</v>
      </c>
      <c r="F407" s="53" t="s">
        <v>62</v>
      </c>
      <c r="G407" s="53" t="s">
        <v>36</v>
      </c>
      <c r="H407" s="53">
        <f>STOCK[[#This Row],[Precio Final]]</f>
        <v>16</v>
      </c>
      <c r="I407" s="53">
        <f>STOCK[[#This Row],[Precio Venta Ideal (x1.5)]]</f>
        <v>16.0666666666667</v>
      </c>
      <c r="J407" s="70">
        <v>1</v>
      </c>
      <c r="K407" s="70">
        <f>SUMIFS(VENTAS[Cantidad],VENTAS[Código del producto Vendido],STOCK[[#This Row],[Code]])</f>
        <v>1</v>
      </c>
      <c r="L407" s="70">
        <f>STOCK[[#This Row],[Entradas]]-STOCK[[#This Row],[Salidas]]</f>
        <v>0</v>
      </c>
      <c r="M407" s="53">
        <f>STOCK[[#This Row],[Precio Final]]*10%</f>
        <v>1.6</v>
      </c>
      <c r="N407" s="53">
        <v>110</v>
      </c>
      <c r="O407" s="53">
        <v>18</v>
      </c>
      <c r="P407" s="53">
        <v>6.11111111111111</v>
      </c>
      <c r="Q407" s="70">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54" t="s">
        <v>862</v>
      </c>
      <c r="F408" s="54" t="s">
        <v>211</v>
      </c>
      <c r="G408" s="54" t="s">
        <v>36</v>
      </c>
      <c r="H408" s="54">
        <f>STOCK[[#This Row],[Precio Final]]</f>
        <v>18</v>
      </c>
      <c r="I408" s="54">
        <f>STOCK[[#This Row],[Precio Venta Ideal (x1.5)]]</f>
        <v>16.3666666666667</v>
      </c>
      <c r="J408" s="71">
        <v>2</v>
      </c>
      <c r="K408" s="71">
        <f>SUMIFS(VENTAS[Cantidad],VENTAS[Código del producto Vendido],STOCK[[#This Row],[Code]])</f>
        <v>2</v>
      </c>
      <c r="L408" s="71">
        <f>STOCK[[#This Row],[Entradas]]-STOCK[[#This Row],[Salidas]]</f>
        <v>0</v>
      </c>
      <c r="M408" s="54">
        <f>STOCK[[#This Row],[Precio Final]]*10%</f>
        <v>1.8</v>
      </c>
      <c r="N408" s="54">
        <v>110</v>
      </c>
      <c r="O408" s="54">
        <v>18</v>
      </c>
      <c r="P408" s="54">
        <v>6.11111111111111</v>
      </c>
      <c r="Q408" s="71">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53" t="s">
        <v>864</v>
      </c>
      <c r="F409" s="53" t="s">
        <v>62</v>
      </c>
      <c r="G409" s="53" t="s">
        <v>36</v>
      </c>
      <c r="H409" s="53">
        <f>STOCK[[#This Row],[Precio Final]]</f>
        <v>20</v>
      </c>
      <c r="I409" s="53">
        <f>STOCK[[#This Row],[Precio Venta Ideal (x1.5)]]</f>
        <v>23.1666666666666</v>
      </c>
      <c r="J409" s="70">
        <v>2</v>
      </c>
      <c r="K409" s="70">
        <f>SUMIFS(VENTAS[Cantidad],VENTAS[Código del producto Vendido],STOCK[[#This Row],[Code]])</f>
        <v>2</v>
      </c>
      <c r="L409" s="70">
        <f>STOCK[[#This Row],[Entradas]]-STOCK[[#This Row],[Salidas]]</f>
        <v>0</v>
      </c>
      <c r="M409" s="53">
        <f>STOCK[[#This Row],[Precio Final]]*10%</f>
        <v>2</v>
      </c>
      <c r="N409" s="53">
        <v>206</v>
      </c>
      <c r="O409" s="53">
        <v>18</v>
      </c>
      <c r="P409" s="53">
        <v>11.4444444444444</v>
      </c>
      <c r="Q409" s="70">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54" t="s">
        <v>866</v>
      </c>
      <c r="F410" s="54" t="s">
        <v>49</v>
      </c>
      <c r="G410" s="54" t="s">
        <v>36</v>
      </c>
      <c r="H410" s="54">
        <f>STOCK[[#This Row],[Precio Final]]</f>
        <v>20</v>
      </c>
      <c r="I410" s="54">
        <f>STOCK[[#This Row],[Precio Venta Ideal (x1.5)]]</f>
        <v>23.1666666666666</v>
      </c>
      <c r="J410" s="71">
        <v>1</v>
      </c>
      <c r="K410" s="71">
        <f>SUMIFS(VENTAS[Cantidad],VENTAS[Código del producto Vendido],STOCK[[#This Row],[Code]])</f>
        <v>1</v>
      </c>
      <c r="L410" s="71">
        <f>STOCK[[#This Row],[Entradas]]-STOCK[[#This Row],[Salidas]]</f>
        <v>0</v>
      </c>
      <c r="M410" s="54">
        <f>STOCK[[#This Row],[Precio Final]]*10%</f>
        <v>2</v>
      </c>
      <c r="N410" s="54">
        <v>206</v>
      </c>
      <c r="O410" s="54">
        <v>18</v>
      </c>
      <c r="P410" s="54">
        <v>11.4444444444444</v>
      </c>
      <c r="Q410" s="71">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53" t="s">
        <v>868</v>
      </c>
      <c r="F411" s="53" t="s">
        <v>49</v>
      </c>
      <c r="G411" s="53" t="s">
        <v>36</v>
      </c>
      <c r="H411" s="53">
        <f>STOCK[[#This Row],[Precio Final]]</f>
        <v>20</v>
      </c>
      <c r="I411" s="53">
        <f>STOCK[[#This Row],[Precio Venta Ideal (x1.5)]]</f>
        <v>16.6666666666667</v>
      </c>
      <c r="J411" s="70">
        <v>1</v>
      </c>
      <c r="K411" s="70">
        <f>SUMIFS(VENTAS[Cantidad],VENTAS[Código del producto Vendido],STOCK[[#This Row],[Code]])</f>
        <v>0</v>
      </c>
      <c r="L411" s="70">
        <f>STOCK[[#This Row],[Entradas]]-STOCK[[#This Row],[Salidas]]</f>
        <v>1</v>
      </c>
      <c r="M411" s="53">
        <f>STOCK[[#This Row],[Precio Final]]*10%</f>
        <v>2</v>
      </c>
      <c r="N411" s="53">
        <v>128</v>
      </c>
      <c r="O411" s="53">
        <v>18</v>
      </c>
      <c r="P411" s="53">
        <v>7.11111111111111</v>
      </c>
      <c r="Q411" s="70">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54" t="s">
        <v>870</v>
      </c>
      <c r="F412" s="54" t="s">
        <v>205</v>
      </c>
      <c r="G412" s="54" t="s">
        <v>36</v>
      </c>
      <c r="H412" s="54">
        <f>STOCK[[#This Row],[Precio Final]]</f>
        <v>16</v>
      </c>
      <c r="I412" s="54">
        <f>STOCK[[#This Row],[Precio Venta Ideal (x1.5)]]</f>
        <v>17.9</v>
      </c>
      <c r="J412" s="71">
        <v>1</v>
      </c>
      <c r="K412" s="71">
        <f>SUMIFS(VENTAS[Cantidad],VENTAS[Código del producto Vendido],STOCK[[#This Row],[Code]])</f>
        <v>1</v>
      </c>
      <c r="L412" s="71">
        <f>STOCK[[#This Row],[Entradas]]-STOCK[[#This Row],[Salidas]]</f>
        <v>0</v>
      </c>
      <c r="M412" s="54">
        <f>STOCK[[#This Row],[Precio Final]]*10%</f>
        <v>1.6</v>
      </c>
      <c r="N412" s="54">
        <v>150</v>
      </c>
      <c r="O412" s="54">
        <v>18</v>
      </c>
      <c r="P412" s="54">
        <v>8.33333333333333</v>
      </c>
      <c r="Q412" s="71">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53" t="s">
        <v>872</v>
      </c>
      <c r="F413" s="53" t="s">
        <v>540</v>
      </c>
      <c r="G413" s="53" t="s">
        <v>36</v>
      </c>
      <c r="H413" s="53">
        <f>STOCK[[#This Row],[Precio Final]]</f>
        <v>35</v>
      </c>
      <c r="I413" s="53">
        <f>STOCK[[#This Row],[Precio Venta Ideal (x1.5)]]</f>
        <v>41.25</v>
      </c>
      <c r="J413" s="70">
        <v>0</v>
      </c>
      <c r="K413" s="70">
        <f>SUMIFS(VENTAS[Cantidad],VENTAS[Código del producto Vendido],STOCK[[#This Row],[Code]])</f>
        <v>0</v>
      </c>
      <c r="L413" s="70">
        <f>STOCK[[#This Row],[Entradas]]-STOCK[[#This Row],[Salidas]]</f>
        <v>0</v>
      </c>
      <c r="M413" s="53">
        <f>STOCK[[#This Row],[Precio Final]]*10%</f>
        <v>3.5</v>
      </c>
      <c r="N413" s="53">
        <v>485</v>
      </c>
      <c r="O413" s="53">
        <v>18</v>
      </c>
      <c r="P413" s="53">
        <v>18</v>
      </c>
      <c r="Q413" s="70">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54" t="s">
        <v>874</v>
      </c>
      <c r="F414" s="54" t="s">
        <v>759</v>
      </c>
      <c r="G414" s="54" t="s">
        <v>36</v>
      </c>
      <c r="H414" s="54">
        <f>STOCK[[#This Row],[Precio Final]]</f>
        <v>40</v>
      </c>
      <c r="I414" s="54">
        <f>STOCK[[#This Row],[Precio Venta Ideal (x1.5)]]</f>
        <v>56.9166666666666</v>
      </c>
      <c r="J414" s="71">
        <v>1</v>
      </c>
      <c r="K414" s="71">
        <f>SUMIFS(VENTAS[Cantidad],VENTAS[Código del producto Vendido],STOCK[[#This Row],[Code]])</f>
        <v>1</v>
      </c>
      <c r="L414" s="71">
        <f>STOCK[[#This Row],[Entradas]]-STOCK[[#This Row],[Salidas]]</f>
        <v>0</v>
      </c>
      <c r="M414" s="54">
        <f>STOCK[[#This Row],[Precio Final]]*10%</f>
        <v>4</v>
      </c>
      <c r="N414" s="54">
        <v>485</v>
      </c>
      <c r="O414" s="54">
        <v>18</v>
      </c>
      <c r="P414" s="54">
        <v>26.9444444444444</v>
      </c>
      <c r="Q414" s="71">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53" t="s">
        <v>876</v>
      </c>
      <c r="F415" s="53" t="s">
        <v>540</v>
      </c>
      <c r="G415" s="53" t="s">
        <v>36</v>
      </c>
      <c r="H415" s="53">
        <f>STOCK[[#This Row],[Precio Final]]</f>
        <v>40</v>
      </c>
      <c r="I415" s="53">
        <f>STOCK[[#This Row],[Precio Venta Ideal (x1.5)]]</f>
        <v>54.1666666666667</v>
      </c>
      <c r="J415" s="70">
        <v>1</v>
      </c>
      <c r="K415" s="70">
        <f>SUMIFS(VENTAS[Cantidad],VENTAS[Código del producto Vendido],STOCK[[#This Row],[Code]])</f>
        <v>0</v>
      </c>
      <c r="L415" s="70">
        <f>STOCK[[#This Row],[Entradas]]-STOCK[[#This Row],[Salidas]]</f>
        <v>1</v>
      </c>
      <c r="M415" s="53">
        <f>STOCK[[#This Row],[Precio Final]]*10%</f>
        <v>4</v>
      </c>
      <c r="N415" s="53">
        <v>452</v>
      </c>
      <c r="O415" s="53">
        <v>18</v>
      </c>
      <c r="P415" s="53">
        <v>25.1111111111111</v>
      </c>
      <c r="Q415" s="70">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54" t="s">
        <v>878</v>
      </c>
      <c r="F416" s="54" t="s">
        <v>394</v>
      </c>
      <c r="G416" s="54" t="s">
        <v>36</v>
      </c>
      <c r="H416" s="54">
        <f>STOCK[[#This Row],[Precio Final]]</f>
        <v>7</v>
      </c>
      <c r="I416" s="54">
        <f>STOCK[[#This Row],[Precio Venta Ideal (x1.5)]]</f>
        <v>6.61666666666666</v>
      </c>
      <c r="J416" s="71">
        <v>4</v>
      </c>
      <c r="K416" s="71">
        <f>SUMIFS(VENTAS[Cantidad],VENTAS[Código del producto Vendido],STOCK[[#This Row],[Code]])</f>
        <v>4</v>
      </c>
      <c r="L416" s="71">
        <f>STOCK[[#This Row],[Entradas]]-STOCK[[#This Row],[Salidas]]</f>
        <v>0</v>
      </c>
      <c r="M416" s="54">
        <f>STOCK[[#This Row],[Precio Final]]*10%</f>
        <v>0.7</v>
      </c>
      <c r="N416" s="54">
        <v>65</v>
      </c>
      <c r="O416" s="54">
        <v>18</v>
      </c>
      <c r="P416" s="54">
        <v>3.61111111111111</v>
      </c>
      <c r="Q416" s="71">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53" t="s">
        <v>881</v>
      </c>
      <c r="F417" s="53" t="s">
        <v>882</v>
      </c>
      <c r="G417" s="53" t="s">
        <v>36</v>
      </c>
      <c r="H417" s="53">
        <f>STOCK[[#This Row],[Precio Final]]</f>
        <v>7</v>
      </c>
      <c r="I417" s="53">
        <f>STOCK[[#This Row],[Precio Venta Ideal (x1.5)]]</f>
        <v>6.61666666666666</v>
      </c>
      <c r="J417" s="70">
        <v>4</v>
      </c>
      <c r="K417" s="70">
        <f>SUMIFS(VENTAS[Cantidad],VENTAS[Código del producto Vendido],STOCK[[#This Row],[Code]])</f>
        <v>2</v>
      </c>
      <c r="L417" s="70">
        <f>STOCK[[#This Row],[Entradas]]-STOCK[[#This Row],[Salidas]]</f>
        <v>2</v>
      </c>
      <c r="M417" s="53">
        <f>STOCK[[#This Row],[Precio Final]]*10%</f>
        <v>0.7</v>
      </c>
      <c r="N417" s="53">
        <v>65</v>
      </c>
      <c r="O417" s="53">
        <v>18</v>
      </c>
      <c r="P417" s="53">
        <v>3.61111111111111</v>
      </c>
      <c r="Q417" s="70">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54" t="s">
        <v>884</v>
      </c>
      <c r="F418" s="54" t="s">
        <v>62</v>
      </c>
      <c r="G418" s="54" t="s">
        <v>36</v>
      </c>
      <c r="H418" s="54">
        <f>STOCK[[#This Row],[Precio Final]]</f>
        <v>3.5</v>
      </c>
      <c r="I418" s="54">
        <f>STOCK[[#This Row],[Precio Venta Ideal (x1.5)]]</f>
        <v>3.51666666666666</v>
      </c>
      <c r="J418" s="71">
        <v>5</v>
      </c>
      <c r="K418" s="71">
        <f>SUMIFS(VENTAS[Cantidad],VENTAS[Código del producto Vendido],STOCK[[#This Row],[Code]])</f>
        <v>3</v>
      </c>
      <c r="L418" s="71">
        <f>STOCK[[#This Row],[Entradas]]-STOCK[[#This Row],[Salidas]]</f>
        <v>2</v>
      </c>
      <c r="M418" s="54">
        <f>STOCK[[#This Row],[Precio Final]]*10%</f>
        <v>0.35</v>
      </c>
      <c r="N418" s="54">
        <v>35</v>
      </c>
      <c r="O418" s="54">
        <v>18</v>
      </c>
      <c r="P418" s="54">
        <v>1.94444444444444</v>
      </c>
      <c r="Q418" s="71">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53" t="s">
        <v>886</v>
      </c>
      <c r="F419" s="53" t="s">
        <v>887</v>
      </c>
      <c r="G419" s="53" t="s">
        <v>36</v>
      </c>
      <c r="H419" s="53">
        <f>STOCK[[#This Row],[Precio Final]]</f>
        <v>0</v>
      </c>
      <c r="I419" s="53">
        <f>STOCK[[#This Row],[Precio Venta Ideal (x1.5)]]</f>
        <v>18.1666666666667</v>
      </c>
      <c r="J419" s="70">
        <v>0</v>
      </c>
      <c r="K419" s="70">
        <f>SUMIFS(VENTAS[Cantidad],VENTAS[Código del producto Vendido],STOCK[[#This Row],[Code]])</f>
        <v>0</v>
      </c>
      <c r="L419" s="70">
        <f>STOCK[[#This Row],[Entradas]]-STOCK[[#This Row],[Salidas]]</f>
        <v>0</v>
      </c>
      <c r="M419" s="53">
        <f>STOCK[[#This Row],[Precio Final]]*10%</f>
        <v>0</v>
      </c>
      <c r="N419" s="53">
        <v>200</v>
      </c>
      <c r="O419" s="53">
        <v>18</v>
      </c>
      <c r="P419" s="53">
        <v>11.1111111111111</v>
      </c>
      <c r="Q419" s="70">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54" t="s">
        <v>889</v>
      </c>
      <c r="F420" s="54" t="s">
        <v>187</v>
      </c>
      <c r="G420" s="54" t="s">
        <v>36</v>
      </c>
      <c r="H420" s="54">
        <f>STOCK[[#This Row],[Precio Final]]</f>
        <v>8</v>
      </c>
      <c r="I420" s="54">
        <f>STOCK[[#This Row],[Precio Venta Ideal (x1.5)]]</f>
        <v>6.93333333333333</v>
      </c>
      <c r="J420" s="71">
        <v>0</v>
      </c>
      <c r="K420" s="71">
        <f>SUMIFS(VENTAS[Cantidad],VENTAS[Código del producto Vendido],STOCK[[#This Row],[Code]])</f>
        <v>0</v>
      </c>
      <c r="L420" s="71">
        <f>STOCK[[#This Row],[Entradas]]-STOCK[[#This Row],[Salidas]]</f>
        <v>0</v>
      </c>
      <c r="M420" s="54">
        <f>STOCK[[#This Row],[Precio Final]]*10%</f>
        <v>0.8</v>
      </c>
      <c r="N420" s="54">
        <v>58</v>
      </c>
      <c r="O420" s="54">
        <v>18</v>
      </c>
      <c r="P420" s="54">
        <v>3.22222222222222</v>
      </c>
      <c r="Q420" s="71">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53" t="s">
        <v>884</v>
      </c>
      <c r="F421" s="53" t="s">
        <v>49</v>
      </c>
      <c r="G421" s="53" t="s">
        <v>36</v>
      </c>
      <c r="H421" s="53">
        <f>STOCK[[#This Row],[Precio Final]]</f>
        <v>3.5</v>
      </c>
      <c r="I421" s="53">
        <f>STOCK[[#This Row],[Precio Venta Ideal (x1.5)]]</f>
        <v>3.51666666666666</v>
      </c>
      <c r="J421" s="70">
        <v>5</v>
      </c>
      <c r="K421" s="70">
        <f>SUMIFS(VENTAS[Cantidad],VENTAS[Código del producto Vendido],STOCK[[#This Row],[Code]])</f>
        <v>3</v>
      </c>
      <c r="L421" s="70">
        <f>STOCK[[#This Row],[Entradas]]-STOCK[[#This Row],[Salidas]]</f>
        <v>2</v>
      </c>
      <c r="M421" s="53">
        <f>STOCK[[#This Row],[Precio Final]]*10%</f>
        <v>0.35</v>
      </c>
      <c r="N421" s="53">
        <v>35</v>
      </c>
      <c r="O421" s="53">
        <v>18</v>
      </c>
      <c r="P421" s="53">
        <v>1.94444444444444</v>
      </c>
      <c r="Q421" s="70">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54" t="s">
        <v>892</v>
      </c>
      <c r="F422" s="54" t="s">
        <v>62</v>
      </c>
      <c r="G422" s="54" t="s">
        <v>36</v>
      </c>
      <c r="H422" s="54">
        <f>STOCK[[#This Row],[Precio Final]]</f>
        <v>12</v>
      </c>
      <c r="I422" s="54">
        <f>STOCK[[#This Row],[Precio Venta Ideal (x1.5)]]</f>
        <v>11.3372727272727</v>
      </c>
      <c r="J422" s="71">
        <v>4</v>
      </c>
      <c r="K422" s="71">
        <f>SUMIFS(VENTAS[Cantidad],VENTAS[Código del producto Vendido],STOCK[[#This Row],[Code]])</f>
        <v>4</v>
      </c>
      <c r="L422" s="71">
        <f>STOCK[[#This Row],[Entradas]]-STOCK[[#This Row],[Salidas]]</f>
        <v>0</v>
      </c>
      <c r="M422" s="54">
        <f>STOCK[[#This Row],[Precio Final]]*10%</f>
        <v>1.2</v>
      </c>
      <c r="N422" s="54">
        <v>76</v>
      </c>
      <c r="O422" s="54">
        <v>17.6</v>
      </c>
      <c r="P422" s="54">
        <v>4.31818181818182</v>
      </c>
      <c r="Q422" s="71">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53" t="s">
        <v>895</v>
      </c>
      <c r="F423" s="53" t="s">
        <v>40</v>
      </c>
      <c r="G423" s="53" t="s">
        <v>36</v>
      </c>
      <c r="H423" s="53">
        <f>STOCK[[#This Row],[Precio Final]]</f>
        <v>14</v>
      </c>
      <c r="I423" s="53">
        <f>STOCK[[#This Row],[Precio Venta Ideal (x1.5)]]</f>
        <v>14.0597727272727</v>
      </c>
      <c r="J423" s="70">
        <v>2</v>
      </c>
      <c r="K423" s="70">
        <f>SUMIFS(VENTAS[Cantidad],VENTAS[Código del producto Vendido],STOCK[[#This Row],[Code]])</f>
        <v>2</v>
      </c>
      <c r="L423" s="70">
        <f>STOCK[[#This Row],[Entradas]]-STOCK[[#This Row],[Salidas]]</f>
        <v>0</v>
      </c>
      <c r="M423" s="53">
        <f>STOCK[[#This Row],[Precio Final]]*10%</f>
        <v>1.4</v>
      </c>
      <c r="N423" s="53">
        <v>76</v>
      </c>
      <c r="O423" s="53">
        <v>17.6</v>
      </c>
      <c r="P423" s="53">
        <v>4.31818181818182</v>
      </c>
      <c r="Q423" s="70">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54" t="s">
        <v>895</v>
      </c>
      <c r="F424" s="54" t="s">
        <v>46</v>
      </c>
      <c r="G424" s="54" t="s">
        <v>36</v>
      </c>
      <c r="H424" s="54">
        <f>STOCK[[#This Row],[Precio Final]]</f>
        <v>14</v>
      </c>
      <c r="I424" s="54">
        <f>STOCK[[#This Row],[Precio Venta Ideal (x1.5)]]</f>
        <v>14.0597727272727</v>
      </c>
      <c r="J424" s="71">
        <v>2</v>
      </c>
      <c r="K424" s="71">
        <f>SUMIFS(VENTAS[Cantidad],VENTAS[Código del producto Vendido],STOCK[[#This Row],[Code]])</f>
        <v>2</v>
      </c>
      <c r="L424" s="71">
        <f>STOCK[[#This Row],[Entradas]]-STOCK[[#This Row],[Salidas]]</f>
        <v>0</v>
      </c>
      <c r="M424" s="54">
        <f>STOCK[[#This Row],[Precio Final]]*10%</f>
        <v>1.4</v>
      </c>
      <c r="N424" s="54">
        <v>76</v>
      </c>
      <c r="O424" s="54">
        <v>17.6</v>
      </c>
      <c r="P424" s="54">
        <v>4.31818181818182</v>
      </c>
      <c r="Q424" s="71">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53" t="s">
        <v>899</v>
      </c>
      <c r="F425" s="53" t="s">
        <v>42</v>
      </c>
      <c r="G425" s="53" t="s">
        <v>36</v>
      </c>
      <c r="H425" s="53">
        <f>STOCK[[#This Row],[Precio Final]]</f>
        <v>25</v>
      </c>
      <c r="I425" s="53">
        <f>STOCK[[#This Row],[Precio Venta Ideal (x1.5)]]</f>
        <v>28.0193181818182</v>
      </c>
      <c r="J425" s="70">
        <v>1</v>
      </c>
      <c r="K425" s="70">
        <f>SUMIFS(VENTAS[Cantidad],VENTAS[Código del producto Vendido],STOCK[[#This Row],[Code]])</f>
        <v>1</v>
      </c>
      <c r="L425" s="70">
        <f>STOCK[[#This Row],[Entradas]]-STOCK[[#This Row],[Salidas]]</f>
        <v>0</v>
      </c>
      <c r="M425" s="53">
        <f>STOCK[[#This Row],[Precio Final]]*10%</f>
        <v>2.5</v>
      </c>
      <c r="N425" s="53">
        <v>195</v>
      </c>
      <c r="O425" s="53">
        <v>17.6</v>
      </c>
      <c r="P425" s="53">
        <v>11.0795454545455</v>
      </c>
      <c r="Q425" s="70">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54" t="s">
        <v>899</v>
      </c>
      <c r="F426" s="54" t="s">
        <v>46</v>
      </c>
      <c r="G426" s="54" t="s">
        <v>36</v>
      </c>
      <c r="H426" s="54">
        <f>STOCK[[#This Row],[Precio Final]]</f>
        <v>25</v>
      </c>
      <c r="I426" s="54">
        <f>STOCK[[#This Row],[Precio Venta Ideal (x1.5)]]</f>
        <v>26.7443181818183</v>
      </c>
      <c r="J426" s="71">
        <v>2</v>
      </c>
      <c r="K426" s="71">
        <f>SUMIFS(VENTAS[Cantidad],VENTAS[Código del producto Vendido],STOCK[[#This Row],[Code]])</f>
        <v>2</v>
      </c>
      <c r="L426" s="71">
        <f>STOCK[[#This Row],[Entradas]]-STOCK[[#This Row],[Salidas]]</f>
        <v>0</v>
      </c>
      <c r="M426" s="54">
        <f>STOCK[[#This Row],[Precio Final]]*10%</f>
        <v>2.5</v>
      </c>
      <c r="N426" s="54">
        <v>195</v>
      </c>
      <c r="O426" s="54">
        <v>17.6</v>
      </c>
      <c r="P426" s="54">
        <v>11.0795454545455</v>
      </c>
      <c r="Q426" s="71">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53" t="s">
        <v>899</v>
      </c>
      <c r="F427" s="53" t="s">
        <v>49</v>
      </c>
      <c r="G427" s="53" t="s">
        <v>36</v>
      </c>
      <c r="H427" s="53">
        <f>STOCK[[#This Row],[Precio Final]]</f>
        <v>25</v>
      </c>
      <c r="I427" s="53">
        <f>STOCK[[#This Row],[Precio Venta Ideal (x1.5)]]</f>
        <v>26.7443181818183</v>
      </c>
      <c r="J427" s="70">
        <v>2</v>
      </c>
      <c r="K427" s="70">
        <f>SUMIFS(VENTAS[Cantidad],VENTAS[Código del producto Vendido],STOCK[[#This Row],[Code]])</f>
        <v>2</v>
      </c>
      <c r="L427" s="70">
        <f>STOCK[[#This Row],[Entradas]]-STOCK[[#This Row],[Salidas]]</f>
        <v>0</v>
      </c>
      <c r="M427" s="53">
        <f>STOCK[[#This Row],[Precio Final]]*10%</f>
        <v>2.5</v>
      </c>
      <c r="N427" s="53">
        <v>195</v>
      </c>
      <c r="O427" s="53">
        <v>17.6</v>
      </c>
      <c r="P427" s="53">
        <v>11.0795454545455</v>
      </c>
      <c r="Q427" s="70">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54" t="s">
        <v>903</v>
      </c>
      <c r="F428" s="54" t="s">
        <v>42</v>
      </c>
      <c r="G428" s="54" t="s">
        <v>36</v>
      </c>
      <c r="H428" s="54">
        <f>STOCK[[#This Row],[Precio Final]]</f>
        <v>35</v>
      </c>
      <c r="I428" s="54">
        <f>STOCK[[#This Row],[Precio Venta Ideal (x1.5)]]</f>
        <v>37.4345454545454</v>
      </c>
      <c r="J428" s="71">
        <v>1</v>
      </c>
      <c r="K428" s="71">
        <f>SUMIFS(VENTAS[Cantidad],VENTAS[Código del producto Vendido],STOCK[[#This Row],[Code]])</f>
        <v>1</v>
      </c>
      <c r="L428" s="71">
        <f>STOCK[[#This Row],[Entradas]]-STOCK[[#This Row],[Salidas]]</f>
        <v>0</v>
      </c>
      <c r="M428" s="54">
        <f>STOCK[[#This Row],[Precio Final]]*10%</f>
        <v>3.5</v>
      </c>
      <c r="N428" s="54">
        <v>240</v>
      </c>
      <c r="O428" s="54">
        <v>17.6</v>
      </c>
      <c r="P428" s="54">
        <v>13.6363636363636</v>
      </c>
      <c r="Q428" s="71">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53" t="s">
        <v>903</v>
      </c>
      <c r="F429" s="53" t="s">
        <v>46</v>
      </c>
      <c r="G429" s="53" t="s">
        <v>36</v>
      </c>
      <c r="H429" s="53">
        <f>STOCK[[#This Row],[Precio Final]]</f>
        <v>35</v>
      </c>
      <c r="I429" s="53">
        <f>STOCK[[#This Row],[Precio Venta Ideal (x1.5)]]</f>
        <v>37.4345454545454</v>
      </c>
      <c r="J429" s="70">
        <v>1</v>
      </c>
      <c r="K429" s="70">
        <f>SUMIFS(VENTAS[Cantidad],VENTAS[Código del producto Vendido],STOCK[[#This Row],[Code]])</f>
        <v>1</v>
      </c>
      <c r="L429" s="70">
        <f>STOCK[[#This Row],[Entradas]]-STOCK[[#This Row],[Salidas]]</f>
        <v>0</v>
      </c>
      <c r="M429" s="53">
        <f>STOCK[[#This Row],[Precio Final]]*10%</f>
        <v>3.5</v>
      </c>
      <c r="N429" s="53">
        <v>240</v>
      </c>
      <c r="O429" s="53">
        <v>17.6</v>
      </c>
      <c r="P429" s="53">
        <v>13.6363636363636</v>
      </c>
      <c r="Q429" s="70">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54" t="s">
        <v>903</v>
      </c>
      <c r="F430" s="54" t="s">
        <v>49</v>
      </c>
      <c r="G430" s="54" t="s">
        <v>36</v>
      </c>
      <c r="H430" s="54">
        <f>STOCK[[#This Row],[Precio Final]]</f>
        <v>35</v>
      </c>
      <c r="I430" s="54">
        <f>STOCK[[#This Row],[Precio Venta Ideal (x1.5)]]</f>
        <v>37.4345454545454</v>
      </c>
      <c r="J430" s="71">
        <v>1</v>
      </c>
      <c r="K430" s="71">
        <f>SUMIFS(VENTAS[Cantidad],VENTAS[Código del producto Vendido],STOCK[[#This Row],[Code]])</f>
        <v>1</v>
      </c>
      <c r="L430" s="71">
        <f>STOCK[[#This Row],[Entradas]]-STOCK[[#This Row],[Salidas]]</f>
        <v>0</v>
      </c>
      <c r="M430" s="54">
        <f>STOCK[[#This Row],[Precio Final]]*10%</f>
        <v>3.5</v>
      </c>
      <c r="N430" s="54">
        <v>240</v>
      </c>
      <c r="O430" s="54">
        <v>17.6</v>
      </c>
      <c r="P430" s="54">
        <v>13.6363636363636</v>
      </c>
      <c r="Q430" s="71">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53" t="s">
        <v>39</v>
      </c>
      <c r="F431" s="53" t="s">
        <v>49</v>
      </c>
      <c r="G431" s="53" t="s">
        <v>36</v>
      </c>
      <c r="H431" s="53">
        <f>STOCK[[#This Row],[Precio Final]]</f>
        <v>25</v>
      </c>
      <c r="I431" s="53">
        <f>STOCK[[#This Row],[Precio Venta Ideal (x1.5)]]</f>
        <v>30.0190909090909</v>
      </c>
      <c r="J431" s="70">
        <v>1</v>
      </c>
      <c r="K431" s="70">
        <f>SUMIFS(VENTAS[Cantidad],VENTAS[Código del producto Vendido],STOCK[[#This Row],[Code]])</f>
        <v>1</v>
      </c>
      <c r="L431" s="70">
        <f>STOCK[[#This Row],[Entradas]]-STOCK[[#This Row],[Salidas]]</f>
        <v>0</v>
      </c>
      <c r="M431" s="53">
        <f>STOCK[[#This Row],[Precio Final]]*10%</f>
        <v>2.5</v>
      </c>
      <c r="N431" s="53">
        <v>205</v>
      </c>
      <c r="O431" s="53">
        <v>17.6</v>
      </c>
      <c r="P431" s="53">
        <v>11.6477272727273</v>
      </c>
      <c r="Q431" s="70">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54" t="s">
        <v>39</v>
      </c>
      <c r="F432" s="54" t="s">
        <v>42</v>
      </c>
      <c r="G432" s="54" t="s">
        <v>36</v>
      </c>
      <c r="H432" s="54">
        <f>STOCK[[#This Row],[Precio Final]]</f>
        <v>25</v>
      </c>
      <c r="I432" s="54">
        <f>STOCK[[#This Row],[Precio Venta Ideal (x1.5)]]</f>
        <v>30.0190909090909</v>
      </c>
      <c r="J432" s="71">
        <v>3</v>
      </c>
      <c r="K432" s="71">
        <f>SUMIFS(VENTAS[Cantidad],VENTAS[Código del producto Vendido],STOCK[[#This Row],[Code]])</f>
        <v>3</v>
      </c>
      <c r="L432" s="71">
        <f>STOCK[[#This Row],[Entradas]]-STOCK[[#This Row],[Salidas]]</f>
        <v>0</v>
      </c>
      <c r="M432" s="54">
        <f>STOCK[[#This Row],[Precio Final]]*10%</f>
        <v>2.5</v>
      </c>
      <c r="N432" s="54">
        <v>205</v>
      </c>
      <c r="O432" s="54">
        <v>17.6</v>
      </c>
      <c r="P432" s="54">
        <v>11.6477272727273</v>
      </c>
      <c r="Q432" s="71">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53" t="s">
        <v>909</v>
      </c>
      <c r="F433" s="53" t="s">
        <v>62</v>
      </c>
      <c r="G433" s="53" t="s">
        <v>36</v>
      </c>
      <c r="H433" s="53">
        <f>STOCK[[#This Row],[Precio Final]]</f>
        <v>12</v>
      </c>
      <c r="I433" s="53">
        <f>STOCK[[#This Row],[Precio Venta Ideal (x1.5)]]</f>
        <v>13.8081818181818</v>
      </c>
      <c r="J433" s="70">
        <v>3</v>
      </c>
      <c r="K433" s="70">
        <f>SUMIFS(VENTAS[Cantidad],VENTAS[Código del producto Vendido],STOCK[[#This Row],[Code]])</f>
        <v>3</v>
      </c>
      <c r="L433" s="70">
        <f>STOCK[[#This Row],[Entradas]]-STOCK[[#This Row],[Salidas]]</f>
        <v>0</v>
      </c>
      <c r="M433" s="53">
        <f>STOCK[[#This Row],[Precio Final]]*10%</f>
        <v>1.2</v>
      </c>
      <c r="N433" s="53">
        <v>102</v>
      </c>
      <c r="O433" s="53">
        <v>17.6</v>
      </c>
      <c r="P433" s="53">
        <v>5.79545454545454</v>
      </c>
      <c r="Q433" s="70">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54" t="s">
        <v>911</v>
      </c>
      <c r="F434" s="54" t="s">
        <v>49</v>
      </c>
      <c r="G434" s="54" t="s">
        <v>36</v>
      </c>
      <c r="H434" s="54">
        <f>STOCK[[#This Row],[Precio Final]]</f>
        <v>25</v>
      </c>
      <c r="I434" s="54">
        <f>STOCK[[#This Row],[Precio Venta Ideal (x1.5)]]</f>
        <v>26.3181818181817</v>
      </c>
      <c r="J434" s="71">
        <v>1</v>
      </c>
      <c r="K434" s="71">
        <f>SUMIFS(VENTAS[Cantidad],VENTAS[Código del producto Vendido],STOCK[[#This Row],[Code]])</f>
        <v>1</v>
      </c>
      <c r="L434" s="71">
        <f>STOCK[[#This Row],[Entradas]]-STOCK[[#This Row],[Salidas]]</f>
        <v>0</v>
      </c>
      <c r="M434" s="54">
        <f>STOCK[[#This Row],[Precio Final]]*10%</f>
        <v>2.5</v>
      </c>
      <c r="N434" s="54">
        <v>190</v>
      </c>
      <c r="O434" s="54">
        <v>17.6</v>
      </c>
      <c r="P434" s="54">
        <v>10.7954545454545</v>
      </c>
      <c r="Q434" s="71">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53" t="s">
        <v>914</v>
      </c>
      <c r="F435" s="53" t="s">
        <v>83</v>
      </c>
      <c r="G435" s="53" t="s">
        <v>36</v>
      </c>
      <c r="H435" s="53">
        <f>STOCK[[#This Row],[Precio Final]]</f>
        <v>25</v>
      </c>
      <c r="I435" s="53">
        <f>STOCK[[#This Row],[Precio Venta Ideal (x1.5)]]</f>
        <v>27.5897727272727</v>
      </c>
      <c r="J435" s="70">
        <v>3</v>
      </c>
      <c r="K435" s="70">
        <f>SUMIFS(VENTAS[Cantidad],VENTAS[Código del producto Vendido],STOCK[[#This Row],[Code]])</f>
        <v>3</v>
      </c>
      <c r="L435" s="70">
        <f>STOCK[[#This Row],[Entradas]]-STOCK[[#This Row],[Salidas]]</f>
        <v>0</v>
      </c>
      <c r="M435" s="53">
        <f>STOCK[[#This Row],[Precio Final]]*10%</f>
        <v>2.5</v>
      </c>
      <c r="N435" s="53">
        <v>175</v>
      </c>
      <c r="O435" s="53">
        <v>17.6</v>
      </c>
      <c r="P435" s="53">
        <v>9.94318181818182</v>
      </c>
      <c r="Q435" s="70">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54" t="s">
        <v>916</v>
      </c>
      <c r="F436" s="54" t="s">
        <v>49</v>
      </c>
      <c r="G436" s="54" t="s">
        <v>36</v>
      </c>
      <c r="H436" s="54">
        <f>STOCK[[#This Row],[Precio Final]]</f>
        <v>14</v>
      </c>
      <c r="I436" s="54">
        <f>STOCK[[#This Row],[Precio Venta Ideal (x1.5)]]</f>
        <v>17.2159090909091</v>
      </c>
      <c r="J436" s="71">
        <v>2</v>
      </c>
      <c r="K436" s="71">
        <f>SUMIFS(VENTAS[Cantidad],VENTAS[Código del producto Vendido],STOCK[[#This Row],[Code]])</f>
        <v>2</v>
      </c>
      <c r="L436" s="71">
        <f>STOCK[[#This Row],[Entradas]]-STOCK[[#This Row],[Salidas]]</f>
        <v>0</v>
      </c>
      <c r="M436" s="54">
        <f>STOCK[[#This Row],[Precio Final]]*10%</f>
        <v>1.4</v>
      </c>
      <c r="N436" s="54">
        <v>125</v>
      </c>
      <c r="O436" s="54">
        <v>17.6</v>
      </c>
      <c r="P436" s="54">
        <v>7.10227272727273</v>
      </c>
      <c r="Q436" s="71">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53" t="s">
        <v>918</v>
      </c>
      <c r="F437" s="53" t="s">
        <v>46</v>
      </c>
      <c r="G437" s="53" t="s">
        <v>36</v>
      </c>
      <c r="H437" s="53">
        <f>STOCK[[#This Row],[Precio Final]]</f>
        <v>14</v>
      </c>
      <c r="I437" s="53">
        <f>STOCK[[#This Row],[Precio Venta Ideal (x1.5)]]</f>
        <v>17.3434090909091</v>
      </c>
      <c r="J437" s="70">
        <v>1</v>
      </c>
      <c r="K437" s="70">
        <f>SUMIFS(VENTAS[Cantidad],VENTAS[Código del producto Vendido],STOCK[[#This Row],[Code]])</f>
        <v>1</v>
      </c>
      <c r="L437" s="70">
        <f>STOCK[[#This Row],[Entradas]]-STOCK[[#This Row],[Salidas]]</f>
        <v>0</v>
      </c>
      <c r="M437" s="53">
        <f>STOCK[[#This Row],[Precio Final]]*10%</f>
        <v>1.4</v>
      </c>
      <c r="N437" s="53">
        <v>125</v>
      </c>
      <c r="O437" s="53">
        <v>17.6</v>
      </c>
      <c r="P437" s="53">
        <v>7.10227272727273</v>
      </c>
      <c r="Q437" s="70">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54" t="s">
        <v>920</v>
      </c>
      <c r="F438" s="54" t="s">
        <v>921</v>
      </c>
      <c r="G438" s="54" t="s">
        <v>36</v>
      </c>
      <c r="H438" s="54">
        <f>STOCK[[#This Row],[Precio Final]]</f>
        <v>25</v>
      </c>
      <c r="I438" s="54">
        <f>STOCK[[#This Row],[Precio Venta Ideal (x1.5)]]</f>
        <v>24.6170454545454</v>
      </c>
      <c r="J438" s="71">
        <v>2</v>
      </c>
      <c r="K438" s="71">
        <f>SUMIFS(VENTAS[Cantidad],VENTAS[Código del producto Vendido],STOCK[[#This Row],[Code]])</f>
        <v>2</v>
      </c>
      <c r="L438" s="71">
        <f>STOCK[[#This Row],[Entradas]]-STOCK[[#This Row],[Salidas]]</f>
        <v>0</v>
      </c>
      <c r="M438" s="54">
        <f>STOCK[[#This Row],[Precio Final]]*10%</f>
        <v>2.5</v>
      </c>
      <c r="N438" s="54">
        <v>185</v>
      </c>
      <c r="O438" s="54">
        <v>17.6</v>
      </c>
      <c r="P438" s="54">
        <v>10.5113636363636</v>
      </c>
      <c r="Q438" s="71">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53" t="s">
        <v>923</v>
      </c>
      <c r="F439" s="53" t="s">
        <v>924</v>
      </c>
      <c r="G439" s="53" t="s">
        <v>36</v>
      </c>
      <c r="H439" s="53">
        <f>STOCK[[#This Row],[Precio Final]]</f>
        <v>25</v>
      </c>
      <c r="I439" s="53">
        <f>STOCK[[#This Row],[Precio Venta Ideal (x1.5)]]</f>
        <v>24.6170454545454</v>
      </c>
      <c r="J439" s="70">
        <v>2</v>
      </c>
      <c r="K439" s="70">
        <f>SUMIFS(VENTAS[Cantidad],VENTAS[Código del producto Vendido],STOCK[[#This Row],[Code]])</f>
        <v>2</v>
      </c>
      <c r="L439" s="70">
        <f>STOCK[[#This Row],[Entradas]]-STOCK[[#This Row],[Salidas]]</f>
        <v>0</v>
      </c>
      <c r="M439" s="53">
        <f>STOCK[[#This Row],[Precio Final]]*10%</f>
        <v>2.5</v>
      </c>
      <c r="N439" s="53">
        <v>185</v>
      </c>
      <c r="O439" s="53">
        <v>17.6</v>
      </c>
      <c r="P439" s="53">
        <v>10.5113636363636</v>
      </c>
      <c r="Q439" s="70">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54" t="s">
        <v>926</v>
      </c>
      <c r="F440" s="54" t="s">
        <v>62</v>
      </c>
      <c r="G440" s="54" t="s">
        <v>36</v>
      </c>
      <c r="H440" s="54">
        <f>STOCK[[#This Row],[Precio Final]]</f>
        <v>20</v>
      </c>
      <c r="I440" s="54">
        <f>STOCK[[#This Row],[Precio Venta Ideal (x1.5)]]</f>
        <v>20.4143181818182</v>
      </c>
      <c r="J440" s="71">
        <v>1</v>
      </c>
      <c r="K440" s="71">
        <f>SUMIFS(VENTAS[Cantidad],VENTAS[Código del producto Vendido],STOCK[[#This Row],[Code]])</f>
        <v>1</v>
      </c>
      <c r="L440" s="71">
        <f>STOCK[[#This Row],[Entradas]]-STOCK[[#This Row],[Salidas]]</f>
        <v>0</v>
      </c>
      <c r="M440" s="54">
        <f>STOCK[[#This Row],[Precio Final]]*10%</f>
        <v>2</v>
      </c>
      <c r="N440" s="54">
        <v>140</v>
      </c>
      <c r="O440" s="54">
        <v>17.6</v>
      </c>
      <c r="P440" s="54">
        <v>7.95454545454545</v>
      </c>
      <c r="Q440" s="71">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53" t="s">
        <v>926</v>
      </c>
      <c r="F441" s="53" t="s">
        <v>49</v>
      </c>
      <c r="G441" s="53" t="s">
        <v>36</v>
      </c>
      <c r="H441" s="53">
        <f>STOCK[[#This Row],[Precio Final]]</f>
        <v>20</v>
      </c>
      <c r="I441" s="53">
        <f>STOCK[[#This Row],[Precio Venta Ideal (x1.5)]]</f>
        <v>20.4143181818182</v>
      </c>
      <c r="J441" s="70">
        <v>1</v>
      </c>
      <c r="K441" s="70">
        <f>SUMIFS(VENTAS[Cantidad],VENTAS[Código del producto Vendido],STOCK[[#This Row],[Code]])</f>
        <v>1</v>
      </c>
      <c r="L441" s="70">
        <f>STOCK[[#This Row],[Entradas]]-STOCK[[#This Row],[Salidas]]</f>
        <v>0</v>
      </c>
      <c r="M441" s="53">
        <f>STOCK[[#This Row],[Precio Final]]*10%</f>
        <v>2</v>
      </c>
      <c r="N441" s="53">
        <v>140</v>
      </c>
      <c r="O441" s="53">
        <v>17.6</v>
      </c>
      <c r="P441" s="53">
        <v>7.95454545454545</v>
      </c>
      <c r="Q441" s="70">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54" t="s">
        <v>926</v>
      </c>
      <c r="F442" s="54" t="s">
        <v>46</v>
      </c>
      <c r="G442" s="54" t="s">
        <v>36</v>
      </c>
      <c r="H442" s="54">
        <f>STOCK[[#This Row],[Precio Final]]</f>
        <v>20</v>
      </c>
      <c r="I442" s="54">
        <f>STOCK[[#This Row],[Precio Venta Ideal (x1.5)]]</f>
        <v>20.4143181818182</v>
      </c>
      <c r="J442" s="71">
        <v>1</v>
      </c>
      <c r="K442" s="71">
        <f>SUMIFS(VENTAS[Cantidad],VENTAS[Código del producto Vendido],STOCK[[#This Row],[Code]])</f>
        <v>1</v>
      </c>
      <c r="L442" s="71">
        <f>STOCK[[#This Row],[Entradas]]-STOCK[[#This Row],[Salidas]]</f>
        <v>0</v>
      </c>
      <c r="M442" s="54">
        <f>STOCK[[#This Row],[Precio Final]]*10%</f>
        <v>2</v>
      </c>
      <c r="N442" s="54">
        <v>140</v>
      </c>
      <c r="O442" s="54">
        <v>17.6</v>
      </c>
      <c r="P442" s="54">
        <v>7.95454545454545</v>
      </c>
      <c r="Q442" s="71">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53" t="s">
        <v>931</v>
      </c>
      <c r="F443" s="53" t="s">
        <v>40</v>
      </c>
      <c r="G443" s="53" t="s">
        <v>36</v>
      </c>
      <c r="H443" s="53">
        <f>STOCK[[#This Row],[Precio Final]]</f>
        <v>15</v>
      </c>
      <c r="I443" s="53">
        <f>STOCK[[#This Row],[Precio Venta Ideal (x1.5)]]</f>
        <v>14.0004545454545</v>
      </c>
      <c r="J443" s="70">
        <v>1</v>
      </c>
      <c r="K443" s="70">
        <f>SUMIFS(VENTAS[Cantidad],VENTAS[Código del producto Vendido],STOCK[[#This Row],[Code]])</f>
        <v>1</v>
      </c>
      <c r="L443" s="70">
        <f>STOCK[[#This Row],[Entradas]]-STOCK[[#This Row],[Salidas]]</f>
        <v>0</v>
      </c>
      <c r="M443" s="53">
        <f>STOCK[[#This Row],[Precio Final]]*10%</f>
        <v>1.5</v>
      </c>
      <c r="N443" s="53">
        <v>90</v>
      </c>
      <c r="O443" s="53">
        <v>17.6</v>
      </c>
      <c r="P443" s="53">
        <v>5.11363636363636</v>
      </c>
      <c r="Q443" s="70">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54" t="s">
        <v>931</v>
      </c>
      <c r="F444" s="54" t="s">
        <v>62</v>
      </c>
      <c r="G444" s="54" t="s">
        <v>36</v>
      </c>
      <c r="H444" s="54">
        <f>STOCK[[#This Row],[Precio Final]]</f>
        <v>15</v>
      </c>
      <c r="I444" s="54">
        <f>STOCK[[#This Row],[Precio Venta Ideal (x1.5)]]</f>
        <v>14.0004545454545</v>
      </c>
      <c r="J444" s="71">
        <v>2</v>
      </c>
      <c r="K444" s="71">
        <f>SUMIFS(VENTAS[Cantidad],VENTAS[Código del producto Vendido],STOCK[[#This Row],[Code]])</f>
        <v>1</v>
      </c>
      <c r="L444" s="71">
        <f>STOCK[[#This Row],[Entradas]]-STOCK[[#This Row],[Salidas]]</f>
        <v>1</v>
      </c>
      <c r="M444" s="54">
        <f>STOCK[[#This Row],[Precio Final]]*10%</f>
        <v>1.5</v>
      </c>
      <c r="N444" s="54">
        <v>90</v>
      </c>
      <c r="O444" s="54">
        <v>17.6</v>
      </c>
      <c r="P444" s="54">
        <v>5.11363636363636</v>
      </c>
      <c r="Q444" s="71">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53" t="s">
        <v>931</v>
      </c>
      <c r="F445" s="53" t="s">
        <v>49</v>
      </c>
      <c r="G445" s="53" t="s">
        <v>36</v>
      </c>
      <c r="H445" s="53">
        <f>STOCK[[#This Row],[Precio Final]]</f>
        <v>15</v>
      </c>
      <c r="I445" s="53">
        <f>STOCK[[#This Row],[Precio Venta Ideal (x1.5)]]</f>
        <v>13.8729545454545</v>
      </c>
      <c r="J445" s="70">
        <v>2</v>
      </c>
      <c r="K445" s="70">
        <f>SUMIFS(VENTAS[Cantidad],VENTAS[Código del producto Vendido],STOCK[[#This Row],[Code]])</f>
        <v>1</v>
      </c>
      <c r="L445" s="70">
        <f>STOCK[[#This Row],[Entradas]]-STOCK[[#This Row],[Salidas]]</f>
        <v>1</v>
      </c>
      <c r="M445" s="53">
        <f>STOCK[[#This Row],[Precio Final]]*10%</f>
        <v>1.5</v>
      </c>
      <c r="N445" s="53">
        <v>90</v>
      </c>
      <c r="O445" s="53">
        <v>17.6</v>
      </c>
      <c r="P445" s="53">
        <v>5.11363636363636</v>
      </c>
      <c r="Q445" s="70">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54" t="s">
        <v>931</v>
      </c>
      <c r="F446" s="54" t="s">
        <v>46</v>
      </c>
      <c r="G446" s="54" t="s">
        <v>36</v>
      </c>
      <c r="H446" s="54">
        <f>STOCK[[#This Row],[Precio Final]]</f>
        <v>15</v>
      </c>
      <c r="I446" s="54">
        <f>STOCK[[#This Row],[Precio Venta Ideal (x1.5)]]</f>
        <v>13.8729545454545</v>
      </c>
      <c r="J446" s="71">
        <v>2</v>
      </c>
      <c r="K446" s="71">
        <f>SUMIFS(VENTAS[Cantidad],VENTAS[Código del producto Vendido],STOCK[[#This Row],[Code]])</f>
        <v>1</v>
      </c>
      <c r="L446" s="71">
        <f>STOCK[[#This Row],[Entradas]]-STOCK[[#This Row],[Salidas]]</f>
        <v>1</v>
      </c>
      <c r="M446" s="54">
        <f>STOCK[[#This Row],[Precio Final]]*10%</f>
        <v>1.5</v>
      </c>
      <c r="N446" s="54">
        <v>90</v>
      </c>
      <c r="O446" s="54">
        <v>17.6</v>
      </c>
      <c r="P446" s="54">
        <v>5.11363636363636</v>
      </c>
      <c r="Q446" s="71">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53" t="s">
        <v>914</v>
      </c>
      <c r="F447" s="53" t="s">
        <v>62</v>
      </c>
      <c r="G447" s="53" t="s">
        <v>36</v>
      </c>
      <c r="H447" s="53">
        <f>STOCK[[#This Row],[Precio Final]]</f>
        <v>25</v>
      </c>
      <c r="I447" s="53">
        <f>STOCK[[#This Row],[Precio Venta Ideal (x1.5)]]</f>
        <v>24.7847727272727</v>
      </c>
      <c r="J447" s="70">
        <v>2</v>
      </c>
      <c r="K447" s="70">
        <f>SUMIFS(VENTAS[Cantidad],VENTAS[Código del producto Vendido],STOCK[[#This Row],[Code]])</f>
        <v>2</v>
      </c>
      <c r="L447" s="70">
        <f>STOCK[[#This Row],[Entradas]]-STOCK[[#This Row],[Salidas]]</f>
        <v>0</v>
      </c>
      <c r="M447" s="53">
        <f>STOCK[[#This Row],[Precio Final]]*10%</f>
        <v>2.5</v>
      </c>
      <c r="N447" s="53">
        <v>175</v>
      </c>
      <c r="O447" s="53">
        <v>17.6</v>
      </c>
      <c r="P447" s="53">
        <v>9.94318181818182</v>
      </c>
      <c r="Q447" s="70">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54" t="s">
        <v>938</v>
      </c>
      <c r="F448" s="54" t="s">
        <v>49</v>
      </c>
      <c r="G448" s="54" t="s">
        <v>36</v>
      </c>
      <c r="H448" s="54">
        <f>STOCK[[#This Row],[Precio Final]]</f>
        <v>25</v>
      </c>
      <c r="I448" s="54">
        <f>STOCK[[#This Row],[Precio Venta Ideal (x1.5)]]</f>
        <v>24.7847727272727</v>
      </c>
      <c r="J448" s="71">
        <v>4</v>
      </c>
      <c r="K448" s="71">
        <f>SUMIFS(VENTAS[Cantidad],VENTAS[Código del producto Vendido],STOCK[[#This Row],[Code]])</f>
        <v>4</v>
      </c>
      <c r="L448" s="71">
        <f>STOCK[[#This Row],[Entradas]]-STOCK[[#This Row],[Salidas]]</f>
        <v>0</v>
      </c>
      <c r="M448" s="54">
        <f>STOCK[[#This Row],[Precio Final]]*10%</f>
        <v>2.5</v>
      </c>
      <c r="N448" s="54">
        <v>175</v>
      </c>
      <c r="O448" s="54">
        <v>17.6</v>
      </c>
      <c r="P448" s="54">
        <v>9.94318181818182</v>
      </c>
      <c r="Q448" s="71">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53" t="s">
        <v>940</v>
      </c>
      <c r="F449" s="53" t="s">
        <v>42</v>
      </c>
      <c r="G449" s="53" t="s">
        <v>36</v>
      </c>
      <c r="H449" s="53">
        <f>STOCK[[#This Row],[Precio Final]]</f>
        <v>30</v>
      </c>
      <c r="I449" s="53">
        <f>STOCK[[#This Row],[Precio Venta Ideal (x1.5)]]</f>
        <v>33.0279545454546</v>
      </c>
      <c r="J449" s="70">
        <v>1</v>
      </c>
      <c r="K449" s="70">
        <f>SUMIFS(VENTAS[Cantidad],VENTAS[Código del producto Vendido],STOCK[[#This Row],[Code]])</f>
        <v>1</v>
      </c>
      <c r="L449" s="70">
        <f>STOCK[[#This Row],[Entradas]]-STOCK[[#This Row],[Salidas]]</f>
        <v>0</v>
      </c>
      <c r="M449" s="53">
        <f>STOCK[[#This Row],[Precio Final]]*10%</f>
        <v>3</v>
      </c>
      <c r="N449" s="53">
        <v>233</v>
      </c>
      <c r="O449" s="53">
        <v>17.6</v>
      </c>
      <c r="P449" s="53">
        <v>13.2386363636364</v>
      </c>
      <c r="Q449" s="70">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54" t="s">
        <v>942</v>
      </c>
      <c r="F450" s="54" t="s">
        <v>46</v>
      </c>
      <c r="G450" s="54" t="s">
        <v>36</v>
      </c>
      <c r="H450" s="54">
        <f>STOCK[[#This Row],[Precio Final]]</f>
        <v>30</v>
      </c>
      <c r="I450" s="54">
        <f>STOCK[[#This Row],[Precio Venta Ideal (x1.5)]]</f>
        <v>33.0279545454546</v>
      </c>
      <c r="J450" s="71">
        <v>2</v>
      </c>
      <c r="K450" s="71">
        <f>SUMIFS(VENTAS[Cantidad],VENTAS[Código del producto Vendido],STOCK[[#This Row],[Code]])</f>
        <v>2</v>
      </c>
      <c r="L450" s="71">
        <f>STOCK[[#This Row],[Entradas]]-STOCK[[#This Row],[Salidas]]</f>
        <v>0</v>
      </c>
      <c r="M450" s="54">
        <f>STOCK[[#This Row],[Precio Final]]*10%</f>
        <v>3</v>
      </c>
      <c r="N450" s="54">
        <v>233</v>
      </c>
      <c r="O450" s="54">
        <v>17.6</v>
      </c>
      <c r="P450" s="54">
        <v>13.2386363636364</v>
      </c>
      <c r="Q450" s="71">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53" t="s">
        <v>942</v>
      </c>
      <c r="F451" s="53" t="s">
        <v>62</v>
      </c>
      <c r="G451" s="53" t="s">
        <v>36</v>
      </c>
      <c r="H451" s="53">
        <f>STOCK[[#This Row],[Precio Final]]</f>
        <v>30</v>
      </c>
      <c r="I451" s="53">
        <f>STOCK[[#This Row],[Precio Venta Ideal (x1.5)]]</f>
        <v>32.7729545454546</v>
      </c>
      <c r="J451" s="70">
        <v>1</v>
      </c>
      <c r="K451" s="70">
        <f>SUMIFS(VENTAS[Cantidad],VENTAS[Código del producto Vendido],STOCK[[#This Row],[Code]])</f>
        <v>1</v>
      </c>
      <c r="L451" s="70">
        <f>STOCK[[#This Row],[Entradas]]-STOCK[[#This Row],[Salidas]]</f>
        <v>0</v>
      </c>
      <c r="M451" s="53">
        <f>STOCK[[#This Row],[Precio Final]]*10%</f>
        <v>3</v>
      </c>
      <c r="N451" s="53">
        <v>233</v>
      </c>
      <c r="O451" s="53">
        <v>17.6</v>
      </c>
      <c r="P451" s="53">
        <v>13.2386363636364</v>
      </c>
      <c r="Q451" s="70">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54" t="s">
        <v>942</v>
      </c>
      <c r="F452" s="54" t="s">
        <v>49</v>
      </c>
      <c r="G452" s="54" t="s">
        <v>36</v>
      </c>
      <c r="H452" s="54">
        <f>STOCK[[#This Row],[Precio Final]]</f>
        <v>30</v>
      </c>
      <c r="I452" s="54">
        <f>STOCK[[#This Row],[Precio Venta Ideal (x1.5)]]</f>
        <v>33.0279545454546</v>
      </c>
      <c r="J452" s="71">
        <v>2</v>
      </c>
      <c r="K452" s="71">
        <f>SUMIFS(VENTAS[Cantidad],VENTAS[Código del producto Vendido],STOCK[[#This Row],[Code]])</f>
        <v>2</v>
      </c>
      <c r="L452" s="71">
        <f>STOCK[[#This Row],[Entradas]]-STOCK[[#This Row],[Salidas]]</f>
        <v>0</v>
      </c>
      <c r="M452" s="54">
        <f>STOCK[[#This Row],[Precio Final]]*10%</f>
        <v>3</v>
      </c>
      <c r="N452" s="54">
        <v>233</v>
      </c>
      <c r="O452" s="54">
        <v>17.6</v>
      </c>
      <c r="P452" s="54">
        <v>13.2386363636364</v>
      </c>
      <c r="Q452" s="71">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53" t="s">
        <v>946</v>
      </c>
      <c r="F453" s="53" t="s">
        <v>49</v>
      </c>
      <c r="G453" s="53" t="s">
        <v>36</v>
      </c>
      <c r="H453" s="53">
        <f>STOCK[[#This Row],[Precio Final]]</f>
        <v>12</v>
      </c>
      <c r="I453" s="53">
        <f>STOCK[[#This Row],[Precio Venta Ideal (x1.5)]]</f>
        <v>12.6136363636364</v>
      </c>
      <c r="J453" s="70">
        <v>1</v>
      </c>
      <c r="K453" s="70">
        <f>SUMIFS(VENTAS[Cantidad],VENTAS[Código del producto Vendido],STOCK[[#This Row],[Code]])</f>
        <v>1</v>
      </c>
      <c r="L453" s="70">
        <f>STOCK[[#This Row],[Entradas]]-STOCK[[#This Row],[Salidas]]</f>
        <v>0</v>
      </c>
      <c r="M453" s="53">
        <f>STOCK[[#This Row],[Precio Final]]*10%</f>
        <v>1.2</v>
      </c>
      <c r="N453" s="53">
        <v>82</v>
      </c>
      <c r="O453" s="53">
        <v>17.6</v>
      </c>
      <c r="P453" s="53">
        <v>4.65909090909091</v>
      </c>
      <c r="Q453" s="70">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54" t="s">
        <v>948</v>
      </c>
      <c r="F454" s="54" t="s">
        <v>949</v>
      </c>
      <c r="G454" s="54" t="s">
        <v>36</v>
      </c>
      <c r="H454" s="54">
        <f>STOCK[[#This Row],[Precio Final]]</f>
        <v>12</v>
      </c>
      <c r="I454" s="54">
        <f>STOCK[[#This Row],[Precio Venta Ideal (x1.5)]]</f>
        <v>12.6136363636364</v>
      </c>
      <c r="J454" s="71">
        <v>1</v>
      </c>
      <c r="K454" s="71">
        <f>SUMIFS(VENTAS[Cantidad],VENTAS[Código del producto Vendido],STOCK[[#This Row],[Code]])</f>
        <v>1</v>
      </c>
      <c r="L454" s="71">
        <f>STOCK[[#This Row],[Entradas]]-STOCK[[#This Row],[Salidas]]</f>
        <v>0</v>
      </c>
      <c r="M454" s="54">
        <f>STOCK[[#This Row],[Precio Final]]*10%</f>
        <v>1.2</v>
      </c>
      <c r="N454" s="54">
        <v>82</v>
      </c>
      <c r="O454" s="54">
        <v>17.6</v>
      </c>
      <c r="P454" s="54">
        <v>4.65909090909091</v>
      </c>
      <c r="Q454" s="71">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53" t="s">
        <v>951</v>
      </c>
      <c r="F455" s="53" t="s">
        <v>40</v>
      </c>
      <c r="G455" s="53" t="s">
        <v>36</v>
      </c>
      <c r="H455" s="53">
        <f>STOCK[[#This Row],[Precio Final]]</f>
        <v>25</v>
      </c>
      <c r="I455" s="53">
        <f>STOCK[[#This Row],[Precio Venta Ideal (x1.5)]]</f>
        <v>26.0570454545454</v>
      </c>
      <c r="J455" s="70">
        <v>2</v>
      </c>
      <c r="K455" s="70">
        <f>SUMIFS(VENTAS[Cantidad],VENTAS[Código del producto Vendido],STOCK[[#This Row],[Code]])</f>
        <v>2</v>
      </c>
      <c r="L455" s="70">
        <f>STOCK[[#This Row],[Entradas]]-STOCK[[#This Row],[Salidas]]</f>
        <v>0</v>
      </c>
      <c r="M455" s="53">
        <f>STOCK[[#This Row],[Precio Final]]*10%</f>
        <v>2.5</v>
      </c>
      <c r="N455" s="53">
        <v>163</v>
      </c>
      <c r="O455" s="53">
        <v>17.6</v>
      </c>
      <c r="P455" s="53">
        <v>9.26136363636363</v>
      </c>
      <c r="Q455" s="70">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54" t="s">
        <v>951</v>
      </c>
      <c r="F456" s="54" t="s">
        <v>62</v>
      </c>
      <c r="G456" s="54" t="s">
        <v>36</v>
      </c>
      <c r="H456" s="54">
        <f>STOCK[[#This Row],[Precio Final]]</f>
        <v>25</v>
      </c>
      <c r="I456" s="54">
        <f>STOCK[[#This Row],[Precio Venta Ideal (x1.5)]]</f>
        <v>26.0570454545454</v>
      </c>
      <c r="J456" s="71">
        <v>3</v>
      </c>
      <c r="K456" s="71">
        <f>SUMIFS(VENTAS[Cantidad],VENTAS[Código del producto Vendido],STOCK[[#This Row],[Code]])</f>
        <v>3</v>
      </c>
      <c r="L456" s="71">
        <f>STOCK[[#This Row],[Entradas]]-STOCK[[#This Row],[Salidas]]</f>
        <v>0</v>
      </c>
      <c r="M456" s="54">
        <f>STOCK[[#This Row],[Precio Final]]*10%</f>
        <v>2.5</v>
      </c>
      <c r="N456" s="54">
        <v>163</v>
      </c>
      <c r="O456" s="54">
        <v>17.6</v>
      </c>
      <c r="P456" s="54">
        <v>9.26136363636363</v>
      </c>
      <c r="Q456" s="71">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53" t="s">
        <v>951</v>
      </c>
      <c r="F457" s="53" t="s">
        <v>49</v>
      </c>
      <c r="G457" s="53" t="s">
        <v>36</v>
      </c>
      <c r="H457" s="53">
        <f>STOCK[[#This Row],[Precio Final]]</f>
        <v>25</v>
      </c>
      <c r="I457" s="53">
        <f>STOCK[[#This Row],[Precio Venta Ideal (x1.5)]]</f>
        <v>26.0570454545454</v>
      </c>
      <c r="J457" s="70">
        <v>2</v>
      </c>
      <c r="K457" s="70">
        <f>SUMIFS(VENTAS[Cantidad],VENTAS[Código del producto Vendido],STOCK[[#This Row],[Code]])</f>
        <v>2</v>
      </c>
      <c r="L457" s="70">
        <f>STOCK[[#This Row],[Entradas]]-STOCK[[#This Row],[Salidas]]</f>
        <v>0</v>
      </c>
      <c r="M457" s="53">
        <f>STOCK[[#This Row],[Precio Final]]*10%</f>
        <v>2.5</v>
      </c>
      <c r="N457" s="53">
        <v>163</v>
      </c>
      <c r="O457" s="53">
        <v>17.6</v>
      </c>
      <c r="P457" s="53">
        <v>9.26136363636363</v>
      </c>
      <c r="Q457" s="70">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54" t="s">
        <v>955</v>
      </c>
      <c r="F458" s="54" t="s">
        <v>956</v>
      </c>
      <c r="G458" s="54" t="s">
        <v>36</v>
      </c>
      <c r="H458" s="54">
        <f>STOCK[[#This Row],[Precio Final]]</f>
        <v>25</v>
      </c>
      <c r="I458" s="54">
        <f>STOCK[[#This Row],[Precio Venta Ideal (x1.5)]]</f>
        <v>22.3159090909091</v>
      </c>
      <c r="J458" s="71">
        <v>1</v>
      </c>
      <c r="K458" s="71">
        <f>SUMIFS(VENTAS[Cantidad],VENTAS[Código del producto Vendido],STOCK[[#This Row],[Code]])</f>
        <v>1</v>
      </c>
      <c r="L458" s="71">
        <f>STOCK[[#This Row],[Entradas]]-STOCK[[#This Row],[Salidas]]</f>
        <v>0</v>
      </c>
      <c r="M458" s="54">
        <f>STOCK[[#This Row],[Precio Final]]*10%</f>
        <v>2.5</v>
      </c>
      <c r="N458" s="54">
        <v>158</v>
      </c>
      <c r="O458" s="54">
        <v>17.6</v>
      </c>
      <c r="P458" s="54">
        <v>8.97727272727273</v>
      </c>
      <c r="Q458" s="71">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53" t="s">
        <v>958</v>
      </c>
      <c r="F459" s="53" t="s">
        <v>46</v>
      </c>
      <c r="G459" s="53" t="s">
        <v>36</v>
      </c>
      <c r="H459" s="53">
        <f>STOCK[[#This Row],[Precio Final]]</f>
        <v>20</v>
      </c>
      <c r="I459" s="53">
        <f>STOCK[[#This Row],[Precio Venta Ideal (x1.5)]]</f>
        <v>20.8840909090909</v>
      </c>
      <c r="J459" s="70">
        <v>1</v>
      </c>
      <c r="K459" s="70">
        <f>SUMIFS(VENTAS[Cantidad],VENTAS[Código del producto Vendido],STOCK[[#This Row],[Code]])</f>
        <v>1</v>
      </c>
      <c r="L459" s="70">
        <f>STOCK[[#This Row],[Entradas]]-STOCK[[#This Row],[Salidas]]</f>
        <v>0</v>
      </c>
      <c r="M459" s="53">
        <f>STOCK[[#This Row],[Precio Final]]*10%</f>
        <v>2</v>
      </c>
      <c r="N459" s="53">
        <v>150</v>
      </c>
      <c r="O459" s="53">
        <v>17.6</v>
      </c>
      <c r="P459" s="53">
        <v>8.52272727272727</v>
      </c>
      <c r="Q459" s="70">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54" t="s">
        <v>960</v>
      </c>
      <c r="F460" s="54" t="s">
        <v>40</v>
      </c>
      <c r="G460" s="54" t="s">
        <v>36</v>
      </c>
      <c r="H460" s="54">
        <f>STOCK[[#This Row],[Precio Final]]</f>
        <v>30</v>
      </c>
      <c r="I460" s="54">
        <f>STOCK[[#This Row],[Precio Venta Ideal (x1.5)]]</f>
        <v>36.5584090909091</v>
      </c>
      <c r="J460" s="71">
        <v>0</v>
      </c>
      <c r="K460" s="71">
        <f>SUMIFS(VENTAS[Cantidad],VENTAS[Código del producto Vendido],STOCK[[#This Row],[Code]])</f>
        <v>0</v>
      </c>
      <c r="L460" s="71">
        <f>STOCK[[#This Row],[Entradas]]-STOCK[[#This Row],[Salidas]]</f>
        <v>0</v>
      </c>
      <c r="M460" s="54">
        <f>STOCK[[#This Row],[Precio Final]]*10%</f>
        <v>3</v>
      </c>
      <c r="N460" s="54">
        <v>246</v>
      </c>
      <c r="O460" s="54">
        <v>17.6</v>
      </c>
      <c r="P460" s="54">
        <v>13.9772727272727</v>
      </c>
      <c r="Q460" s="71">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53" t="s">
        <v>962</v>
      </c>
      <c r="F461" s="53" t="s">
        <v>62</v>
      </c>
      <c r="G461" s="53" t="s">
        <v>36</v>
      </c>
      <c r="H461" s="53">
        <f>STOCK[[#This Row],[Precio Final]]</f>
        <v>28</v>
      </c>
      <c r="I461" s="53">
        <f>STOCK[[#This Row],[Precio Venta Ideal (x1.5)]]</f>
        <v>36.2584090909091</v>
      </c>
      <c r="J461" s="70">
        <v>2</v>
      </c>
      <c r="K461" s="70">
        <f>SUMIFS(VENTAS[Cantidad],VENTAS[Código del producto Vendido],STOCK[[#This Row],[Code]])</f>
        <v>2</v>
      </c>
      <c r="L461" s="70">
        <f>STOCK[[#This Row],[Entradas]]-STOCK[[#This Row],[Salidas]]</f>
        <v>0</v>
      </c>
      <c r="M461" s="53">
        <f>STOCK[[#This Row],[Precio Final]]*10%</f>
        <v>2.8</v>
      </c>
      <c r="N461" s="53">
        <v>246</v>
      </c>
      <c r="O461" s="53">
        <v>17.6</v>
      </c>
      <c r="P461" s="53">
        <v>13.9772727272727</v>
      </c>
      <c r="Q461" s="70">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54" t="s">
        <v>960</v>
      </c>
      <c r="F462" s="54" t="s">
        <v>49</v>
      </c>
      <c r="G462" s="54" t="s">
        <v>36</v>
      </c>
      <c r="H462" s="54">
        <f>STOCK[[#This Row],[Precio Final]]</f>
        <v>28</v>
      </c>
      <c r="I462" s="54">
        <f>STOCK[[#This Row],[Precio Venta Ideal (x1.5)]]</f>
        <v>36.2584090909091</v>
      </c>
      <c r="J462" s="71">
        <v>2</v>
      </c>
      <c r="K462" s="71">
        <f>SUMIFS(VENTAS[Cantidad],VENTAS[Código del producto Vendido],STOCK[[#This Row],[Code]])</f>
        <v>2</v>
      </c>
      <c r="L462" s="71">
        <f>STOCK[[#This Row],[Entradas]]-STOCK[[#This Row],[Salidas]]</f>
        <v>0</v>
      </c>
      <c r="M462" s="54">
        <f>STOCK[[#This Row],[Precio Final]]*10%</f>
        <v>2.8</v>
      </c>
      <c r="N462" s="54">
        <v>246</v>
      </c>
      <c r="O462" s="54">
        <v>17.6</v>
      </c>
      <c r="P462" s="54">
        <v>13.9772727272727</v>
      </c>
      <c r="Q462" s="71">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53" t="s">
        <v>962</v>
      </c>
      <c r="F463" s="53" t="s">
        <v>205</v>
      </c>
      <c r="G463" s="53" t="s">
        <v>36</v>
      </c>
      <c r="H463" s="53">
        <f>STOCK[[#This Row],[Precio Final]]</f>
        <v>28</v>
      </c>
      <c r="I463" s="53">
        <f>STOCK[[#This Row],[Precio Venta Ideal (x1.5)]]</f>
        <v>36.2584090909091</v>
      </c>
      <c r="J463" s="70">
        <v>3</v>
      </c>
      <c r="K463" s="70">
        <f>SUMIFS(VENTAS[Cantidad],VENTAS[Código del producto Vendido],STOCK[[#This Row],[Code]])</f>
        <v>3</v>
      </c>
      <c r="L463" s="70">
        <f>STOCK[[#This Row],[Entradas]]-STOCK[[#This Row],[Salidas]]</f>
        <v>0</v>
      </c>
      <c r="M463" s="53">
        <f>STOCK[[#This Row],[Precio Final]]*10%</f>
        <v>2.8</v>
      </c>
      <c r="N463" s="53">
        <v>246</v>
      </c>
      <c r="O463" s="53">
        <v>17.6</v>
      </c>
      <c r="P463" s="53">
        <v>13.9772727272727</v>
      </c>
      <c r="Q463" s="70">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54" t="s">
        <v>948</v>
      </c>
      <c r="F464" s="54" t="s">
        <v>62</v>
      </c>
      <c r="G464" s="54" t="s">
        <v>36</v>
      </c>
      <c r="H464" s="54">
        <f>STOCK[[#This Row],[Precio Final]]</f>
        <v>10</v>
      </c>
      <c r="I464" s="54">
        <f>STOCK[[#This Row],[Precio Venta Ideal (x1.5)]]</f>
        <v>11.6761363636364</v>
      </c>
      <c r="J464" s="71">
        <v>3</v>
      </c>
      <c r="K464" s="71">
        <f>SUMIFS(VENTAS[Cantidad],VENTAS[Código del producto Vendido],STOCK[[#This Row],[Code]])</f>
        <v>3</v>
      </c>
      <c r="L464" s="71">
        <f>STOCK[[#This Row],[Entradas]]-STOCK[[#This Row],[Salidas]]</f>
        <v>0</v>
      </c>
      <c r="M464" s="54">
        <f>STOCK[[#This Row],[Precio Final]]*10%</f>
        <v>1</v>
      </c>
      <c r="N464" s="54">
        <v>82</v>
      </c>
      <c r="O464" s="54">
        <v>17.6</v>
      </c>
      <c r="P464" s="54">
        <v>4.65909090909091</v>
      </c>
      <c r="Q464" s="71">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53" t="s">
        <v>969</v>
      </c>
      <c r="F465" s="53" t="s">
        <v>970</v>
      </c>
      <c r="G465" s="53" t="s">
        <v>36</v>
      </c>
      <c r="H465" s="53">
        <f>STOCK[[#This Row],[Precio Final]]</f>
        <v>10</v>
      </c>
      <c r="I465" s="53">
        <f>STOCK[[#This Row],[Precio Venta Ideal (x1.5)]]</f>
        <v>11.6761363636364</v>
      </c>
      <c r="J465" s="70">
        <v>2</v>
      </c>
      <c r="K465" s="70">
        <f>SUMIFS(VENTAS[Cantidad],VENTAS[Código del producto Vendido],STOCK[[#This Row],[Code]])</f>
        <v>2</v>
      </c>
      <c r="L465" s="70">
        <f>STOCK[[#This Row],[Entradas]]-STOCK[[#This Row],[Salidas]]</f>
        <v>0</v>
      </c>
      <c r="M465" s="53">
        <f>STOCK[[#This Row],[Precio Final]]*10%</f>
        <v>1</v>
      </c>
      <c r="N465" s="53">
        <v>82</v>
      </c>
      <c r="O465" s="53">
        <v>17.6</v>
      </c>
      <c r="P465" s="53">
        <v>4.65909090909091</v>
      </c>
      <c r="Q465" s="70">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54" t="s">
        <v>969</v>
      </c>
      <c r="F466" s="54" t="s">
        <v>972</v>
      </c>
      <c r="G466" s="54" t="s">
        <v>36</v>
      </c>
      <c r="H466" s="54">
        <f>STOCK[[#This Row],[Precio Final]]</f>
        <v>10</v>
      </c>
      <c r="I466" s="54">
        <f>STOCK[[#This Row],[Precio Venta Ideal (x1.5)]]</f>
        <v>11.6761363636364</v>
      </c>
      <c r="J466" s="71">
        <v>1</v>
      </c>
      <c r="K466" s="71">
        <f>SUMIFS(VENTAS[Cantidad],VENTAS[Código del producto Vendido],STOCK[[#This Row],[Code]])</f>
        <v>1</v>
      </c>
      <c r="L466" s="71">
        <f>STOCK[[#This Row],[Entradas]]-STOCK[[#This Row],[Salidas]]</f>
        <v>0</v>
      </c>
      <c r="M466" s="54">
        <f>STOCK[[#This Row],[Precio Final]]*10%</f>
        <v>1</v>
      </c>
      <c r="N466" s="54">
        <v>82</v>
      </c>
      <c r="O466" s="54">
        <v>17.6</v>
      </c>
      <c r="P466" s="54">
        <v>4.65909090909091</v>
      </c>
      <c r="Q466" s="71">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53" t="s">
        <v>974</v>
      </c>
      <c r="F467" s="53" t="s">
        <v>62</v>
      </c>
      <c r="G467" s="53" t="s">
        <v>36</v>
      </c>
      <c r="H467" s="53">
        <f>STOCK[[#This Row],[Precio Final]]</f>
        <v>25</v>
      </c>
      <c r="I467" s="53">
        <f>STOCK[[#This Row],[Precio Venta Ideal (x1.5)]]</f>
        <v>26.7375</v>
      </c>
      <c r="J467" s="70">
        <v>1</v>
      </c>
      <c r="K467" s="70">
        <f>SUMIFS(VENTAS[Cantidad],VENTAS[Código del producto Vendido],STOCK[[#This Row],[Code]])</f>
        <v>1</v>
      </c>
      <c r="L467" s="70">
        <f>STOCK[[#This Row],[Entradas]]-STOCK[[#This Row],[Salidas]]</f>
        <v>0</v>
      </c>
      <c r="M467" s="53">
        <f>STOCK[[#This Row],[Precio Final]]*10%</f>
        <v>2.5</v>
      </c>
      <c r="N467" s="53">
        <v>165</v>
      </c>
      <c r="O467" s="53">
        <v>17.6</v>
      </c>
      <c r="P467" s="53">
        <v>9.375</v>
      </c>
      <c r="Q467" s="70">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54" t="s">
        <v>977</v>
      </c>
      <c r="F468" s="54" t="s">
        <v>46</v>
      </c>
      <c r="G468" s="54" t="s">
        <v>36</v>
      </c>
      <c r="H468" s="54">
        <f>STOCK[[#This Row],[Precio Final]]</f>
        <v>25</v>
      </c>
      <c r="I468" s="54">
        <f>STOCK[[#This Row],[Precio Venta Ideal (x1.5)]]</f>
        <v>26.7375</v>
      </c>
      <c r="J468" s="71">
        <v>2</v>
      </c>
      <c r="K468" s="71">
        <f>SUMIFS(VENTAS[Cantidad],VENTAS[Código del producto Vendido],STOCK[[#This Row],[Code]])</f>
        <v>2</v>
      </c>
      <c r="L468" s="71">
        <f>STOCK[[#This Row],[Entradas]]-STOCK[[#This Row],[Salidas]]</f>
        <v>0</v>
      </c>
      <c r="M468" s="54">
        <f>STOCK[[#This Row],[Precio Final]]*10%</f>
        <v>2.5</v>
      </c>
      <c r="N468" s="54">
        <v>165</v>
      </c>
      <c r="O468" s="54">
        <v>17.6</v>
      </c>
      <c r="P468" s="54">
        <v>9.375</v>
      </c>
      <c r="Q468" s="71">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53" t="s">
        <v>979</v>
      </c>
      <c r="F469" s="53" t="s">
        <v>956</v>
      </c>
      <c r="G469" s="53" t="s">
        <v>36</v>
      </c>
      <c r="H469" s="53">
        <f>STOCK[[#This Row],[Precio Final]]</f>
        <v>25</v>
      </c>
      <c r="I469" s="53">
        <f>STOCK[[#This Row],[Precio Venta Ideal (x1.5)]]</f>
        <v>25.465909090909</v>
      </c>
      <c r="J469" s="70">
        <v>1</v>
      </c>
      <c r="K469" s="70">
        <f>SUMIFS(VENTAS[Cantidad],VENTAS[Código del producto Vendido],STOCK[[#This Row],[Code]])</f>
        <v>1</v>
      </c>
      <c r="L469" s="70">
        <f>STOCK[[#This Row],[Entradas]]-STOCK[[#This Row],[Salidas]]</f>
        <v>0</v>
      </c>
      <c r="M469" s="53">
        <f>STOCK[[#This Row],[Precio Final]]*10%</f>
        <v>2.5</v>
      </c>
      <c r="N469" s="53">
        <v>180</v>
      </c>
      <c r="O469" s="53">
        <v>17.6</v>
      </c>
      <c r="P469" s="53">
        <v>10.2272727272727</v>
      </c>
      <c r="Q469" s="70">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54" t="s">
        <v>982</v>
      </c>
      <c r="F470" s="54" t="s">
        <v>46</v>
      </c>
      <c r="G470" s="54" t="s">
        <v>36</v>
      </c>
      <c r="H470" s="54">
        <f>STOCK[[#This Row],[Precio Final]]</f>
        <v>12</v>
      </c>
      <c r="I470" s="54">
        <f>STOCK[[#This Row],[Precio Venta Ideal (x1.5)]]</f>
        <v>12.0170454545455</v>
      </c>
      <c r="J470" s="71">
        <v>1</v>
      </c>
      <c r="K470" s="71">
        <f>SUMIFS(VENTAS[Cantidad],VENTAS[Código del producto Vendido],STOCK[[#This Row],[Code]])</f>
        <v>1</v>
      </c>
      <c r="L470" s="71">
        <f>STOCK[[#This Row],[Entradas]]-STOCK[[#This Row],[Salidas]]</f>
        <v>0</v>
      </c>
      <c r="M470" s="54">
        <f>STOCK[[#This Row],[Precio Final]]*10%</f>
        <v>1.2</v>
      </c>
      <c r="N470" s="54">
        <v>75</v>
      </c>
      <c r="O470" s="54">
        <v>17.6</v>
      </c>
      <c r="P470" s="54">
        <v>4.26136363636364</v>
      </c>
      <c r="Q470" s="71">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53" t="s">
        <v>982</v>
      </c>
      <c r="F471" s="53" t="s">
        <v>49</v>
      </c>
      <c r="G471" s="53" t="s">
        <v>36</v>
      </c>
      <c r="H471" s="53">
        <f>STOCK[[#This Row],[Precio Final]]</f>
        <v>12</v>
      </c>
      <c r="I471" s="53">
        <f>STOCK[[#This Row],[Precio Venta Ideal (x1.5)]]</f>
        <v>12.0170454545455</v>
      </c>
      <c r="J471" s="70">
        <v>1</v>
      </c>
      <c r="K471" s="70">
        <f>SUMIFS(VENTAS[Cantidad],VENTAS[Código del producto Vendido],STOCK[[#This Row],[Code]])</f>
        <v>1</v>
      </c>
      <c r="L471" s="70">
        <f>STOCK[[#This Row],[Entradas]]-STOCK[[#This Row],[Salidas]]</f>
        <v>0</v>
      </c>
      <c r="M471" s="53">
        <f>STOCK[[#This Row],[Precio Final]]*10%</f>
        <v>1.2</v>
      </c>
      <c r="N471" s="53">
        <v>75</v>
      </c>
      <c r="O471" s="53">
        <v>17.6</v>
      </c>
      <c r="P471" s="53">
        <v>4.26136363636364</v>
      </c>
      <c r="Q471" s="70">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54" t="s">
        <v>982</v>
      </c>
      <c r="F472" s="54" t="s">
        <v>62</v>
      </c>
      <c r="G472" s="54" t="s">
        <v>36</v>
      </c>
      <c r="H472" s="54">
        <f>STOCK[[#This Row],[Precio Final]]</f>
        <v>12</v>
      </c>
      <c r="I472" s="54">
        <f>STOCK[[#This Row],[Precio Venta Ideal (x1.5)]]</f>
        <v>12.0170454545455</v>
      </c>
      <c r="J472" s="71">
        <v>1</v>
      </c>
      <c r="K472" s="71">
        <f>SUMIFS(VENTAS[Cantidad],VENTAS[Código del producto Vendido],STOCK[[#This Row],[Code]])</f>
        <v>1</v>
      </c>
      <c r="L472" s="71">
        <f>STOCK[[#This Row],[Entradas]]-STOCK[[#This Row],[Salidas]]</f>
        <v>0</v>
      </c>
      <c r="M472" s="54">
        <f>STOCK[[#This Row],[Precio Final]]*10%</f>
        <v>1.2</v>
      </c>
      <c r="N472" s="54">
        <v>75</v>
      </c>
      <c r="O472" s="54">
        <v>17.6</v>
      </c>
      <c r="P472" s="54">
        <v>4.26136363636364</v>
      </c>
      <c r="Q472" s="71">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53" t="s">
        <v>986</v>
      </c>
      <c r="F473" s="53" t="s">
        <v>62</v>
      </c>
      <c r="G473" s="53" t="s">
        <v>36</v>
      </c>
      <c r="H473" s="53">
        <f>STOCK[[#This Row],[Precio Final]]</f>
        <v>25</v>
      </c>
      <c r="I473" s="53">
        <f>STOCK[[#This Row],[Precio Venta Ideal (x1.5)]]</f>
        <v>27.0415909090909</v>
      </c>
      <c r="J473" s="70">
        <v>1</v>
      </c>
      <c r="K473" s="70">
        <f>SUMIFS(VENTAS[Cantidad],VENTAS[Código del producto Vendido],STOCK[[#This Row],[Code]])</f>
        <v>1</v>
      </c>
      <c r="L473" s="70">
        <f>STOCK[[#This Row],[Entradas]]-STOCK[[#This Row],[Salidas]]</f>
        <v>0</v>
      </c>
      <c r="M473" s="53">
        <f>STOCK[[#This Row],[Precio Final]]*10%</f>
        <v>2.5</v>
      </c>
      <c r="N473" s="53">
        <v>194</v>
      </c>
      <c r="O473" s="53">
        <v>17.6</v>
      </c>
      <c r="P473" s="53">
        <v>11.0227272727273</v>
      </c>
      <c r="Q473" s="70">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54" t="s">
        <v>986</v>
      </c>
      <c r="F474" s="54" t="s">
        <v>49</v>
      </c>
      <c r="G474" s="54" t="s">
        <v>36</v>
      </c>
      <c r="H474" s="54">
        <f>STOCK[[#This Row],[Precio Final]]</f>
        <v>25</v>
      </c>
      <c r="I474" s="54">
        <f>STOCK[[#This Row],[Precio Venta Ideal (x1.5)]]</f>
        <v>27.0415909090909</v>
      </c>
      <c r="J474" s="71">
        <v>1</v>
      </c>
      <c r="K474" s="71">
        <f>SUMIFS(VENTAS[Cantidad],VENTAS[Código del producto Vendido],STOCK[[#This Row],[Code]])</f>
        <v>1</v>
      </c>
      <c r="L474" s="71">
        <f>STOCK[[#This Row],[Entradas]]-STOCK[[#This Row],[Salidas]]</f>
        <v>0</v>
      </c>
      <c r="M474" s="54">
        <f>STOCK[[#This Row],[Precio Final]]*10%</f>
        <v>2.5</v>
      </c>
      <c r="N474" s="54">
        <v>194</v>
      </c>
      <c r="O474" s="54">
        <v>17.6</v>
      </c>
      <c r="P474" s="54">
        <v>11.0227272727273</v>
      </c>
      <c r="Q474" s="71">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53" t="s">
        <v>989</v>
      </c>
      <c r="F475" s="53" t="s">
        <v>205</v>
      </c>
      <c r="G475" s="53" t="s">
        <v>36</v>
      </c>
      <c r="H475" s="53">
        <f>STOCK[[#This Row],[Precio Final]]</f>
        <v>20</v>
      </c>
      <c r="I475" s="53">
        <f>STOCK[[#This Row],[Precio Venta Ideal (x1.5)]]</f>
        <v>26.2915909090909</v>
      </c>
      <c r="J475" s="70">
        <v>1</v>
      </c>
      <c r="K475" s="70">
        <f>SUMIFS(VENTAS[Cantidad],VENTAS[Código del producto Vendido],STOCK[[#This Row],[Code]])</f>
        <v>1</v>
      </c>
      <c r="L475" s="70">
        <f>STOCK[[#This Row],[Entradas]]-STOCK[[#This Row],[Salidas]]</f>
        <v>0</v>
      </c>
      <c r="M475" s="53">
        <f>STOCK[[#This Row],[Precio Final]]*10%</f>
        <v>2</v>
      </c>
      <c r="N475" s="53">
        <v>194</v>
      </c>
      <c r="O475" s="53">
        <v>17.6</v>
      </c>
      <c r="P475" s="53">
        <v>11.0227272727273</v>
      </c>
      <c r="Q475" s="70">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54" t="s">
        <v>991</v>
      </c>
      <c r="F476" s="54" t="s">
        <v>46</v>
      </c>
      <c r="G476" s="54" t="s">
        <v>36</v>
      </c>
      <c r="H476" s="54">
        <f>STOCK[[#This Row],[Precio Final]]</f>
        <v>12</v>
      </c>
      <c r="I476" s="54">
        <f>STOCK[[#This Row],[Precio Venta Ideal (x1.5)]]</f>
        <v>13.2518181818182</v>
      </c>
      <c r="J476" s="71">
        <v>1</v>
      </c>
      <c r="K476" s="71">
        <f>SUMIFS(VENTAS[Cantidad],VENTAS[Código del producto Vendido],STOCK[[#This Row],[Code]])</f>
        <v>1</v>
      </c>
      <c r="L476" s="71">
        <f>STOCK[[#This Row],[Entradas]]-STOCK[[#This Row],[Salidas]]</f>
        <v>0</v>
      </c>
      <c r="M476" s="54">
        <f>STOCK[[#This Row],[Precio Final]]*10%</f>
        <v>1.2</v>
      </c>
      <c r="N476" s="54">
        <v>85</v>
      </c>
      <c r="O476" s="54">
        <v>17.6</v>
      </c>
      <c r="P476" s="54">
        <v>4.82954545454545</v>
      </c>
      <c r="Q476" s="71">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53" t="s">
        <v>991</v>
      </c>
      <c r="F477" s="53" t="s">
        <v>49</v>
      </c>
      <c r="G477" s="53" t="s">
        <v>36</v>
      </c>
      <c r="H477" s="53">
        <f>STOCK[[#This Row],[Precio Final]]</f>
        <v>12</v>
      </c>
      <c r="I477" s="53">
        <f>STOCK[[#This Row],[Precio Venta Ideal (x1.5)]]</f>
        <v>12.8693181818182</v>
      </c>
      <c r="J477" s="70">
        <v>1</v>
      </c>
      <c r="K477" s="70">
        <f>SUMIFS(VENTAS[Cantidad],VENTAS[Código del producto Vendido],STOCK[[#This Row],[Code]])</f>
        <v>1</v>
      </c>
      <c r="L477" s="70">
        <f>STOCK[[#This Row],[Entradas]]-STOCK[[#This Row],[Salidas]]</f>
        <v>0</v>
      </c>
      <c r="M477" s="53">
        <f>STOCK[[#This Row],[Precio Final]]*10%</f>
        <v>1.2</v>
      </c>
      <c r="N477" s="53">
        <v>85</v>
      </c>
      <c r="O477" s="53">
        <v>17.6</v>
      </c>
      <c r="P477" s="53">
        <v>4.82954545454545</v>
      </c>
      <c r="Q477" s="70">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54" t="s">
        <v>948</v>
      </c>
      <c r="F478" s="54" t="s">
        <v>994</v>
      </c>
      <c r="G478" s="54" t="s">
        <v>36</v>
      </c>
      <c r="H478" s="54">
        <f>STOCK[[#This Row],[Precio Final]]</f>
        <v>10</v>
      </c>
      <c r="I478" s="54">
        <f>STOCK[[#This Row],[Precio Venta Ideal (x1.5)]]</f>
        <v>12.5693181818182</v>
      </c>
      <c r="J478" s="71">
        <v>2</v>
      </c>
      <c r="K478" s="71">
        <f>SUMIFS(VENTAS[Cantidad],VENTAS[Código del producto Vendido],STOCK[[#This Row],[Code]])</f>
        <v>2</v>
      </c>
      <c r="L478" s="71">
        <f>STOCK[[#This Row],[Entradas]]-STOCK[[#This Row],[Salidas]]</f>
        <v>0</v>
      </c>
      <c r="M478" s="54">
        <f>STOCK[[#This Row],[Precio Final]]*10%</f>
        <v>1</v>
      </c>
      <c r="N478" s="54">
        <v>85</v>
      </c>
      <c r="O478" s="54">
        <v>17.6</v>
      </c>
      <c r="P478" s="54">
        <v>4.82954545454545</v>
      </c>
      <c r="Q478" s="71">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53" t="s">
        <v>996</v>
      </c>
      <c r="F479" s="53" t="s">
        <v>997</v>
      </c>
      <c r="G479" s="53" t="s">
        <v>36</v>
      </c>
      <c r="H479" s="53">
        <f>STOCK[[#This Row],[Precio Final]]</f>
        <v>22</v>
      </c>
      <c r="I479" s="53">
        <f>STOCK[[#This Row],[Precio Venta Ideal (x1.5)]]</f>
        <v>24.7568181818182</v>
      </c>
      <c r="J479" s="70">
        <v>1</v>
      </c>
      <c r="K479" s="70">
        <f>SUMIFS(VENTAS[Cantidad],VENTAS[Código del producto Vendido],STOCK[[#This Row],[Code]])</f>
        <v>1</v>
      </c>
      <c r="L479" s="70">
        <f>STOCK[[#This Row],[Entradas]]-STOCK[[#This Row],[Salidas]]</f>
        <v>0</v>
      </c>
      <c r="M479" s="53">
        <f>STOCK[[#This Row],[Precio Final]]*10%</f>
        <v>2.2</v>
      </c>
      <c r="N479" s="53">
        <v>162</v>
      </c>
      <c r="O479" s="53">
        <v>17.6</v>
      </c>
      <c r="P479" s="53">
        <v>9.20454545454545</v>
      </c>
      <c r="Q479" s="70">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54" t="s">
        <v>999</v>
      </c>
      <c r="F480" s="54" t="s">
        <v>49</v>
      </c>
      <c r="G480" s="54" t="s">
        <v>36</v>
      </c>
      <c r="H480" s="54">
        <f>STOCK[[#This Row],[Precio Final]]</f>
        <v>14</v>
      </c>
      <c r="I480" s="54">
        <f>STOCK[[#This Row],[Precio Venta Ideal (x1.5)]]</f>
        <v>16.02</v>
      </c>
      <c r="J480" s="71">
        <v>2</v>
      </c>
      <c r="K480" s="71">
        <f>SUMIFS(VENTAS[Cantidad],VENTAS[Código del producto Vendido],STOCK[[#This Row],[Code]])</f>
        <v>2</v>
      </c>
      <c r="L480" s="71">
        <f>STOCK[[#This Row],[Entradas]]-STOCK[[#This Row],[Salidas]]</f>
        <v>0</v>
      </c>
      <c r="M480" s="54">
        <f>STOCK[[#This Row],[Precio Final]]*10%</f>
        <v>1.4</v>
      </c>
      <c r="N480" s="54">
        <v>99</v>
      </c>
      <c r="O480" s="54">
        <v>17.6</v>
      </c>
      <c r="P480" s="54">
        <v>5.625</v>
      </c>
      <c r="Q480" s="71">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53" t="s">
        <v>999</v>
      </c>
      <c r="F481" s="53" t="s">
        <v>62</v>
      </c>
      <c r="G481" s="53" t="s">
        <v>36</v>
      </c>
      <c r="H481" s="53">
        <f>STOCK[[#This Row],[Precio Final]]</f>
        <v>14</v>
      </c>
      <c r="I481" s="53">
        <f>STOCK[[#This Row],[Precio Venta Ideal (x1.5)]]</f>
        <v>16.02</v>
      </c>
      <c r="J481" s="70">
        <v>2</v>
      </c>
      <c r="K481" s="70">
        <f>SUMIFS(VENTAS[Cantidad],VENTAS[Código del producto Vendido],STOCK[[#This Row],[Code]])</f>
        <v>2</v>
      </c>
      <c r="L481" s="70">
        <f>STOCK[[#This Row],[Entradas]]-STOCK[[#This Row],[Salidas]]</f>
        <v>0</v>
      </c>
      <c r="M481" s="53">
        <f>STOCK[[#This Row],[Precio Final]]*10%</f>
        <v>1.4</v>
      </c>
      <c r="N481" s="53">
        <v>99</v>
      </c>
      <c r="O481" s="53">
        <v>17.6</v>
      </c>
      <c r="P481" s="53">
        <v>5.625</v>
      </c>
      <c r="Q481" s="70">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54" t="s">
        <v>1002</v>
      </c>
      <c r="F482" s="54" t="s">
        <v>46</v>
      </c>
      <c r="G482" s="54" t="s">
        <v>36</v>
      </c>
      <c r="H482" s="54">
        <f>STOCK[[#This Row],[Precio Final]]</f>
        <v>14</v>
      </c>
      <c r="I482" s="54">
        <f>STOCK[[#This Row],[Precio Venta Ideal (x1.5)]]</f>
        <v>16.02</v>
      </c>
      <c r="J482" s="71">
        <v>1</v>
      </c>
      <c r="K482" s="71">
        <f>SUMIFS(VENTAS[Cantidad],VENTAS[Código del producto Vendido],STOCK[[#This Row],[Code]])</f>
        <v>1</v>
      </c>
      <c r="L482" s="71">
        <f>STOCK[[#This Row],[Entradas]]-STOCK[[#This Row],[Salidas]]</f>
        <v>0</v>
      </c>
      <c r="M482" s="54">
        <f>STOCK[[#This Row],[Precio Final]]*10%</f>
        <v>1.4</v>
      </c>
      <c r="N482" s="54">
        <v>99</v>
      </c>
      <c r="O482" s="54">
        <v>17.6</v>
      </c>
      <c r="P482" s="54">
        <v>5.625</v>
      </c>
      <c r="Q482" s="71">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53" t="s">
        <v>1004</v>
      </c>
      <c r="F483" s="53" t="s">
        <v>62</v>
      </c>
      <c r="G483" s="53" t="s">
        <v>36</v>
      </c>
      <c r="H483" s="53">
        <f>STOCK[[#This Row],[Precio Final]]</f>
        <v>25</v>
      </c>
      <c r="I483" s="53">
        <f>STOCK[[#This Row],[Precio Venta Ideal (x1.5)]]</f>
        <v>26.740909090909</v>
      </c>
      <c r="J483" s="70">
        <v>2</v>
      </c>
      <c r="K483" s="70">
        <f>SUMIFS(VENTAS[Cantidad],VENTAS[Código del producto Vendido],STOCK[[#This Row],[Code]])</f>
        <v>2</v>
      </c>
      <c r="L483" s="70">
        <f>STOCK[[#This Row],[Entradas]]-STOCK[[#This Row],[Salidas]]</f>
        <v>0</v>
      </c>
      <c r="M483" s="53">
        <f>STOCK[[#This Row],[Precio Final]]*10%</f>
        <v>2.5</v>
      </c>
      <c r="N483" s="53">
        <v>180</v>
      </c>
      <c r="O483" s="53">
        <v>17.6</v>
      </c>
      <c r="P483" s="53">
        <v>10.2272727272727</v>
      </c>
      <c r="Q483" s="70">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54" t="s">
        <v>1004</v>
      </c>
      <c r="F484" s="54" t="s">
        <v>1006</v>
      </c>
      <c r="G484" s="54" t="s">
        <v>36</v>
      </c>
      <c r="H484" s="54">
        <f>STOCK[[#This Row],[Precio Final]]</f>
        <v>25</v>
      </c>
      <c r="I484" s="54">
        <f>STOCK[[#This Row],[Precio Venta Ideal (x1.5)]]</f>
        <v>26.740909090909</v>
      </c>
      <c r="J484" s="71">
        <v>2</v>
      </c>
      <c r="K484" s="71">
        <f>SUMIFS(VENTAS[Cantidad],VENTAS[Código del producto Vendido],STOCK[[#This Row],[Code]])</f>
        <v>2</v>
      </c>
      <c r="L484" s="71">
        <f>STOCK[[#This Row],[Entradas]]-STOCK[[#This Row],[Salidas]]</f>
        <v>0</v>
      </c>
      <c r="M484" s="54">
        <f>STOCK[[#This Row],[Precio Final]]*10%</f>
        <v>2.5</v>
      </c>
      <c r="N484" s="54">
        <v>180</v>
      </c>
      <c r="O484" s="54">
        <v>17.6</v>
      </c>
      <c r="P484" s="54">
        <v>10.2272727272727</v>
      </c>
      <c r="Q484" s="71">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53" t="s">
        <v>1008</v>
      </c>
      <c r="F485" s="53" t="s">
        <v>49</v>
      </c>
      <c r="G485" s="53" t="s">
        <v>36</v>
      </c>
      <c r="H485" s="53">
        <f>STOCK[[#This Row],[Precio Final]]</f>
        <v>25</v>
      </c>
      <c r="I485" s="53">
        <f>STOCK[[#This Row],[Precio Venta Ideal (x1.5)]]</f>
        <v>25.7181818181818</v>
      </c>
      <c r="J485" s="70">
        <v>2</v>
      </c>
      <c r="K485" s="70">
        <f>SUMIFS(VENTAS[Cantidad],VENTAS[Código del producto Vendido],STOCK[[#This Row],[Code]])</f>
        <v>2</v>
      </c>
      <c r="L485" s="70">
        <f>STOCK[[#This Row],[Entradas]]-STOCK[[#This Row],[Salidas]]</f>
        <v>0</v>
      </c>
      <c r="M485" s="53">
        <f>STOCK[[#This Row],[Precio Final]]*10%</f>
        <v>2.5</v>
      </c>
      <c r="N485" s="53">
        <v>168</v>
      </c>
      <c r="O485" s="53">
        <v>17.6</v>
      </c>
      <c r="P485" s="53">
        <v>9.54545454545454</v>
      </c>
      <c r="Q485" s="70">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54" t="s">
        <v>1011</v>
      </c>
      <c r="F486" s="54" t="s">
        <v>83</v>
      </c>
      <c r="G486" s="54" t="s">
        <v>36</v>
      </c>
      <c r="H486" s="54">
        <f>STOCK[[#This Row],[Precio Final]]</f>
        <v>35</v>
      </c>
      <c r="I486" s="54">
        <f>STOCK[[#This Row],[Precio Venta Ideal (x1.5)]]</f>
        <v>42.3443181818183</v>
      </c>
      <c r="J486" s="71">
        <v>1</v>
      </c>
      <c r="K486" s="71">
        <f>SUMIFS(VENTAS[Cantidad],VENTAS[Código del producto Vendido],STOCK[[#This Row],[Code]])</f>
        <v>1</v>
      </c>
      <c r="L486" s="71">
        <f>STOCK[[#This Row],[Entradas]]-STOCK[[#This Row],[Salidas]]</f>
        <v>0</v>
      </c>
      <c r="M486" s="54">
        <f>STOCK[[#This Row],[Precio Final]]*10%</f>
        <v>3.5</v>
      </c>
      <c r="N486" s="54">
        <v>272</v>
      </c>
      <c r="O486" s="54">
        <v>17.6</v>
      </c>
      <c r="P486" s="54">
        <v>15.4545454545455</v>
      </c>
      <c r="Q486" s="71">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53" t="s">
        <v>1011</v>
      </c>
      <c r="F487" s="53" t="s">
        <v>46</v>
      </c>
      <c r="G487" s="53" t="s">
        <v>36</v>
      </c>
      <c r="H487" s="53">
        <f>STOCK[[#This Row],[Precio Final]]</f>
        <v>35</v>
      </c>
      <c r="I487" s="53">
        <f>STOCK[[#This Row],[Precio Venta Ideal (x1.5)]]</f>
        <v>41.5568181818183</v>
      </c>
      <c r="J487" s="70">
        <v>1</v>
      </c>
      <c r="K487" s="70">
        <f>SUMIFS(VENTAS[Cantidad],VENTAS[Código del producto Vendido],STOCK[[#This Row],[Code]])</f>
        <v>1</v>
      </c>
      <c r="L487" s="70">
        <f>STOCK[[#This Row],[Entradas]]-STOCK[[#This Row],[Salidas]]</f>
        <v>0</v>
      </c>
      <c r="M487" s="53">
        <f>STOCK[[#This Row],[Precio Final]]*10%</f>
        <v>3.5</v>
      </c>
      <c r="N487" s="53">
        <v>272</v>
      </c>
      <c r="O487" s="53">
        <v>17.6</v>
      </c>
      <c r="P487" s="53">
        <v>15.4545454545455</v>
      </c>
      <c r="Q487" s="70">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54" t="s">
        <v>1011</v>
      </c>
      <c r="F488" s="54" t="s">
        <v>211</v>
      </c>
      <c r="G488" s="54" t="s">
        <v>36</v>
      </c>
      <c r="H488" s="54">
        <f>STOCK[[#This Row],[Precio Final]]</f>
        <v>35</v>
      </c>
      <c r="I488" s="54">
        <f>STOCK[[#This Row],[Precio Venta Ideal (x1.5)]]</f>
        <v>38.5380681818182</v>
      </c>
      <c r="J488" s="71">
        <v>2</v>
      </c>
      <c r="K488" s="71">
        <f>SUMIFS(VENTAS[Cantidad],VENTAS[Código del producto Vendido],STOCK[[#This Row],[Code]])</f>
        <v>2</v>
      </c>
      <c r="L488" s="71">
        <f>STOCK[[#This Row],[Entradas]]-STOCK[[#This Row],[Salidas]]</f>
        <v>0</v>
      </c>
      <c r="M488" s="54">
        <f>STOCK[[#This Row],[Precio Final]]*10%</f>
        <v>3.5</v>
      </c>
      <c r="N488" s="54">
        <v>272</v>
      </c>
      <c r="O488" s="54">
        <v>17.6</v>
      </c>
      <c r="P488" s="54">
        <v>15.4545454545455</v>
      </c>
      <c r="Q488" s="71">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53" t="s">
        <v>1016</v>
      </c>
      <c r="F489" s="53" t="s">
        <v>49</v>
      </c>
      <c r="G489" s="53" t="s">
        <v>36</v>
      </c>
      <c r="H489" s="53">
        <f>STOCK[[#This Row],[Precio Final]]</f>
        <v>12</v>
      </c>
      <c r="I489" s="53">
        <f>STOCK[[#This Row],[Precio Venta Ideal (x1.5)]]</f>
        <v>13.3482954545455</v>
      </c>
      <c r="J489" s="70">
        <v>2</v>
      </c>
      <c r="K489" s="70">
        <f>SUMIFS(VENTAS[Cantidad],VENTAS[Código del producto Vendido],STOCK[[#This Row],[Code]])</f>
        <v>2</v>
      </c>
      <c r="L489" s="70">
        <f>STOCK[[#This Row],[Entradas]]-STOCK[[#This Row],[Salidas]]</f>
        <v>0</v>
      </c>
      <c r="M489" s="53">
        <f>STOCK[[#This Row],[Precio Final]]*10%</f>
        <v>1.2</v>
      </c>
      <c r="N489" s="53">
        <v>97</v>
      </c>
      <c r="O489" s="53">
        <v>17.6</v>
      </c>
      <c r="P489" s="53">
        <v>5.51136363636364</v>
      </c>
      <c r="Q489" s="70">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54" t="s">
        <v>1018</v>
      </c>
      <c r="F490" s="54" t="s">
        <v>40</v>
      </c>
      <c r="G490" s="54" t="s">
        <v>36</v>
      </c>
      <c r="H490" s="54">
        <f>STOCK[[#This Row],[Precio Final]]</f>
        <v>12</v>
      </c>
      <c r="I490" s="54">
        <f>STOCK[[#This Row],[Precio Venta Ideal (x1.5)]]</f>
        <v>12.5352272727273</v>
      </c>
      <c r="J490" s="71">
        <v>1</v>
      </c>
      <c r="K490" s="71">
        <f>SUMIFS(VENTAS[Cantidad],VENTAS[Código del producto Vendido],STOCK[[#This Row],[Code]])</f>
        <v>1</v>
      </c>
      <c r="L490" s="71">
        <f>STOCK[[#This Row],[Entradas]]-STOCK[[#This Row],[Salidas]]</f>
        <v>0</v>
      </c>
      <c r="M490" s="54">
        <f>STOCK[[#This Row],[Precio Final]]*10%</f>
        <v>1.2</v>
      </c>
      <c r="N490" s="54">
        <v>89</v>
      </c>
      <c r="O490" s="54">
        <v>17.6</v>
      </c>
      <c r="P490" s="54">
        <v>5.05681818181818</v>
      </c>
      <c r="Q490" s="71">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53" t="s">
        <v>1018</v>
      </c>
      <c r="F491" s="53" t="s">
        <v>62</v>
      </c>
      <c r="G491" s="53" t="s">
        <v>36</v>
      </c>
      <c r="H491" s="53">
        <f>STOCK[[#This Row],[Precio Final]]</f>
        <v>12</v>
      </c>
      <c r="I491" s="53">
        <f>STOCK[[#This Row],[Precio Venta Ideal (x1.5)]]</f>
        <v>12.5352272727273</v>
      </c>
      <c r="J491" s="70">
        <v>2</v>
      </c>
      <c r="K491" s="70">
        <f>SUMIFS(VENTAS[Cantidad],VENTAS[Código del producto Vendido],STOCK[[#This Row],[Code]])</f>
        <v>2</v>
      </c>
      <c r="L491" s="70">
        <f>STOCK[[#This Row],[Entradas]]-STOCK[[#This Row],[Salidas]]</f>
        <v>0</v>
      </c>
      <c r="M491" s="53">
        <f>STOCK[[#This Row],[Precio Final]]*10%</f>
        <v>1.2</v>
      </c>
      <c r="N491" s="53">
        <v>89</v>
      </c>
      <c r="O491" s="53">
        <v>17.6</v>
      </c>
      <c r="P491" s="53">
        <v>5.05681818181818</v>
      </c>
      <c r="Q491" s="70">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54" t="s">
        <v>1018</v>
      </c>
      <c r="F492" s="54" t="s">
        <v>49</v>
      </c>
      <c r="G492" s="54" t="s">
        <v>36</v>
      </c>
      <c r="H492" s="54">
        <f>STOCK[[#This Row],[Precio Final]]</f>
        <v>12</v>
      </c>
      <c r="I492" s="54">
        <f>STOCK[[#This Row],[Precio Venta Ideal (x1.5)]]</f>
        <v>12.5352272727273</v>
      </c>
      <c r="J492" s="71">
        <v>1</v>
      </c>
      <c r="K492" s="71">
        <f>SUMIFS(VENTAS[Cantidad],VENTAS[Código del producto Vendido],STOCK[[#This Row],[Code]])</f>
        <v>1</v>
      </c>
      <c r="L492" s="71">
        <f>STOCK[[#This Row],[Entradas]]-STOCK[[#This Row],[Salidas]]</f>
        <v>0</v>
      </c>
      <c r="M492" s="54">
        <f>STOCK[[#This Row],[Precio Final]]*10%</f>
        <v>1.2</v>
      </c>
      <c r="N492" s="54">
        <v>89</v>
      </c>
      <c r="O492" s="54">
        <v>17.6</v>
      </c>
      <c r="P492" s="54">
        <v>5.05681818181818</v>
      </c>
      <c r="Q492" s="71">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53" t="s">
        <v>1022</v>
      </c>
      <c r="F493" s="53" t="s">
        <v>40</v>
      </c>
      <c r="G493" s="53" t="s">
        <v>36</v>
      </c>
      <c r="H493" s="53">
        <f>STOCK[[#This Row],[Precio Final]]</f>
        <v>20</v>
      </c>
      <c r="I493" s="53">
        <f>STOCK[[#This Row],[Precio Venta Ideal (x1.5)]]</f>
        <v>15.1575</v>
      </c>
      <c r="J493" s="70">
        <v>2</v>
      </c>
      <c r="K493" s="70">
        <f>SUMIFS(VENTAS[Cantidad],VENTAS[Código del producto Vendido],STOCK[[#This Row],[Code]])</f>
        <v>1</v>
      </c>
      <c r="L493" s="70">
        <f>STOCK[[#This Row],[Entradas]]-STOCK[[#This Row],[Salidas]]</f>
        <v>1</v>
      </c>
      <c r="M493" s="53">
        <f>STOCK[[#This Row],[Precio Final]]*10%</f>
        <v>2</v>
      </c>
      <c r="N493" s="53">
        <v>110</v>
      </c>
      <c r="O493" s="53">
        <v>17.6</v>
      </c>
      <c r="P493" s="53">
        <v>6.25</v>
      </c>
      <c r="Q493" s="70">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54" t="s">
        <v>1024</v>
      </c>
      <c r="F494" s="54" t="s">
        <v>62</v>
      </c>
      <c r="G494" s="54" t="s">
        <v>36</v>
      </c>
      <c r="H494" s="54">
        <f>STOCK[[#This Row],[Precio Final]]</f>
        <v>19</v>
      </c>
      <c r="I494" s="54">
        <f>STOCK[[#This Row],[Precio Venta Ideal (x1.5)]]</f>
        <v>15.0075</v>
      </c>
      <c r="J494" s="71">
        <v>1</v>
      </c>
      <c r="K494" s="71">
        <f>SUMIFS(VENTAS[Cantidad],VENTAS[Código del producto Vendido],STOCK[[#This Row],[Code]])</f>
        <v>1</v>
      </c>
      <c r="L494" s="71">
        <f>STOCK[[#This Row],[Entradas]]-STOCK[[#This Row],[Salidas]]</f>
        <v>0</v>
      </c>
      <c r="M494" s="54">
        <f>STOCK[[#This Row],[Precio Final]]*10%</f>
        <v>1.9</v>
      </c>
      <c r="N494" s="54">
        <v>110</v>
      </c>
      <c r="O494" s="54">
        <v>17.6</v>
      </c>
      <c r="P494" s="54">
        <v>6.25</v>
      </c>
      <c r="Q494" s="71">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53" t="s">
        <v>1024</v>
      </c>
      <c r="F495" s="53" t="s">
        <v>49</v>
      </c>
      <c r="G495" s="53" t="s">
        <v>36</v>
      </c>
      <c r="H495" s="53">
        <f>STOCK[[#This Row],[Precio Final]]</f>
        <v>19</v>
      </c>
      <c r="I495" s="53">
        <f>STOCK[[#This Row],[Precio Venta Ideal (x1.5)]]</f>
        <v>15.0075</v>
      </c>
      <c r="J495" s="70">
        <v>1</v>
      </c>
      <c r="K495" s="70">
        <f>SUMIFS(VENTAS[Cantidad],VENTAS[Código del producto Vendido],STOCK[[#This Row],[Code]])</f>
        <v>1</v>
      </c>
      <c r="L495" s="70">
        <f>STOCK[[#This Row],[Entradas]]-STOCK[[#This Row],[Salidas]]</f>
        <v>0</v>
      </c>
      <c r="M495" s="53">
        <f>STOCK[[#This Row],[Precio Final]]*10%</f>
        <v>1.9</v>
      </c>
      <c r="N495" s="53">
        <v>110</v>
      </c>
      <c r="O495" s="53">
        <v>17.6</v>
      </c>
      <c r="P495" s="53">
        <v>6.25</v>
      </c>
      <c r="Q495" s="70">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54" t="s">
        <v>1027</v>
      </c>
      <c r="F496" s="54" t="s">
        <v>40</v>
      </c>
      <c r="G496" s="54" t="s">
        <v>36</v>
      </c>
      <c r="H496" s="54">
        <f>STOCK[[#This Row],[Precio Final]]</f>
        <v>12</v>
      </c>
      <c r="I496" s="54">
        <f>STOCK[[#This Row],[Precio Venta Ideal (x1.5)]]</f>
        <v>11.9386363636364</v>
      </c>
      <c r="J496" s="71">
        <v>1</v>
      </c>
      <c r="K496" s="71">
        <f>SUMIFS(VENTAS[Cantidad],VENTAS[Código del producto Vendido],STOCK[[#This Row],[Code]])</f>
        <v>1</v>
      </c>
      <c r="L496" s="71">
        <f>STOCK[[#This Row],[Entradas]]-STOCK[[#This Row],[Salidas]]</f>
        <v>0</v>
      </c>
      <c r="M496" s="54">
        <f>STOCK[[#This Row],[Precio Final]]*10%</f>
        <v>1.2</v>
      </c>
      <c r="N496" s="54">
        <v>82</v>
      </c>
      <c r="O496" s="54">
        <v>17.6</v>
      </c>
      <c r="P496" s="54">
        <v>4.65909090909091</v>
      </c>
      <c r="Q496" s="71">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53" t="s">
        <v>1027</v>
      </c>
      <c r="F497" s="53" t="s">
        <v>62</v>
      </c>
      <c r="G497" s="53" t="s">
        <v>36</v>
      </c>
      <c r="H497" s="53">
        <f>STOCK[[#This Row],[Precio Final]]</f>
        <v>12</v>
      </c>
      <c r="I497" s="53">
        <f>STOCK[[#This Row],[Precio Venta Ideal (x1.5)]]</f>
        <v>11.9386363636364</v>
      </c>
      <c r="J497" s="70">
        <v>1</v>
      </c>
      <c r="K497" s="70">
        <f>SUMIFS(VENTAS[Cantidad],VENTAS[Código del producto Vendido],STOCK[[#This Row],[Code]])</f>
        <v>1</v>
      </c>
      <c r="L497" s="70">
        <f>STOCK[[#This Row],[Entradas]]-STOCK[[#This Row],[Salidas]]</f>
        <v>0</v>
      </c>
      <c r="M497" s="53">
        <f>STOCK[[#This Row],[Precio Final]]*10%</f>
        <v>1.2</v>
      </c>
      <c r="N497" s="53">
        <v>82</v>
      </c>
      <c r="O497" s="53">
        <v>17.6</v>
      </c>
      <c r="P497" s="53">
        <v>4.65909090909091</v>
      </c>
      <c r="Q497" s="70">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54" t="s">
        <v>1027</v>
      </c>
      <c r="F498" s="54" t="s">
        <v>49</v>
      </c>
      <c r="G498" s="54" t="s">
        <v>36</v>
      </c>
      <c r="H498" s="54">
        <f>STOCK[[#This Row],[Precio Final]]</f>
        <v>12</v>
      </c>
      <c r="I498" s="54">
        <f>STOCK[[#This Row],[Precio Venta Ideal (x1.5)]]</f>
        <v>11.9386363636364</v>
      </c>
      <c r="J498" s="71">
        <v>1</v>
      </c>
      <c r="K498" s="71">
        <f>SUMIFS(VENTAS[Cantidad],VENTAS[Código del producto Vendido],STOCK[[#This Row],[Code]])</f>
        <v>1</v>
      </c>
      <c r="L498" s="71">
        <f>STOCK[[#This Row],[Entradas]]-STOCK[[#This Row],[Salidas]]</f>
        <v>0</v>
      </c>
      <c r="M498" s="54">
        <f>STOCK[[#This Row],[Precio Final]]*10%</f>
        <v>1.2</v>
      </c>
      <c r="N498" s="54">
        <v>82</v>
      </c>
      <c r="O498" s="54">
        <v>17.6</v>
      </c>
      <c r="P498" s="54">
        <v>4.65909090909091</v>
      </c>
      <c r="Q498" s="71">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53" t="s">
        <v>1031</v>
      </c>
      <c r="F499" s="53" t="s">
        <v>62</v>
      </c>
      <c r="G499" s="53" t="s">
        <v>36</v>
      </c>
      <c r="H499" s="53">
        <f>STOCK[[#This Row],[Precio Final]]</f>
        <v>12</v>
      </c>
      <c r="I499" s="53">
        <f>STOCK[[#This Row],[Precio Venta Ideal (x1.5)]]</f>
        <v>13.4335227272727</v>
      </c>
      <c r="J499" s="70">
        <v>3</v>
      </c>
      <c r="K499" s="70">
        <f>SUMIFS(VENTAS[Cantidad],VENTAS[Código del producto Vendido],STOCK[[#This Row],[Code]])</f>
        <v>3</v>
      </c>
      <c r="L499" s="70">
        <f>STOCK[[#This Row],[Entradas]]-STOCK[[#This Row],[Salidas]]</f>
        <v>0</v>
      </c>
      <c r="M499" s="53">
        <f>STOCK[[#This Row],[Precio Final]]*10%</f>
        <v>1.2</v>
      </c>
      <c r="N499" s="53">
        <v>98</v>
      </c>
      <c r="O499" s="53">
        <v>17.6</v>
      </c>
      <c r="P499" s="53">
        <v>5.56818181818182</v>
      </c>
      <c r="Q499" s="70">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54" t="s">
        <v>1033</v>
      </c>
      <c r="F500" s="54" t="s">
        <v>49</v>
      </c>
      <c r="G500" s="54" t="s">
        <v>36</v>
      </c>
      <c r="H500" s="54">
        <f>STOCK[[#This Row],[Precio Final]]</f>
        <v>12</v>
      </c>
      <c r="I500" s="54">
        <f>STOCK[[#This Row],[Precio Venta Ideal (x1.5)]]</f>
        <v>7.50511363636363</v>
      </c>
      <c r="J500" s="71">
        <v>1</v>
      </c>
      <c r="K500" s="71">
        <f>SUMIFS(VENTAS[Cantidad],VENTAS[Código del producto Vendido],STOCK[[#This Row],[Code]])</f>
        <v>1</v>
      </c>
      <c r="L500" s="71">
        <f>STOCK[[#This Row],[Entradas]]-STOCK[[#This Row],[Salidas]]</f>
        <v>0</v>
      </c>
      <c r="M500" s="54">
        <f>STOCK[[#This Row],[Precio Final]]*10%</f>
        <v>1.2</v>
      </c>
      <c r="N500" s="54">
        <v>50</v>
      </c>
      <c r="O500" s="54">
        <v>17.6</v>
      </c>
      <c r="P500" s="54">
        <v>2.84090909090909</v>
      </c>
      <c r="Q500" s="71">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53" t="s">
        <v>1035</v>
      </c>
      <c r="F501" s="53" t="s">
        <v>62</v>
      </c>
      <c r="G501" s="53" t="s">
        <v>36</v>
      </c>
      <c r="H501" s="53">
        <f>STOCK[[#This Row],[Precio Final]]</f>
        <v>35</v>
      </c>
      <c r="I501" s="53">
        <f>STOCK[[#This Row],[Precio Venta Ideal (x1.5)]]</f>
        <v>42.2727272727273</v>
      </c>
      <c r="J501" s="70">
        <v>3</v>
      </c>
      <c r="K501" s="70">
        <f>SUMIFS(VENTAS[Cantidad],VENTAS[Código del producto Vendido],STOCK[[#This Row],[Code]])</f>
        <v>3</v>
      </c>
      <c r="L501" s="70">
        <f>STOCK[[#This Row],[Entradas]]-STOCK[[#This Row],[Salidas]]</f>
        <v>0</v>
      </c>
      <c r="M501" s="53">
        <f>STOCK[[#This Row],[Precio Final]]*10%</f>
        <v>3.5</v>
      </c>
      <c r="N501" s="53">
        <v>265</v>
      </c>
      <c r="O501" s="53">
        <v>17.6</v>
      </c>
      <c r="P501" s="53">
        <v>15.0568181818182</v>
      </c>
      <c r="Q501" s="70">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54" t="s">
        <v>1035</v>
      </c>
      <c r="F502" s="54" t="s">
        <v>49</v>
      </c>
      <c r="G502" s="54" t="s">
        <v>36</v>
      </c>
      <c r="H502" s="54">
        <f>STOCK[[#This Row],[Precio Final]]</f>
        <v>35</v>
      </c>
      <c r="I502" s="54">
        <f>STOCK[[#This Row],[Precio Venta Ideal (x1.5)]]</f>
        <v>42.2727272727273</v>
      </c>
      <c r="J502" s="71">
        <v>3</v>
      </c>
      <c r="K502" s="71">
        <f>SUMIFS(VENTAS[Cantidad],VENTAS[Código del producto Vendido],STOCK[[#This Row],[Code]])</f>
        <v>3</v>
      </c>
      <c r="L502" s="71">
        <f>STOCK[[#This Row],[Entradas]]-STOCK[[#This Row],[Salidas]]</f>
        <v>0</v>
      </c>
      <c r="M502" s="54">
        <f>STOCK[[#This Row],[Precio Final]]*10%</f>
        <v>3.5</v>
      </c>
      <c r="N502" s="54">
        <v>265</v>
      </c>
      <c r="O502" s="54">
        <v>17.6</v>
      </c>
      <c r="P502" s="54">
        <v>15.0568181818182</v>
      </c>
      <c r="Q502" s="71">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53" t="s">
        <v>1038</v>
      </c>
      <c r="F503" s="53" t="s">
        <v>49</v>
      </c>
      <c r="G503" s="53" t="s">
        <v>36</v>
      </c>
      <c r="H503" s="53">
        <f>STOCK[[#This Row],[Precio Final]]</f>
        <v>23</v>
      </c>
      <c r="I503" s="53">
        <f>STOCK[[#This Row],[Precio Venta Ideal (x1.5)]]</f>
        <v>25.3875</v>
      </c>
      <c r="J503" s="70">
        <v>2</v>
      </c>
      <c r="K503" s="70">
        <f>SUMIFS(VENTAS[Cantidad],VENTAS[Código del producto Vendido],STOCK[[#This Row],[Code]])</f>
        <v>1</v>
      </c>
      <c r="L503" s="70">
        <f>STOCK[[#This Row],[Entradas]]-STOCK[[#This Row],[Salidas]]</f>
        <v>1</v>
      </c>
      <c r="M503" s="53">
        <f>STOCK[[#This Row],[Precio Final]]*10%</f>
        <v>2.3</v>
      </c>
      <c r="N503" s="53">
        <v>165</v>
      </c>
      <c r="O503" s="53">
        <v>17.6</v>
      </c>
      <c r="P503" s="53">
        <v>9.375</v>
      </c>
      <c r="Q503" s="70">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54" t="s">
        <v>1040</v>
      </c>
      <c r="F504" s="54" t="s">
        <v>211</v>
      </c>
      <c r="G504" s="54" t="s">
        <v>36</v>
      </c>
      <c r="H504" s="54">
        <f>STOCK[[#This Row],[Precio Final]]</f>
        <v>25</v>
      </c>
      <c r="I504" s="54">
        <f>STOCK[[#This Row],[Precio Venta Ideal (x1.5)]]</f>
        <v>25.6875</v>
      </c>
      <c r="J504" s="71">
        <v>1</v>
      </c>
      <c r="K504" s="71">
        <f>SUMIFS(VENTAS[Cantidad],VENTAS[Código del producto Vendido],STOCK[[#This Row],[Code]])</f>
        <v>1</v>
      </c>
      <c r="L504" s="71">
        <f>STOCK[[#This Row],[Entradas]]-STOCK[[#This Row],[Salidas]]</f>
        <v>0</v>
      </c>
      <c r="M504" s="54">
        <f>STOCK[[#This Row],[Precio Final]]*10%</f>
        <v>2.5</v>
      </c>
      <c r="N504" s="54">
        <v>165</v>
      </c>
      <c r="O504" s="54">
        <v>17.6</v>
      </c>
      <c r="P504" s="54">
        <v>9.375</v>
      </c>
      <c r="Q504" s="71">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53" t="s">
        <v>1042</v>
      </c>
      <c r="F505" s="53" t="s">
        <v>40</v>
      </c>
      <c r="G505" s="53" t="s">
        <v>36</v>
      </c>
      <c r="H505" s="53">
        <f>STOCK[[#This Row],[Precio Final]]</f>
        <v>35</v>
      </c>
      <c r="I505" s="53">
        <f>STOCK[[#This Row],[Precio Venta Ideal (x1.5)]]</f>
        <v>46.5340909090909</v>
      </c>
      <c r="J505" s="70">
        <v>4</v>
      </c>
      <c r="K505" s="70">
        <f>SUMIFS(VENTAS[Cantidad],VENTAS[Código del producto Vendido],STOCK[[#This Row],[Code]])</f>
        <v>4</v>
      </c>
      <c r="L505" s="70">
        <f>STOCK[[#This Row],[Entradas]]-STOCK[[#This Row],[Salidas]]</f>
        <v>0</v>
      </c>
      <c r="M505" s="53">
        <f>STOCK[[#This Row],[Precio Final]]*10%</f>
        <v>3.5</v>
      </c>
      <c r="N505" s="53">
        <v>315</v>
      </c>
      <c r="O505" s="53">
        <v>17.6</v>
      </c>
      <c r="P505" s="53">
        <v>17.8977272727273</v>
      </c>
      <c r="Q505" s="70">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54" t="s">
        <v>1042</v>
      </c>
      <c r="F506" s="54" t="s">
        <v>62</v>
      </c>
      <c r="G506" s="54" t="s">
        <v>36</v>
      </c>
      <c r="H506" s="54">
        <f>STOCK[[#This Row],[Precio Final]]</f>
        <v>35</v>
      </c>
      <c r="I506" s="54">
        <f>STOCK[[#This Row],[Precio Venta Ideal (x1.5)]]</f>
        <v>46.5340909090909</v>
      </c>
      <c r="J506" s="71">
        <v>3</v>
      </c>
      <c r="K506" s="71">
        <f>SUMIFS(VENTAS[Cantidad],VENTAS[Código del producto Vendido],STOCK[[#This Row],[Code]])</f>
        <v>3</v>
      </c>
      <c r="L506" s="71">
        <f>STOCK[[#This Row],[Entradas]]-STOCK[[#This Row],[Salidas]]</f>
        <v>0</v>
      </c>
      <c r="M506" s="54">
        <f>STOCK[[#This Row],[Precio Final]]*10%</f>
        <v>3.5</v>
      </c>
      <c r="N506" s="54">
        <v>315</v>
      </c>
      <c r="O506" s="54">
        <v>17.6</v>
      </c>
      <c r="P506" s="54">
        <v>17.8977272727273</v>
      </c>
      <c r="Q506" s="71">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53" t="s">
        <v>1042</v>
      </c>
      <c r="F507" s="53" t="s">
        <v>49</v>
      </c>
      <c r="G507" s="53" t="s">
        <v>36</v>
      </c>
      <c r="H507" s="53">
        <f>STOCK[[#This Row],[Precio Final]]</f>
        <v>35</v>
      </c>
      <c r="I507" s="53">
        <f>STOCK[[#This Row],[Precio Venta Ideal (x1.5)]]</f>
        <v>46.5340909090909</v>
      </c>
      <c r="J507" s="70">
        <v>2</v>
      </c>
      <c r="K507" s="70">
        <f>SUMIFS(VENTAS[Cantidad],VENTAS[Código del producto Vendido],STOCK[[#This Row],[Code]])</f>
        <v>2</v>
      </c>
      <c r="L507" s="70">
        <f>STOCK[[#This Row],[Entradas]]-STOCK[[#This Row],[Salidas]]</f>
        <v>0</v>
      </c>
      <c r="M507" s="53">
        <f>STOCK[[#This Row],[Precio Final]]*10%</f>
        <v>3.5</v>
      </c>
      <c r="N507" s="53">
        <v>315</v>
      </c>
      <c r="O507" s="53">
        <v>17.6</v>
      </c>
      <c r="P507" s="53">
        <v>17.8977272727273</v>
      </c>
      <c r="Q507" s="70">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54" t="s">
        <v>1046</v>
      </c>
      <c r="F508" s="54" t="s">
        <v>1047</v>
      </c>
      <c r="G508" s="54" t="s">
        <v>36</v>
      </c>
      <c r="H508" s="54">
        <f>STOCK[[#This Row],[Precio Final]]</f>
        <v>30</v>
      </c>
      <c r="I508" s="54">
        <f>STOCK[[#This Row],[Precio Venta Ideal (x1.5)]]</f>
        <v>43.2272727272727</v>
      </c>
      <c r="J508" s="71">
        <v>3</v>
      </c>
      <c r="K508" s="71">
        <f>SUMIFS(VENTAS[Cantidad],VENTAS[Código del producto Vendido],STOCK[[#This Row],[Code]])</f>
        <v>3</v>
      </c>
      <c r="L508" s="71">
        <f>STOCK[[#This Row],[Entradas]]-STOCK[[#This Row],[Salidas]]</f>
        <v>0</v>
      </c>
      <c r="M508" s="54">
        <f>STOCK[[#This Row],[Precio Final]]*10%</f>
        <v>3</v>
      </c>
      <c r="N508" s="54">
        <v>285</v>
      </c>
      <c r="O508" s="54">
        <v>17.6</v>
      </c>
      <c r="P508" s="54">
        <v>16.1931818181818</v>
      </c>
      <c r="Q508" s="71">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53" t="s">
        <v>1046</v>
      </c>
      <c r="F509" s="53" t="s">
        <v>49</v>
      </c>
      <c r="G509" s="53" t="s">
        <v>36</v>
      </c>
      <c r="H509" s="53">
        <f>STOCK[[#This Row],[Precio Final]]</f>
        <v>35</v>
      </c>
      <c r="I509" s="53">
        <f>STOCK[[#This Row],[Precio Venta Ideal (x1.5)]]</f>
        <v>43.9772727272727</v>
      </c>
      <c r="J509" s="70">
        <v>2</v>
      </c>
      <c r="K509" s="70">
        <f>SUMIFS(VENTAS[Cantidad],VENTAS[Código del producto Vendido],STOCK[[#This Row],[Code]])</f>
        <v>2</v>
      </c>
      <c r="L509" s="70">
        <f>STOCK[[#This Row],[Entradas]]-STOCK[[#This Row],[Salidas]]</f>
        <v>0</v>
      </c>
      <c r="M509" s="53">
        <f>STOCK[[#This Row],[Precio Final]]*10%</f>
        <v>3.5</v>
      </c>
      <c r="N509" s="53">
        <v>285</v>
      </c>
      <c r="O509" s="53">
        <v>17.6</v>
      </c>
      <c r="P509" s="53">
        <v>16.1931818181818</v>
      </c>
      <c r="Q509" s="70">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54" t="s">
        <v>1050</v>
      </c>
      <c r="F510" s="54" t="s">
        <v>62</v>
      </c>
      <c r="G510" s="54" t="s">
        <v>36</v>
      </c>
      <c r="H510" s="54">
        <f>STOCK[[#This Row],[Precio Final]]</f>
        <v>20</v>
      </c>
      <c r="I510" s="54">
        <f>STOCK[[#This Row],[Precio Venta Ideal (x1.5)]]</f>
        <v>30.971590909091</v>
      </c>
      <c r="J510" s="71">
        <v>1</v>
      </c>
      <c r="K510" s="71">
        <f>SUMIFS(VENTAS[Cantidad],VENTAS[Código del producto Vendido],STOCK[[#This Row],[Code]])</f>
        <v>1</v>
      </c>
      <c r="L510" s="71">
        <f>STOCK[[#This Row],[Entradas]]-STOCK[[#This Row],[Salidas]]</f>
        <v>0</v>
      </c>
      <c r="M510" s="54">
        <f>STOCK[[#This Row],[Precio Final]]*10%</f>
        <v>2</v>
      </c>
      <c r="N510" s="54">
        <v>205</v>
      </c>
      <c r="O510" s="54">
        <v>17.6</v>
      </c>
      <c r="P510" s="54">
        <v>11.6477272727273</v>
      </c>
      <c r="Q510" s="71">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53" t="s">
        <v>1050</v>
      </c>
      <c r="F511" s="53" t="s">
        <v>49</v>
      </c>
      <c r="G511" s="53" t="s">
        <v>36</v>
      </c>
      <c r="H511" s="53">
        <f>STOCK[[#This Row],[Precio Final]]</f>
        <v>30</v>
      </c>
      <c r="I511" s="53">
        <f>STOCK[[#This Row],[Precio Venta Ideal (x1.5)]]</f>
        <v>32.4715909090909</v>
      </c>
      <c r="J511" s="70">
        <v>1</v>
      </c>
      <c r="K511" s="70">
        <f>SUMIFS(VENTAS[Cantidad],VENTAS[Código del producto Vendido],STOCK[[#This Row],[Code]])</f>
        <v>1</v>
      </c>
      <c r="L511" s="70">
        <f>STOCK[[#This Row],[Entradas]]-STOCK[[#This Row],[Salidas]]</f>
        <v>0</v>
      </c>
      <c r="M511" s="53">
        <f>STOCK[[#This Row],[Precio Final]]*10%</f>
        <v>3</v>
      </c>
      <c r="N511" s="53">
        <v>205</v>
      </c>
      <c r="O511" s="53">
        <v>17.6</v>
      </c>
      <c r="P511" s="53">
        <v>11.6477272727273</v>
      </c>
      <c r="Q511" s="70">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54" t="s">
        <v>1050</v>
      </c>
      <c r="F512" s="54" t="s">
        <v>46</v>
      </c>
      <c r="G512" s="54" t="s">
        <v>36</v>
      </c>
      <c r="H512" s="54">
        <f>STOCK[[#This Row],[Precio Final]]</f>
        <v>30</v>
      </c>
      <c r="I512" s="54">
        <f>STOCK[[#This Row],[Precio Venta Ideal (x1.5)]]</f>
        <v>32.4715909090909</v>
      </c>
      <c r="J512" s="71">
        <v>3</v>
      </c>
      <c r="K512" s="71">
        <f>SUMIFS(VENTAS[Cantidad],VENTAS[Código del producto Vendido],STOCK[[#This Row],[Code]])</f>
        <v>3</v>
      </c>
      <c r="L512" s="71">
        <f>STOCK[[#This Row],[Entradas]]-STOCK[[#This Row],[Salidas]]</f>
        <v>0</v>
      </c>
      <c r="M512" s="54">
        <f>STOCK[[#This Row],[Precio Final]]*10%</f>
        <v>3</v>
      </c>
      <c r="N512" s="54">
        <v>205</v>
      </c>
      <c r="O512" s="54">
        <v>17.6</v>
      </c>
      <c r="P512" s="54">
        <v>11.6477272727273</v>
      </c>
      <c r="Q512" s="71">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53" t="s">
        <v>1054</v>
      </c>
      <c r="F513" s="53" t="s">
        <v>88</v>
      </c>
      <c r="G513" s="53" t="s">
        <v>36</v>
      </c>
      <c r="H513" s="53">
        <f>STOCK[[#This Row],[Precio Final]]</f>
        <v>30</v>
      </c>
      <c r="I513" s="53">
        <f>STOCK[[#This Row],[Precio Venta Ideal (x1.5)]]</f>
        <v>36.7056818181818</v>
      </c>
      <c r="J513" s="70">
        <v>1</v>
      </c>
      <c r="K513" s="70">
        <f>SUMIFS(VENTAS[Cantidad],VENTAS[Código del producto Vendido],STOCK[[#This Row],[Code]])</f>
        <v>1</v>
      </c>
      <c r="L513" s="70">
        <f>STOCK[[#This Row],[Entradas]]-STOCK[[#This Row],[Salidas]]</f>
        <v>0</v>
      </c>
      <c r="M513" s="53">
        <f>STOCK[[#This Row],[Precio Final]]*10%</f>
        <v>3</v>
      </c>
      <c r="N513" s="53">
        <v>267</v>
      </c>
      <c r="O513" s="53">
        <v>17.6</v>
      </c>
      <c r="P513" s="53">
        <v>15.1704545454545</v>
      </c>
      <c r="Q513" s="70">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54" t="s">
        <v>1054</v>
      </c>
      <c r="F514" s="54" t="s">
        <v>211</v>
      </c>
      <c r="G514" s="54" t="s">
        <v>36</v>
      </c>
      <c r="H514" s="54">
        <f>STOCK[[#This Row],[Precio Final]]</f>
        <v>30</v>
      </c>
      <c r="I514" s="54">
        <f>STOCK[[#This Row],[Precio Venta Ideal (x1.5)]]</f>
        <v>36.7056818181818</v>
      </c>
      <c r="J514" s="71">
        <v>1</v>
      </c>
      <c r="K514" s="71">
        <f>SUMIFS(VENTAS[Cantidad],VENTAS[Código del producto Vendido],STOCK[[#This Row],[Code]])</f>
        <v>1</v>
      </c>
      <c r="L514" s="71">
        <f>STOCK[[#This Row],[Entradas]]-STOCK[[#This Row],[Salidas]]</f>
        <v>0</v>
      </c>
      <c r="M514" s="54">
        <f>STOCK[[#This Row],[Precio Final]]*10%</f>
        <v>3</v>
      </c>
      <c r="N514" s="54">
        <v>267</v>
      </c>
      <c r="O514" s="54">
        <v>17.6</v>
      </c>
      <c r="P514" s="54">
        <v>15.1704545454545</v>
      </c>
      <c r="Q514" s="71">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53" t="s">
        <v>1054</v>
      </c>
      <c r="F515" s="53" t="s">
        <v>46</v>
      </c>
      <c r="G515" s="53" t="s">
        <v>36</v>
      </c>
      <c r="H515" s="53">
        <f>STOCK[[#This Row],[Precio Final]]</f>
        <v>30</v>
      </c>
      <c r="I515" s="53">
        <f>STOCK[[#This Row],[Precio Venta Ideal (x1.5)]]</f>
        <v>36.7056818181818</v>
      </c>
      <c r="J515" s="70">
        <v>2</v>
      </c>
      <c r="K515" s="70">
        <f>SUMIFS(VENTAS[Cantidad],VENTAS[Código del producto Vendido],STOCK[[#This Row],[Code]])</f>
        <v>0</v>
      </c>
      <c r="L515" s="70">
        <f>STOCK[[#This Row],[Entradas]]-STOCK[[#This Row],[Salidas]]</f>
        <v>2</v>
      </c>
      <c r="M515" s="53">
        <f>STOCK[[#This Row],[Precio Final]]*10%</f>
        <v>3</v>
      </c>
      <c r="N515" s="53">
        <v>267</v>
      </c>
      <c r="O515" s="53">
        <v>17.6</v>
      </c>
      <c r="P515" s="53">
        <v>15.1704545454545</v>
      </c>
      <c r="Q515" s="70">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54" t="s">
        <v>1059</v>
      </c>
      <c r="F516" s="54" t="s">
        <v>211</v>
      </c>
      <c r="G516" s="54" t="s">
        <v>36</v>
      </c>
      <c r="H516" s="54">
        <f>STOCK[[#This Row],[Precio Final]]</f>
        <v>20</v>
      </c>
      <c r="I516" s="54">
        <f>STOCK[[#This Row],[Precio Venta Ideal (x1.5)]]</f>
        <v>25.2954545454546</v>
      </c>
      <c r="J516" s="71">
        <v>1</v>
      </c>
      <c r="K516" s="71">
        <f>SUMIFS(VENTAS[Cantidad],VENTAS[Código del producto Vendido],STOCK[[#This Row],[Code]])</f>
        <v>1</v>
      </c>
      <c r="L516" s="71">
        <f>STOCK[[#This Row],[Entradas]]-STOCK[[#This Row],[Salidas]]</f>
        <v>0</v>
      </c>
      <c r="M516" s="54">
        <f>STOCK[[#This Row],[Precio Final]]*10%</f>
        <v>2</v>
      </c>
      <c r="N516" s="54">
        <v>200</v>
      </c>
      <c r="O516" s="54">
        <v>17.6</v>
      </c>
      <c r="P516" s="54">
        <v>11.3636363636364</v>
      </c>
      <c r="Q516" s="71">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53" t="s">
        <v>1061</v>
      </c>
      <c r="F517" s="53" t="s">
        <v>62</v>
      </c>
      <c r="G517" s="53" t="s">
        <v>704</v>
      </c>
      <c r="H517" s="53">
        <f>STOCK[[#This Row],[Precio Final]]</f>
        <v>8</v>
      </c>
      <c r="I517" s="53">
        <f>STOCK[[#This Row],[Precio Venta Ideal (x1.5)]]</f>
        <v>8.68897058823529</v>
      </c>
      <c r="J517" s="70">
        <v>4</v>
      </c>
      <c r="K517" s="70">
        <f>SUMIFS(VENTAS[Cantidad],VENTAS[Código del producto Vendido],STOCK[[#This Row],[Code]])</f>
        <v>1</v>
      </c>
      <c r="L517" s="70">
        <f>STOCK[[#This Row],[Entradas]]-STOCK[[#This Row],[Salidas]]</f>
        <v>3</v>
      </c>
      <c r="M517" s="53">
        <f>STOCK[[#This Row],[Precio Final]]*10%</f>
        <v>0.8</v>
      </c>
      <c r="N517" s="53">
        <v>70</v>
      </c>
      <c r="O517" s="53">
        <v>17</v>
      </c>
      <c r="P517" s="53">
        <v>4.11764705882353</v>
      </c>
      <c r="Q517" s="70">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H518" s="54">
        <f>STOCK[[#This Row],[Precio Final]]</f>
        <v>0</v>
      </c>
      <c r="I518" s="54">
        <f>STOCK[[#This Row],[Precio Venta Ideal (x1.5)]]</f>
        <v>0</v>
      </c>
      <c r="J518" s="71"/>
      <c r="K518" s="71">
        <f>SUMIFS(VENTAS[Cantidad],VENTAS[Código del producto Vendido],STOCK[[#This Row],[Code]])</f>
        <v>0</v>
      </c>
      <c r="L518" s="71">
        <f>STOCK[[#This Row],[Entradas]]-STOCK[[#This Row],[Salidas]]</f>
        <v>0</v>
      </c>
      <c r="M518" s="54">
        <f>STOCK[[#This Row],[Precio Final]]*10%</f>
        <v>0</v>
      </c>
      <c r="Q518" s="71"/>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53" t="s">
        <v>1063</v>
      </c>
      <c r="F519" s="53" t="s">
        <v>40</v>
      </c>
      <c r="G519" s="53" t="s">
        <v>704</v>
      </c>
      <c r="H519" s="53">
        <f>STOCK[[#This Row],[Precio Final]]</f>
        <v>8</v>
      </c>
      <c r="I519" s="53">
        <f>STOCK[[#This Row],[Precio Venta Ideal (x1.5)]]</f>
        <v>7.80661764705882</v>
      </c>
      <c r="J519" s="70">
        <v>6</v>
      </c>
      <c r="K519" s="70">
        <f>SUMIFS(VENTAS[Cantidad],VENTAS[Código del producto Vendido],STOCK[[#This Row],[Code]])</f>
        <v>3</v>
      </c>
      <c r="L519" s="70">
        <f>STOCK[[#This Row],[Entradas]]-STOCK[[#This Row],[Salidas]]</f>
        <v>3</v>
      </c>
      <c r="M519" s="53">
        <f>STOCK[[#This Row],[Precio Final]]*10%</f>
        <v>0.8</v>
      </c>
      <c r="N519" s="53">
        <v>60</v>
      </c>
      <c r="O519" s="53">
        <v>17</v>
      </c>
      <c r="P519" s="53">
        <v>3.52941176470588</v>
      </c>
      <c r="Q519" s="70">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54" t="s">
        <v>1065</v>
      </c>
      <c r="F520" s="54" t="s">
        <v>62</v>
      </c>
      <c r="G520" s="54" t="s">
        <v>704</v>
      </c>
      <c r="H520" s="54">
        <f>STOCK[[#This Row],[Precio Final]]</f>
        <v>9</v>
      </c>
      <c r="I520" s="54">
        <f>STOCK[[#This Row],[Precio Venta Ideal (x1.5)]]</f>
        <v>8.83897058823529</v>
      </c>
      <c r="J520" s="71">
        <v>4</v>
      </c>
      <c r="K520" s="71">
        <f>SUMIFS(VENTAS[Cantidad],VENTAS[Código del producto Vendido],STOCK[[#This Row],[Code]])</f>
        <v>3</v>
      </c>
      <c r="L520" s="71">
        <f>STOCK[[#This Row],[Entradas]]-STOCK[[#This Row],[Salidas]]</f>
        <v>1</v>
      </c>
      <c r="M520" s="54">
        <f>STOCK[[#This Row],[Precio Final]]*10%</f>
        <v>0.9</v>
      </c>
      <c r="N520" s="54">
        <v>70</v>
      </c>
      <c r="O520" s="54">
        <v>17</v>
      </c>
      <c r="P520" s="54">
        <v>4.11764705882353</v>
      </c>
      <c r="Q520" s="71">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53" t="s">
        <v>1067</v>
      </c>
      <c r="F521" s="53" t="s">
        <v>62</v>
      </c>
      <c r="G521" s="53" t="s">
        <v>36</v>
      </c>
      <c r="H521" s="53">
        <f>STOCK[[#This Row],[Precio Final]]</f>
        <v>20</v>
      </c>
      <c r="I521" s="53">
        <f>STOCK[[#This Row],[Precio Venta Ideal (x1.5)]]</f>
        <v>23.4650735294118</v>
      </c>
      <c r="J521" s="70">
        <v>2</v>
      </c>
      <c r="K521" s="70">
        <f>SUMIFS(VENTAS[Cantidad],VENTAS[Código del producto Vendido],STOCK[[#This Row],[Code]])</f>
        <v>2</v>
      </c>
      <c r="L521" s="70">
        <f>STOCK[[#This Row],[Entradas]]-STOCK[[#This Row],[Salidas]]</f>
        <v>0</v>
      </c>
      <c r="M521" s="53">
        <f>STOCK[[#This Row],[Precio Final]]*10%</f>
        <v>2</v>
      </c>
      <c r="N521" s="53">
        <v>165</v>
      </c>
      <c r="O521" s="53">
        <v>17</v>
      </c>
      <c r="P521" s="53">
        <v>9.70588235294118</v>
      </c>
      <c r="Q521" s="70">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54" t="s">
        <v>1067</v>
      </c>
      <c r="F522" s="54" t="s">
        <v>49</v>
      </c>
      <c r="G522" s="54" t="s">
        <v>36</v>
      </c>
      <c r="H522" s="54">
        <f>STOCK[[#This Row],[Precio Final]]</f>
        <v>20</v>
      </c>
      <c r="I522" s="54">
        <f>STOCK[[#This Row],[Precio Venta Ideal (x1.5)]]</f>
        <v>23.4650735294118</v>
      </c>
      <c r="J522" s="71">
        <v>2</v>
      </c>
      <c r="K522" s="71">
        <f>SUMIFS(VENTAS[Cantidad],VENTAS[Código del producto Vendido],STOCK[[#This Row],[Code]])</f>
        <v>2</v>
      </c>
      <c r="L522" s="71">
        <f>STOCK[[#This Row],[Entradas]]-STOCK[[#This Row],[Salidas]]</f>
        <v>0</v>
      </c>
      <c r="M522" s="54">
        <f>STOCK[[#This Row],[Precio Final]]*10%</f>
        <v>2</v>
      </c>
      <c r="N522" s="54">
        <v>165</v>
      </c>
      <c r="O522" s="54">
        <v>17</v>
      </c>
      <c r="P522" s="54">
        <v>9.70588235294118</v>
      </c>
      <c r="Q522" s="71">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53" t="s">
        <v>1070</v>
      </c>
      <c r="F523" s="53" t="s">
        <v>40</v>
      </c>
      <c r="G523" s="53" t="s">
        <v>36</v>
      </c>
      <c r="H523" s="53">
        <f>STOCK[[#This Row],[Precio Final]]</f>
        <v>17</v>
      </c>
      <c r="I523" s="53">
        <f>STOCK[[#This Row],[Precio Venta Ideal (x1.5)]]</f>
        <v>21.3132352941177</v>
      </c>
      <c r="J523" s="70">
        <v>2</v>
      </c>
      <c r="K523" s="70">
        <f>SUMIFS(VENTAS[Cantidad],VENTAS[Código del producto Vendido],STOCK[[#This Row],[Code]])</f>
        <v>2</v>
      </c>
      <c r="L523" s="70">
        <f>STOCK[[#This Row],[Entradas]]-STOCK[[#This Row],[Salidas]]</f>
        <v>0</v>
      </c>
      <c r="M523" s="53">
        <f>STOCK[[#This Row],[Precio Final]]*10%</f>
        <v>1.7</v>
      </c>
      <c r="N523" s="53">
        <v>171</v>
      </c>
      <c r="O523" s="53">
        <v>17</v>
      </c>
      <c r="P523" s="53">
        <v>10.0588235294118</v>
      </c>
      <c r="Q523" s="70">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54" t="s">
        <v>1070</v>
      </c>
      <c r="F524" s="54" t="s">
        <v>49</v>
      </c>
      <c r="G524" s="54" t="s">
        <v>36</v>
      </c>
      <c r="H524" s="54">
        <f>STOCK[[#This Row],[Precio Final]]</f>
        <v>17</v>
      </c>
      <c r="I524" s="54">
        <f>STOCK[[#This Row],[Precio Venta Ideal (x1.5)]]</f>
        <v>21.3132352941177</v>
      </c>
      <c r="J524" s="71">
        <v>2</v>
      </c>
      <c r="K524" s="71">
        <f>SUMIFS(VENTAS[Cantidad],VENTAS[Código del producto Vendido],STOCK[[#This Row],[Code]])</f>
        <v>2</v>
      </c>
      <c r="L524" s="71">
        <f>STOCK[[#This Row],[Entradas]]-STOCK[[#This Row],[Salidas]]</f>
        <v>0</v>
      </c>
      <c r="M524" s="54">
        <f>STOCK[[#This Row],[Precio Final]]*10%</f>
        <v>1.7</v>
      </c>
      <c r="N524" s="54">
        <v>171</v>
      </c>
      <c r="O524" s="54">
        <v>17</v>
      </c>
      <c r="P524" s="54">
        <v>10.0588235294118</v>
      </c>
      <c r="Q524" s="71">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53" t="s">
        <v>1073</v>
      </c>
      <c r="F525" s="53" t="s">
        <v>62</v>
      </c>
      <c r="G525" s="53" t="s">
        <v>36</v>
      </c>
      <c r="H525" s="53">
        <f>STOCK[[#This Row],[Precio Final]]</f>
        <v>25</v>
      </c>
      <c r="I525" s="53">
        <f>STOCK[[#This Row],[Precio Venta Ideal (x1.5)]]</f>
        <v>33.9573529411764</v>
      </c>
      <c r="J525" s="70">
        <v>1</v>
      </c>
      <c r="K525" s="70">
        <f>SUMIFS(VENTAS[Cantidad],VENTAS[Código del producto Vendido],STOCK[[#This Row],[Code]])</f>
        <v>1</v>
      </c>
      <c r="L525" s="70">
        <f>STOCK[[#This Row],[Entradas]]-STOCK[[#This Row],[Salidas]]</f>
        <v>0</v>
      </c>
      <c r="M525" s="53">
        <f>STOCK[[#This Row],[Precio Final]]*10%</f>
        <v>2.5</v>
      </c>
      <c r="N525" s="53">
        <v>265</v>
      </c>
      <c r="O525" s="53">
        <v>17</v>
      </c>
      <c r="P525" s="53">
        <v>15.5882352941176</v>
      </c>
      <c r="Q525" s="70">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54" t="s">
        <v>1076</v>
      </c>
      <c r="F526" s="54" t="s">
        <v>62</v>
      </c>
      <c r="G526" s="54" t="s">
        <v>36</v>
      </c>
      <c r="H526" s="54">
        <f>STOCK[[#This Row],[Precio Final]]</f>
        <v>20</v>
      </c>
      <c r="I526" s="54">
        <f>STOCK[[#This Row],[Precio Venta Ideal (x1.5)]]</f>
        <v>23.5235294117647</v>
      </c>
      <c r="J526" s="71">
        <v>1</v>
      </c>
      <c r="K526" s="71">
        <f>SUMIFS(VENTAS[Cantidad],VENTAS[Código del producto Vendido],STOCK[[#This Row],[Code]])</f>
        <v>1</v>
      </c>
      <c r="L526" s="71">
        <f>STOCK[[#This Row],[Entradas]]-STOCK[[#This Row],[Salidas]]</f>
        <v>0</v>
      </c>
      <c r="M526" s="54">
        <f>STOCK[[#This Row],[Precio Final]]*10%</f>
        <v>2</v>
      </c>
      <c r="N526" s="54">
        <v>185</v>
      </c>
      <c r="O526" s="54">
        <v>17</v>
      </c>
      <c r="P526" s="54">
        <v>10.8823529411765</v>
      </c>
      <c r="Q526" s="71">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53" t="s">
        <v>1078</v>
      </c>
      <c r="F527" s="53" t="s">
        <v>1079</v>
      </c>
      <c r="G527" s="53" t="s">
        <v>36</v>
      </c>
      <c r="H527" s="53">
        <f>STOCK[[#This Row],[Precio Final]]</f>
        <v>20</v>
      </c>
      <c r="I527" s="53">
        <f>STOCK[[#This Row],[Precio Venta Ideal (x1.5)]]</f>
        <v>36.0761029411764</v>
      </c>
      <c r="J527" s="70">
        <v>1</v>
      </c>
      <c r="K527" s="70">
        <f>SUMIFS(VENTAS[Cantidad],VENTAS[Código del producto Vendido],STOCK[[#This Row],[Code]])</f>
        <v>1</v>
      </c>
      <c r="L527" s="70">
        <f>STOCK[[#This Row],[Entradas]]-STOCK[[#This Row],[Salidas]]</f>
        <v>0</v>
      </c>
      <c r="M527" s="53">
        <f>STOCK[[#This Row],[Precio Final]]*10%</f>
        <v>2</v>
      </c>
      <c r="N527" s="53">
        <v>299</v>
      </c>
      <c r="O527" s="53">
        <v>17</v>
      </c>
      <c r="P527" s="53">
        <v>17.5882352941176</v>
      </c>
      <c r="Q527" s="70">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54" t="s">
        <v>1081</v>
      </c>
      <c r="F528" s="54" t="s">
        <v>49</v>
      </c>
      <c r="G528" s="54" t="s">
        <v>36</v>
      </c>
      <c r="H528" s="54">
        <f>STOCK[[#This Row],[Precio Final]]</f>
        <v>35</v>
      </c>
      <c r="I528" s="54">
        <f>STOCK[[#This Row],[Precio Venta Ideal (x1.5)]]</f>
        <v>38.833455882353</v>
      </c>
      <c r="J528" s="71">
        <v>1</v>
      </c>
      <c r="K528" s="71">
        <f>SUMIFS(VENTAS[Cantidad],VENTAS[Código del producto Vendido],STOCK[[#This Row],[Code]])</f>
        <v>1</v>
      </c>
      <c r="L528" s="71">
        <f>STOCK[[#This Row],[Entradas]]-STOCK[[#This Row],[Salidas]]</f>
        <v>0</v>
      </c>
      <c r="M528" s="54">
        <f>STOCK[[#This Row],[Precio Final]]*10%</f>
        <v>3.5</v>
      </c>
      <c r="N528" s="54">
        <v>275</v>
      </c>
      <c r="O528" s="54">
        <v>17</v>
      </c>
      <c r="P528" s="54">
        <v>16.1764705882353</v>
      </c>
      <c r="Q528" s="71">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53" t="s">
        <v>1081</v>
      </c>
      <c r="F529" s="53" t="s">
        <v>62</v>
      </c>
      <c r="G529" s="53" t="s">
        <v>36</v>
      </c>
      <c r="H529" s="53">
        <f>STOCK[[#This Row],[Precio Final]]</f>
        <v>35</v>
      </c>
      <c r="I529" s="53">
        <f>STOCK[[#This Row],[Precio Venta Ideal (x1.5)]]</f>
        <v>38.7022058823529</v>
      </c>
      <c r="J529" s="70">
        <v>1</v>
      </c>
      <c r="K529" s="70">
        <f>SUMIFS(VENTAS[Cantidad],VENTAS[Código del producto Vendido],STOCK[[#This Row],[Code]])</f>
        <v>1</v>
      </c>
      <c r="L529" s="70">
        <f>STOCK[[#This Row],[Entradas]]-STOCK[[#This Row],[Salidas]]</f>
        <v>0</v>
      </c>
      <c r="M529" s="53">
        <f>STOCK[[#This Row],[Precio Final]]*10%</f>
        <v>3.5</v>
      </c>
      <c r="N529" s="53">
        <v>275</v>
      </c>
      <c r="O529" s="53">
        <v>17</v>
      </c>
      <c r="P529" s="53">
        <v>16.1764705882353</v>
      </c>
      <c r="Q529" s="70">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54" t="s">
        <v>1084</v>
      </c>
      <c r="F530" s="54" t="s">
        <v>49</v>
      </c>
      <c r="G530" s="54" t="s">
        <v>36</v>
      </c>
      <c r="H530" s="54">
        <f>STOCK[[#This Row],[Precio Final]]</f>
        <v>25</v>
      </c>
      <c r="I530" s="54">
        <f>STOCK[[#This Row],[Precio Venta Ideal (x1.5)]]</f>
        <v>27.4599264705882</v>
      </c>
      <c r="J530" s="71">
        <v>1</v>
      </c>
      <c r="K530" s="71">
        <f>SUMIFS(VENTAS[Cantidad],VENTAS[Código del producto Vendido],STOCK[[#This Row],[Code]])</f>
        <v>1</v>
      </c>
      <c r="L530" s="71">
        <f>STOCK[[#This Row],[Entradas]]-STOCK[[#This Row],[Salidas]]</f>
        <v>0</v>
      </c>
      <c r="M530" s="54">
        <f>STOCK[[#This Row],[Precio Final]]*10%</f>
        <v>2.5</v>
      </c>
      <c r="N530" s="54">
        <v>175</v>
      </c>
      <c r="O530" s="54">
        <v>17</v>
      </c>
      <c r="P530" s="54">
        <v>10.2941176470588</v>
      </c>
      <c r="Q530" s="71">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53" t="s">
        <v>1086</v>
      </c>
      <c r="F531" s="53" t="s">
        <v>62</v>
      </c>
      <c r="G531" s="53" t="s">
        <v>36</v>
      </c>
      <c r="H531" s="53">
        <f>STOCK[[#This Row],[Precio Final]]</f>
        <v>25</v>
      </c>
      <c r="I531" s="53">
        <f>STOCK[[#This Row],[Precio Venta Ideal (x1.5)]]</f>
        <v>28.95</v>
      </c>
      <c r="J531" s="70">
        <v>1</v>
      </c>
      <c r="K531" s="70">
        <f>SUMIFS(VENTAS[Cantidad],VENTAS[Código del producto Vendido],STOCK[[#This Row],[Code]])</f>
        <v>1</v>
      </c>
      <c r="L531" s="70">
        <f>STOCK[[#This Row],[Entradas]]-STOCK[[#This Row],[Salidas]]</f>
        <v>0</v>
      </c>
      <c r="M531" s="53">
        <f>STOCK[[#This Row],[Precio Final]]*10%</f>
        <v>2.5</v>
      </c>
      <c r="N531" s="53">
        <v>238</v>
      </c>
      <c r="O531" s="53">
        <v>17</v>
      </c>
      <c r="P531" s="53">
        <v>14</v>
      </c>
      <c r="Q531" s="70">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54" t="s">
        <v>1089</v>
      </c>
      <c r="F532" s="54" t="s">
        <v>394</v>
      </c>
      <c r="G532" s="54" t="s">
        <v>36</v>
      </c>
      <c r="H532" s="54">
        <f>STOCK[[#This Row],[Precio Final]]</f>
        <v>10</v>
      </c>
      <c r="I532" s="54">
        <f>STOCK[[#This Row],[Precio Venta Ideal (x1.5)]]</f>
        <v>8.28308823529411</v>
      </c>
      <c r="J532" s="71">
        <v>1</v>
      </c>
      <c r="K532" s="71">
        <f>SUMIFS(VENTAS[Cantidad],VENTAS[Código del producto Vendido],STOCK[[#This Row],[Code]])</f>
        <v>1</v>
      </c>
      <c r="L532" s="71">
        <f>STOCK[[#This Row],[Entradas]]-STOCK[[#This Row],[Salidas]]</f>
        <v>0</v>
      </c>
      <c r="M532" s="54">
        <f>STOCK[[#This Row],[Precio Final]]*10%</f>
        <v>1</v>
      </c>
      <c r="N532" s="54">
        <v>62</v>
      </c>
      <c r="O532" s="54">
        <v>17</v>
      </c>
      <c r="P532" s="54">
        <v>3.64705882352941</v>
      </c>
      <c r="Q532" s="71">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53" t="s">
        <v>1091</v>
      </c>
      <c r="F533" s="53" t="s">
        <v>62</v>
      </c>
      <c r="G533" s="53" t="s">
        <v>36</v>
      </c>
      <c r="H533" s="53">
        <f>STOCK[[#This Row],[Precio Final]]</f>
        <v>10</v>
      </c>
      <c r="I533" s="53">
        <f>STOCK[[#This Row],[Precio Venta Ideal (x1.5)]]</f>
        <v>11.8852941176471</v>
      </c>
      <c r="J533" s="70">
        <v>1</v>
      </c>
      <c r="K533" s="70">
        <f>SUMIFS(VENTAS[Cantidad],VENTAS[Código del producto Vendido],STOCK[[#This Row],[Code]])</f>
        <v>1</v>
      </c>
      <c r="L533" s="70">
        <f>STOCK[[#This Row],[Entradas]]-STOCK[[#This Row],[Salidas]]</f>
        <v>0</v>
      </c>
      <c r="M533" s="53">
        <f>STOCK[[#This Row],[Precio Final]]*10%</f>
        <v>1</v>
      </c>
      <c r="N533" s="53">
        <v>82</v>
      </c>
      <c r="O533" s="53">
        <v>17</v>
      </c>
      <c r="P533" s="53">
        <v>4.82352941176471</v>
      </c>
      <c r="Q533" s="70">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54" t="s">
        <v>1093</v>
      </c>
      <c r="F534" s="54" t="s">
        <v>46</v>
      </c>
      <c r="G534" s="54" t="s">
        <v>36</v>
      </c>
      <c r="H534" s="54">
        <f>STOCK[[#This Row],[Precio Final]]</f>
        <v>28</v>
      </c>
      <c r="I534" s="54">
        <f>STOCK[[#This Row],[Precio Venta Ideal (x1.5)]]</f>
        <v>34.9191176470589</v>
      </c>
      <c r="J534" s="71">
        <v>2</v>
      </c>
      <c r="K534" s="71">
        <f>SUMIFS(VENTAS[Cantidad],VENTAS[Código del producto Vendido],STOCK[[#This Row],[Code]])</f>
        <v>2</v>
      </c>
      <c r="L534" s="71">
        <f>STOCK[[#This Row],[Entradas]]-STOCK[[#This Row],[Salidas]]</f>
        <v>0</v>
      </c>
      <c r="M534" s="54">
        <f>STOCK[[#This Row],[Precio Final]]*10%</f>
        <v>2.8</v>
      </c>
      <c r="N534" s="54">
        <v>247</v>
      </c>
      <c r="O534" s="54">
        <v>17</v>
      </c>
      <c r="P534" s="54">
        <v>14.5294117647059</v>
      </c>
      <c r="Q534" s="71">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53" t="s">
        <v>1093</v>
      </c>
      <c r="F535" s="53" t="s">
        <v>42</v>
      </c>
      <c r="G535" s="53" t="s">
        <v>36</v>
      </c>
      <c r="H535" s="53">
        <f>STOCK[[#This Row],[Precio Final]]</f>
        <v>28</v>
      </c>
      <c r="I535" s="53">
        <f>STOCK[[#This Row],[Precio Venta Ideal (x1.5)]]</f>
        <v>34.9191176470589</v>
      </c>
      <c r="J535" s="70">
        <v>2</v>
      </c>
      <c r="K535" s="70">
        <f>SUMIFS(VENTAS[Cantidad],VENTAS[Código del producto Vendido],STOCK[[#This Row],[Code]])</f>
        <v>2</v>
      </c>
      <c r="L535" s="70">
        <f>STOCK[[#This Row],[Entradas]]-STOCK[[#This Row],[Salidas]]</f>
        <v>0</v>
      </c>
      <c r="M535" s="53">
        <f>STOCK[[#This Row],[Precio Final]]*10%</f>
        <v>2.8</v>
      </c>
      <c r="N535" s="53">
        <v>247</v>
      </c>
      <c r="O535" s="53">
        <v>17</v>
      </c>
      <c r="P535" s="53">
        <v>14.5294117647059</v>
      </c>
      <c r="Q535" s="70">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54" t="s">
        <v>1096</v>
      </c>
      <c r="F536" s="54" t="s">
        <v>92</v>
      </c>
      <c r="G536" s="54" t="s">
        <v>36</v>
      </c>
      <c r="H536" s="54">
        <f>STOCK[[#This Row],[Precio Final]]</f>
        <v>40</v>
      </c>
      <c r="I536" s="54">
        <f>STOCK[[#This Row],[Precio Venta Ideal (x1.5)]]</f>
        <v>54.3970588235293</v>
      </c>
      <c r="J536" s="71">
        <v>1</v>
      </c>
      <c r="K536" s="71">
        <f>SUMIFS(VENTAS[Cantidad],VENTAS[Código del producto Vendido],STOCK[[#This Row],[Code]])</f>
        <v>1</v>
      </c>
      <c r="L536" s="71">
        <f>STOCK[[#This Row],[Entradas]]-STOCK[[#This Row],[Salidas]]</f>
        <v>0</v>
      </c>
      <c r="M536" s="54">
        <f>STOCK[[#This Row],[Precio Final]]*10%</f>
        <v>4</v>
      </c>
      <c r="N536" s="54">
        <v>370</v>
      </c>
      <c r="O536" s="54">
        <v>17</v>
      </c>
      <c r="P536" s="54">
        <v>21.7647058823529</v>
      </c>
      <c r="Q536" s="71">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53" t="s">
        <v>1098</v>
      </c>
      <c r="F537" s="53" t="s">
        <v>46</v>
      </c>
      <c r="G537" s="53" t="s">
        <v>36</v>
      </c>
      <c r="H537" s="53">
        <f>STOCK[[#This Row],[Precio Final]]</f>
        <v>28</v>
      </c>
      <c r="I537" s="53">
        <f>STOCK[[#This Row],[Precio Venta Ideal (x1.5)]]</f>
        <v>33.208455882353</v>
      </c>
      <c r="J537" s="70">
        <v>1</v>
      </c>
      <c r="K537" s="70">
        <f>SUMIFS(VENTAS[Cantidad],VENTAS[Código del producto Vendido],STOCK[[#This Row],[Code]])</f>
        <v>1</v>
      </c>
      <c r="L537" s="70">
        <f>STOCK[[#This Row],[Entradas]]-STOCK[[#This Row],[Salidas]]</f>
        <v>0</v>
      </c>
      <c r="M537" s="53">
        <f>STOCK[[#This Row],[Precio Final]]*10%</f>
        <v>2.8</v>
      </c>
      <c r="N537" s="53">
        <v>241</v>
      </c>
      <c r="O537" s="53">
        <v>17</v>
      </c>
      <c r="P537" s="53">
        <v>14.1764705882353</v>
      </c>
      <c r="Q537" s="70">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54" t="s">
        <v>1098</v>
      </c>
      <c r="F538" s="54" t="s">
        <v>42</v>
      </c>
      <c r="G538" s="54" t="s">
        <v>36</v>
      </c>
      <c r="H538" s="54">
        <f>STOCK[[#This Row],[Precio Final]]</f>
        <v>28</v>
      </c>
      <c r="I538" s="54">
        <f>STOCK[[#This Row],[Precio Venta Ideal (x1.5)]]</f>
        <v>33.208455882353</v>
      </c>
      <c r="J538" s="71">
        <v>2</v>
      </c>
      <c r="K538" s="71">
        <f>SUMIFS(VENTAS[Cantidad],VENTAS[Código del producto Vendido],STOCK[[#This Row],[Code]])</f>
        <v>2</v>
      </c>
      <c r="L538" s="71">
        <f>STOCK[[#This Row],[Entradas]]-STOCK[[#This Row],[Salidas]]</f>
        <v>0</v>
      </c>
      <c r="M538" s="54">
        <f>STOCK[[#This Row],[Precio Final]]*10%</f>
        <v>2.8</v>
      </c>
      <c r="N538" s="54">
        <v>241</v>
      </c>
      <c r="O538" s="54">
        <v>17</v>
      </c>
      <c r="P538" s="54">
        <v>14.1764705882353</v>
      </c>
      <c r="Q538" s="71">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53" t="s">
        <v>1101</v>
      </c>
      <c r="F539" s="53" t="s">
        <v>766</v>
      </c>
      <c r="G539" s="53" t="s">
        <v>36</v>
      </c>
      <c r="H539" s="53">
        <f>STOCK[[#This Row],[Precio Final]]</f>
        <v>35</v>
      </c>
      <c r="I539" s="53">
        <f>STOCK[[#This Row],[Precio Venta Ideal (x1.5)]]</f>
        <v>45.5294117647059</v>
      </c>
      <c r="J539" s="70">
        <v>3</v>
      </c>
      <c r="K539" s="70">
        <f>SUMIFS(VENTAS[Cantidad],VENTAS[Código del producto Vendido],STOCK[[#This Row],[Code]])</f>
        <v>3</v>
      </c>
      <c r="L539" s="70">
        <f>STOCK[[#This Row],[Entradas]]-STOCK[[#This Row],[Salidas]]</f>
        <v>0</v>
      </c>
      <c r="M539" s="53">
        <f>STOCK[[#This Row],[Precio Final]]*10%</f>
        <v>3.5</v>
      </c>
      <c r="N539" s="53">
        <v>278</v>
      </c>
      <c r="O539" s="53">
        <v>17</v>
      </c>
      <c r="P539" s="53">
        <v>16.3529411764706</v>
      </c>
      <c r="Q539" s="70">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53" t="s">
        <v>1101</v>
      </c>
      <c r="F540" s="53" t="s">
        <v>764</v>
      </c>
      <c r="G540" s="53" t="s">
        <v>36</v>
      </c>
      <c r="H540" s="53">
        <f>STOCK[[#This Row],[Precio Final]]</f>
        <v>40</v>
      </c>
      <c r="I540" s="53">
        <f>STOCK[[#This Row],[Precio Venta Ideal (x1.5)]]</f>
        <v>46.2794117647059</v>
      </c>
      <c r="J540" s="70">
        <v>2</v>
      </c>
      <c r="K540" s="70">
        <f>SUMIFS(VENTAS[Cantidad],VENTAS[Código del producto Vendido],STOCK[[#This Row],[Code]])</f>
        <v>2</v>
      </c>
      <c r="L540" s="70">
        <f>STOCK[[#This Row],[Entradas]]-STOCK[[#This Row],[Salidas]]</f>
        <v>0</v>
      </c>
      <c r="M540" s="53">
        <f>STOCK[[#This Row],[Precio Final]]*10%</f>
        <v>4</v>
      </c>
      <c r="N540" s="53">
        <v>278</v>
      </c>
      <c r="O540" s="53">
        <v>17</v>
      </c>
      <c r="P540" s="53">
        <v>16.3529411764706</v>
      </c>
      <c r="Q540" s="70">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54" t="s">
        <v>1101</v>
      </c>
      <c r="F541" s="54" t="s">
        <v>540</v>
      </c>
      <c r="G541" s="54" t="s">
        <v>36</v>
      </c>
      <c r="H541" s="54">
        <f>STOCK[[#This Row],[Precio Final]]</f>
        <v>35</v>
      </c>
      <c r="I541" s="54">
        <f>STOCK[[#This Row],[Precio Venta Ideal (x1.5)]]</f>
        <v>45.5294117647059</v>
      </c>
      <c r="J541" s="71">
        <v>2</v>
      </c>
      <c r="K541" s="71">
        <f>SUMIFS(VENTAS[Cantidad],VENTAS[Código del producto Vendido],STOCK[[#This Row],[Code]])</f>
        <v>2</v>
      </c>
      <c r="L541" s="71">
        <f>STOCK[[#This Row],[Entradas]]-STOCK[[#This Row],[Salidas]]</f>
        <v>0</v>
      </c>
      <c r="M541" s="54">
        <f>STOCK[[#This Row],[Precio Final]]*10%</f>
        <v>3.5</v>
      </c>
      <c r="N541" s="54">
        <v>278</v>
      </c>
      <c r="O541" s="54">
        <v>17</v>
      </c>
      <c r="P541" s="54">
        <v>16.3529411764706</v>
      </c>
      <c r="Q541" s="71">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53" t="s">
        <v>1105</v>
      </c>
      <c r="F542" s="53" t="s">
        <v>49</v>
      </c>
      <c r="G542" s="53" t="s">
        <v>36</v>
      </c>
      <c r="H542" s="53">
        <f>STOCK[[#This Row],[Precio Final]]</f>
        <v>22</v>
      </c>
      <c r="I542" s="53">
        <f>STOCK[[#This Row],[Precio Venta Ideal (x1.5)]]</f>
        <v>25.1227941176471</v>
      </c>
      <c r="J542" s="70">
        <v>1</v>
      </c>
      <c r="K542" s="70">
        <f>SUMIFS(VENTAS[Cantidad],VENTAS[Código del producto Vendido],STOCK[[#This Row],[Code]])</f>
        <v>1</v>
      </c>
      <c r="L542" s="70">
        <f>STOCK[[#This Row],[Entradas]]-STOCK[[#This Row],[Salidas]]</f>
        <v>0</v>
      </c>
      <c r="M542" s="53">
        <f>STOCK[[#This Row],[Precio Final]]*10%</f>
        <v>2.2</v>
      </c>
      <c r="N542" s="53">
        <v>167</v>
      </c>
      <c r="O542" s="53">
        <v>17</v>
      </c>
      <c r="P542" s="53">
        <v>9.82352941176471</v>
      </c>
      <c r="Q542" s="70">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54" t="s">
        <v>1105</v>
      </c>
      <c r="F543" s="54" t="s">
        <v>46</v>
      </c>
      <c r="G543" s="54" t="s">
        <v>36</v>
      </c>
      <c r="H543" s="54">
        <f>STOCK[[#This Row],[Precio Final]]</f>
        <v>25</v>
      </c>
      <c r="I543" s="54">
        <f>STOCK[[#This Row],[Precio Venta Ideal (x1.5)]]</f>
        <v>25.5727941176471</v>
      </c>
      <c r="J543" s="71">
        <v>2</v>
      </c>
      <c r="K543" s="71">
        <f>SUMIFS(VENTAS[Cantidad],VENTAS[Código del producto Vendido],STOCK[[#This Row],[Code]])</f>
        <v>2</v>
      </c>
      <c r="L543" s="71">
        <f>STOCK[[#This Row],[Entradas]]-STOCK[[#This Row],[Salidas]]</f>
        <v>0</v>
      </c>
      <c r="M543" s="54">
        <f>STOCK[[#This Row],[Precio Final]]*10%</f>
        <v>2.5</v>
      </c>
      <c r="N543" s="54">
        <v>167</v>
      </c>
      <c r="O543" s="54">
        <v>17</v>
      </c>
      <c r="P543" s="54">
        <v>9.82352941176471</v>
      </c>
      <c r="Q543" s="71">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53" t="s">
        <v>1108</v>
      </c>
      <c r="F544" s="53" t="s">
        <v>1109</v>
      </c>
      <c r="G544" s="53" t="s">
        <v>36</v>
      </c>
      <c r="H544" s="53">
        <f>STOCK[[#This Row],[Precio Final]]</f>
        <v>28</v>
      </c>
      <c r="I544" s="53">
        <f>STOCK[[#This Row],[Precio Venta Ideal (x1.5)]]</f>
        <v>31.8419117647059</v>
      </c>
      <c r="J544" s="70">
        <v>1</v>
      </c>
      <c r="K544" s="70">
        <f>SUMIFS(VENTAS[Cantidad],VENTAS[Código del producto Vendido],STOCK[[#This Row],[Code]])</f>
        <v>1</v>
      </c>
      <c r="L544" s="70">
        <f>STOCK[[#This Row],[Entradas]]-STOCK[[#This Row],[Salidas]]</f>
        <v>0</v>
      </c>
      <c r="M544" s="53">
        <f>STOCK[[#This Row],[Precio Final]]*10%</f>
        <v>2.8</v>
      </c>
      <c r="N544" s="53">
        <v>227</v>
      </c>
      <c r="O544" s="53">
        <v>17</v>
      </c>
      <c r="P544" s="53">
        <v>13.3529411764706</v>
      </c>
      <c r="Q544" s="70">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54" t="s">
        <v>1111</v>
      </c>
      <c r="F545" s="54" t="s">
        <v>49</v>
      </c>
      <c r="G545" s="54" t="s">
        <v>36</v>
      </c>
      <c r="H545" s="54">
        <f>STOCK[[#This Row],[Precio Final]]</f>
        <v>30</v>
      </c>
      <c r="I545" s="54">
        <f>STOCK[[#This Row],[Precio Venta Ideal (x1.5)]]</f>
        <v>32.1419117647059</v>
      </c>
      <c r="J545" s="71">
        <v>1</v>
      </c>
      <c r="K545" s="71">
        <f>SUMIFS(VENTAS[Cantidad],VENTAS[Código del producto Vendido],STOCK[[#This Row],[Code]])</f>
        <v>1</v>
      </c>
      <c r="L545" s="71">
        <f>STOCK[[#This Row],[Entradas]]-STOCK[[#This Row],[Salidas]]</f>
        <v>0</v>
      </c>
      <c r="M545" s="54">
        <f>STOCK[[#This Row],[Precio Final]]*10%</f>
        <v>3</v>
      </c>
      <c r="N545" s="54">
        <v>227</v>
      </c>
      <c r="O545" s="54">
        <v>17</v>
      </c>
      <c r="P545" s="54">
        <v>13.3529411764706</v>
      </c>
      <c r="Q545" s="71">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53" t="s">
        <v>1111</v>
      </c>
      <c r="F546" s="53" t="s">
        <v>46</v>
      </c>
      <c r="G546" s="53" t="s">
        <v>36</v>
      </c>
      <c r="H546" s="53">
        <f>STOCK[[#This Row],[Precio Final]]</f>
        <v>22</v>
      </c>
      <c r="I546" s="53">
        <f>STOCK[[#This Row],[Precio Venta Ideal (x1.5)]]</f>
        <v>30.9419117647059</v>
      </c>
      <c r="J546" s="70">
        <v>1</v>
      </c>
      <c r="K546" s="70">
        <f>SUMIFS(VENTAS[Cantidad],VENTAS[Código del producto Vendido],STOCK[[#This Row],[Code]])</f>
        <v>1</v>
      </c>
      <c r="L546" s="70">
        <f>STOCK[[#This Row],[Entradas]]-STOCK[[#This Row],[Salidas]]</f>
        <v>0</v>
      </c>
      <c r="M546" s="53">
        <f>STOCK[[#This Row],[Precio Final]]*10%</f>
        <v>2.2</v>
      </c>
      <c r="N546" s="53">
        <v>227</v>
      </c>
      <c r="O546" s="53">
        <v>17</v>
      </c>
      <c r="P546" s="53">
        <v>13.3529411764706</v>
      </c>
      <c r="Q546" s="70">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54" t="s">
        <v>1114</v>
      </c>
      <c r="F547" s="54" t="s">
        <v>394</v>
      </c>
      <c r="G547" s="54" t="s">
        <v>36</v>
      </c>
      <c r="H547" s="54">
        <f>STOCK[[#This Row],[Precio Final]]</f>
        <v>20</v>
      </c>
      <c r="I547" s="54">
        <f>STOCK[[#This Row],[Precio Venta Ideal (x1.5)]]</f>
        <v>20.7430147058824</v>
      </c>
      <c r="J547" s="71">
        <v>2</v>
      </c>
      <c r="K547" s="71">
        <f>SUMIFS(VENTAS[Cantidad],VENTAS[Código del producto Vendido],STOCK[[#This Row],[Code]])</f>
        <v>2</v>
      </c>
      <c r="L547" s="71">
        <f>STOCK[[#This Row],[Entradas]]-STOCK[[#This Row],[Salidas]]</f>
        <v>0</v>
      </c>
      <c r="M547" s="54">
        <f>STOCK[[#This Row],[Precio Final]]*10%</f>
        <v>2</v>
      </c>
      <c r="N547" s="54">
        <v>152</v>
      </c>
      <c r="O547" s="54">
        <v>17</v>
      </c>
      <c r="P547" s="54">
        <v>8.94117647058824</v>
      </c>
      <c r="Q547" s="71">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53" t="s">
        <v>1117</v>
      </c>
      <c r="F548" s="53" t="s">
        <v>205</v>
      </c>
      <c r="G548" s="53" t="s">
        <v>36</v>
      </c>
      <c r="H548" s="53">
        <f>STOCK[[#This Row],[Precio Final]]</f>
        <v>12</v>
      </c>
      <c r="I548" s="53">
        <f>STOCK[[#This Row],[Precio Venta Ideal (x1.5)]]</f>
        <v>11.4452205882353</v>
      </c>
      <c r="J548" s="70">
        <v>1</v>
      </c>
      <c r="K548" s="70">
        <f>SUMIFS(VENTAS[Cantidad],VENTAS[Código del producto Vendido],STOCK[[#This Row],[Code]])</f>
        <v>1</v>
      </c>
      <c r="L548" s="70">
        <f>STOCK[[#This Row],[Entradas]]-STOCK[[#This Row],[Salidas]]</f>
        <v>0</v>
      </c>
      <c r="M548" s="53">
        <f>STOCK[[#This Row],[Precio Final]]*10%</f>
        <v>1.2</v>
      </c>
      <c r="N548" s="53">
        <v>87</v>
      </c>
      <c r="O548" s="53">
        <v>17</v>
      </c>
      <c r="P548" s="53">
        <v>5.11764705882353</v>
      </c>
      <c r="Q548" s="70">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54" t="s">
        <v>1119</v>
      </c>
      <c r="F549" s="54" t="s">
        <v>716</v>
      </c>
      <c r="G549" s="54" t="s">
        <v>36</v>
      </c>
      <c r="H549" s="54">
        <f>STOCK[[#This Row],[Precio Final]]</f>
        <v>12</v>
      </c>
      <c r="I549" s="54">
        <f>STOCK[[#This Row],[Precio Venta Ideal (x1.5)]]</f>
        <v>11.4452205882353</v>
      </c>
      <c r="J549" s="71">
        <v>1</v>
      </c>
      <c r="K549" s="71">
        <f>SUMIFS(VENTAS[Cantidad],VENTAS[Código del producto Vendido],STOCK[[#This Row],[Code]])</f>
        <v>0</v>
      </c>
      <c r="L549" s="71">
        <f>STOCK[[#This Row],[Entradas]]-STOCK[[#This Row],[Salidas]]</f>
        <v>1</v>
      </c>
      <c r="M549" s="54">
        <f>STOCK[[#This Row],[Precio Final]]*10%</f>
        <v>1.2</v>
      </c>
      <c r="N549" s="54">
        <v>87</v>
      </c>
      <c r="O549" s="54">
        <v>17</v>
      </c>
      <c r="P549" s="54">
        <v>5.11764705882353</v>
      </c>
      <c r="Q549" s="71">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54" t="s">
        <v>1119</v>
      </c>
      <c r="F550" s="53" t="s">
        <v>62</v>
      </c>
      <c r="G550" s="53" t="s">
        <v>36</v>
      </c>
      <c r="H550" s="53">
        <f>STOCK[[#This Row],[Precio Final]]</f>
        <v>12</v>
      </c>
      <c r="I550" s="53">
        <f>STOCK[[#This Row],[Precio Venta Ideal (x1.5)]]</f>
        <v>11.4452205882353</v>
      </c>
      <c r="J550" s="70">
        <v>1</v>
      </c>
      <c r="K550" s="70">
        <f>SUMIFS(VENTAS[Cantidad],VENTAS[Código del producto Vendido],STOCK[[#This Row],[Code]])</f>
        <v>0</v>
      </c>
      <c r="L550" s="70">
        <f>STOCK[[#This Row],[Entradas]]-STOCK[[#This Row],[Salidas]]</f>
        <v>1</v>
      </c>
      <c r="M550" s="53">
        <f>STOCK[[#This Row],[Precio Final]]*10%</f>
        <v>1.2</v>
      </c>
      <c r="N550" s="53">
        <v>87</v>
      </c>
      <c r="O550" s="53">
        <v>17</v>
      </c>
      <c r="P550" s="53">
        <v>5.11764705882353</v>
      </c>
      <c r="Q550" s="70">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54" t="s">
        <v>1122</v>
      </c>
      <c r="F551" s="54" t="s">
        <v>62</v>
      </c>
      <c r="G551" s="54" t="s">
        <v>36</v>
      </c>
      <c r="H551" s="54">
        <f>STOCK[[#This Row],[Precio Final]]</f>
        <v>15</v>
      </c>
      <c r="I551" s="54">
        <f>STOCK[[#This Row],[Precio Venta Ideal (x1.5)]]</f>
        <v>12.9132352941176</v>
      </c>
      <c r="J551" s="71">
        <v>2</v>
      </c>
      <c r="K551" s="71">
        <f>SUMIFS(VENTAS[Cantidad],VENTAS[Código del producto Vendido],STOCK[[#This Row],[Code]])</f>
        <v>2</v>
      </c>
      <c r="L551" s="71">
        <f>STOCK[[#This Row],[Entradas]]-STOCK[[#This Row],[Salidas]]</f>
        <v>0</v>
      </c>
      <c r="M551" s="54">
        <f>STOCK[[#This Row],[Precio Final]]*10%</f>
        <v>1.5</v>
      </c>
      <c r="N551" s="54">
        <v>103</v>
      </c>
      <c r="O551" s="54">
        <v>17</v>
      </c>
      <c r="P551" s="54">
        <v>6.05882352941176</v>
      </c>
      <c r="Q551" s="71">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53" t="s">
        <v>1122</v>
      </c>
      <c r="F552" s="53" t="s">
        <v>49</v>
      </c>
      <c r="G552" s="53" t="s">
        <v>36</v>
      </c>
      <c r="H552" s="53">
        <f>STOCK[[#This Row],[Precio Final]]</f>
        <v>12</v>
      </c>
      <c r="I552" s="53">
        <f>STOCK[[#This Row],[Precio Venta Ideal (x1.5)]]</f>
        <v>12.4632352941176</v>
      </c>
      <c r="J552" s="70">
        <v>2</v>
      </c>
      <c r="K552" s="70">
        <f>SUMIFS(VENTAS[Cantidad],VENTAS[Código del producto Vendido],STOCK[[#This Row],[Code]])</f>
        <v>2</v>
      </c>
      <c r="L552" s="70">
        <f>STOCK[[#This Row],[Entradas]]-STOCK[[#This Row],[Salidas]]</f>
        <v>0</v>
      </c>
      <c r="M552" s="53">
        <f>STOCK[[#This Row],[Precio Final]]*10%</f>
        <v>1.2</v>
      </c>
      <c r="N552" s="53">
        <v>103</v>
      </c>
      <c r="O552" s="53">
        <v>17</v>
      </c>
      <c r="P552" s="53">
        <v>6.05882352941176</v>
      </c>
      <c r="Q552" s="70">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54" t="s">
        <v>1125</v>
      </c>
      <c r="F553" s="54" t="s">
        <v>540</v>
      </c>
      <c r="G553" s="54" t="s">
        <v>36</v>
      </c>
      <c r="H553" s="54">
        <f>STOCK[[#This Row],[Precio Final]]</f>
        <v>40</v>
      </c>
      <c r="I553" s="54">
        <f>STOCK[[#This Row],[Precio Venta Ideal (x1.5)]]</f>
        <v>46.7294117647059</v>
      </c>
      <c r="J553" s="71">
        <v>2</v>
      </c>
      <c r="K553" s="71">
        <f>SUMIFS(VENTAS[Cantidad],VENTAS[Código del producto Vendido],STOCK[[#This Row],[Code]])</f>
        <v>2</v>
      </c>
      <c r="L553" s="71">
        <f>STOCK[[#This Row],[Entradas]]-STOCK[[#This Row],[Salidas]]</f>
        <v>0</v>
      </c>
      <c r="M553" s="54">
        <f>STOCK[[#This Row],[Precio Final]]*10%</f>
        <v>4</v>
      </c>
      <c r="N553" s="54">
        <v>295</v>
      </c>
      <c r="O553" s="54">
        <v>17</v>
      </c>
      <c r="P553" s="54">
        <v>17.3529411764706</v>
      </c>
      <c r="Q553" s="71">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53" t="s">
        <v>1127</v>
      </c>
      <c r="F554" s="53" t="s">
        <v>88</v>
      </c>
      <c r="G554" s="53" t="s">
        <v>36</v>
      </c>
      <c r="H554" s="53">
        <f>STOCK[[#This Row],[Precio Final]]</f>
        <v>15</v>
      </c>
      <c r="I554" s="53">
        <f>STOCK[[#This Row],[Precio Venta Ideal (x1.5)]]</f>
        <v>20.3911764705882</v>
      </c>
      <c r="J554" s="70">
        <v>1</v>
      </c>
      <c r="K554" s="70">
        <f>SUMIFS(VENTAS[Cantidad],VENTAS[Código del producto Vendido],STOCK[[#This Row],[Code]])</f>
        <v>1</v>
      </c>
      <c r="L554" s="70">
        <f>STOCK[[#This Row],[Entradas]]-STOCK[[#This Row],[Salidas]]</f>
        <v>0</v>
      </c>
      <c r="M554" s="53">
        <f>STOCK[[#This Row],[Precio Final]]*10%</f>
        <v>1.5</v>
      </c>
      <c r="N554" s="53">
        <v>158</v>
      </c>
      <c r="O554" s="53">
        <v>17</v>
      </c>
      <c r="P554" s="53">
        <v>9.29411764705882</v>
      </c>
      <c r="Q554" s="70">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54" t="s">
        <v>1129</v>
      </c>
      <c r="F555" s="54" t="s">
        <v>62</v>
      </c>
      <c r="G555" s="54" t="s">
        <v>36</v>
      </c>
      <c r="H555" s="54">
        <f>STOCK[[#This Row],[Precio Final]]</f>
        <v>18</v>
      </c>
      <c r="I555" s="54">
        <f>STOCK[[#This Row],[Precio Venta Ideal (x1.5)]]</f>
        <v>20.6647058823529</v>
      </c>
      <c r="J555" s="71">
        <v>1</v>
      </c>
      <c r="K555" s="71">
        <f>SUMIFS(VENTAS[Cantidad],VENTAS[Código del producto Vendido],STOCK[[#This Row],[Code]])</f>
        <v>1</v>
      </c>
      <c r="L555" s="71">
        <f>STOCK[[#This Row],[Entradas]]-STOCK[[#This Row],[Salidas]]</f>
        <v>0</v>
      </c>
      <c r="M555" s="54">
        <f>STOCK[[#This Row],[Precio Final]]*10%</f>
        <v>1.8</v>
      </c>
      <c r="N555" s="54">
        <v>156</v>
      </c>
      <c r="O555" s="54">
        <v>17</v>
      </c>
      <c r="P555" s="54">
        <v>9.17647058823529</v>
      </c>
      <c r="Q555" s="71">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53" t="s">
        <v>1131</v>
      </c>
      <c r="F556" s="53" t="s">
        <v>88</v>
      </c>
      <c r="G556" s="53" t="s">
        <v>36</v>
      </c>
      <c r="H556" s="53">
        <f>STOCK[[#This Row],[Precio Final]]</f>
        <v>35</v>
      </c>
      <c r="I556" s="53">
        <f>STOCK[[#This Row],[Precio Venta Ideal (x1.5)]]</f>
        <v>40.7316176470588</v>
      </c>
      <c r="J556" s="70">
        <v>2</v>
      </c>
      <c r="K556" s="70">
        <f>SUMIFS(VENTAS[Cantidad],VENTAS[Código del producto Vendido],STOCK[[#This Row],[Code]])</f>
        <v>2</v>
      </c>
      <c r="L556" s="70">
        <f>STOCK[[#This Row],[Entradas]]-STOCK[[#This Row],[Salidas]]</f>
        <v>0</v>
      </c>
      <c r="M556" s="53">
        <f>STOCK[[#This Row],[Precio Final]]*10%</f>
        <v>3.5</v>
      </c>
      <c r="N556" s="53">
        <v>298</v>
      </c>
      <c r="O556" s="53">
        <v>17</v>
      </c>
      <c r="P556" s="53">
        <v>17.5294117647059</v>
      </c>
      <c r="Q556" s="70">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54" t="s">
        <v>1133</v>
      </c>
      <c r="F557" s="54" t="s">
        <v>49</v>
      </c>
      <c r="G557" s="54" t="s">
        <v>36</v>
      </c>
      <c r="H557" s="54">
        <f>STOCK[[#This Row],[Precio Final]]</f>
        <v>35</v>
      </c>
      <c r="I557" s="54">
        <f>STOCK[[#This Row],[Precio Venta Ideal (x1.5)]]</f>
        <v>40.7316176470588</v>
      </c>
      <c r="J557" s="71">
        <v>1</v>
      </c>
      <c r="K557" s="71">
        <f>SUMIFS(VENTAS[Cantidad],VENTAS[Código del producto Vendido],STOCK[[#This Row],[Code]])</f>
        <v>1</v>
      </c>
      <c r="L557" s="71">
        <f>STOCK[[#This Row],[Entradas]]-STOCK[[#This Row],[Salidas]]</f>
        <v>0</v>
      </c>
      <c r="M557" s="54">
        <f>STOCK[[#This Row],[Precio Final]]*10%</f>
        <v>3.5</v>
      </c>
      <c r="N557" s="54">
        <v>298</v>
      </c>
      <c r="O557" s="54">
        <v>17</v>
      </c>
      <c r="P557" s="54">
        <v>17.5294117647059</v>
      </c>
      <c r="Q557" s="71">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53" t="s">
        <v>1135</v>
      </c>
      <c r="F558" s="53" t="s">
        <v>819</v>
      </c>
      <c r="G558" s="53" t="s">
        <v>704</v>
      </c>
      <c r="H558" s="53">
        <f>STOCK[[#This Row],[Precio Final]]</f>
        <v>35</v>
      </c>
      <c r="I558" s="53">
        <f>STOCK[[#This Row],[Precio Venta Ideal (x1.5)]]</f>
        <v>43.1691176470588</v>
      </c>
      <c r="J558" s="70">
        <v>1</v>
      </c>
      <c r="K558" s="70">
        <f>SUMIFS(VENTAS[Cantidad],VENTAS[Código del producto Vendido],STOCK[[#This Row],[Code]])</f>
        <v>0</v>
      </c>
      <c r="L558" s="70">
        <f>STOCK[[#This Row],[Entradas]]-STOCK[[#This Row],[Salidas]]</f>
        <v>1</v>
      </c>
      <c r="M558" s="53">
        <f>STOCK[[#This Row],[Precio Final]]*10%</f>
        <v>3.5</v>
      </c>
      <c r="N558" s="53">
        <v>400</v>
      </c>
      <c r="O558" s="53">
        <v>17</v>
      </c>
      <c r="P558" s="53">
        <v>23.5294117647059</v>
      </c>
      <c r="Q558" s="70">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54" t="s">
        <v>1137</v>
      </c>
      <c r="F559" s="54" t="s">
        <v>40</v>
      </c>
      <c r="G559" s="54" t="s">
        <v>36</v>
      </c>
      <c r="H559" s="54">
        <f>STOCK[[#This Row],[Precio Final]]</f>
        <v>30</v>
      </c>
      <c r="I559" s="54">
        <f>STOCK[[#This Row],[Precio Venta Ideal (x1.5)]]</f>
        <v>37.5220588235293</v>
      </c>
      <c r="J559" s="71">
        <v>1</v>
      </c>
      <c r="K559" s="71">
        <f>SUMIFS(VENTAS[Cantidad],VENTAS[Código del producto Vendido],STOCK[[#This Row],[Code]])</f>
        <v>1</v>
      </c>
      <c r="L559" s="71">
        <f>STOCK[[#This Row],[Entradas]]-STOCK[[#This Row],[Salidas]]</f>
        <v>0</v>
      </c>
      <c r="M559" s="54">
        <f>STOCK[[#This Row],[Precio Final]]*10%</f>
        <v>3</v>
      </c>
      <c r="N559" s="54">
        <v>285</v>
      </c>
      <c r="O559" s="54">
        <v>17</v>
      </c>
      <c r="P559" s="54">
        <v>16.7647058823529</v>
      </c>
      <c r="Q559" s="71">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53" t="s">
        <v>1139</v>
      </c>
      <c r="F560" s="53" t="s">
        <v>62</v>
      </c>
      <c r="G560" s="53" t="s">
        <v>704</v>
      </c>
      <c r="H560" s="53">
        <f>STOCK[[#This Row],[Precio Final]]</f>
        <v>25</v>
      </c>
      <c r="I560" s="53">
        <f>STOCK[[#This Row],[Precio Venta Ideal (x1.5)]]</f>
        <v>30.9264705882353</v>
      </c>
      <c r="J560" s="70">
        <v>3</v>
      </c>
      <c r="K560" s="70">
        <f>SUMIFS(VENTAS[Cantidad],VENTAS[Código del producto Vendido],STOCK[[#This Row],[Code]])</f>
        <v>2</v>
      </c>
      <c r="L560" s="70">
        <f>STOCK[[#This Row],[Entradas]]-STOCK[[#This Row],[Salidas]]</f>
        <v>1</v>
      </c>
      <c r="M560" s="53">
        <f>STOCK[[#This Row],[Precio Final]]*10%</f>
        <v>2.5</v>
      </c>
      <c r="N560" s="53">
        <v>240</v>
      </c>
      <c r="O560" s="53">
        <v>17</v>
      </c>
      <c r="P560" s="53">
        <v>14.1176470588235</v>
      </c>
      <c r="Q560" s="70">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54" t="s">
        <v>1141</v>
      </c>
      <c r="F561" s="54" t="s">
        <v>62</v>
      </c>
      <c r="G561" s="54" t="s">
        <v>36</v>
      </c>
      <c r="H561" s="54">
        <f>STOCK[[#This Row],[Precio Final]]</f>
        <v>15</v>
      </c>
      <c r="I561" s="54">
        <f>STOCK[[#This Row],[Precio Venta Ideal (x1.5)]]</f>
        <v>16.6191176470588</v>
      </c>
      <c r="J561" s="71">
        <v>1</v>
      </c>
      <c r="K561" s="71">
        <f>SUMIFS(VENTAS[Cantidad],VENTAS[Código del producto Vendido],STOCK[[#This Row],[Code]])</f>
        <v>1</v>
      </c>
      <c r="L561" s="71">
        <f>STOCK[[#This Row],[Entradas]]-STOCK[[#This Row],[Salidas]]</f>
        <v>0</v>
      </c>
      <c r="M561" s="54">
        <f>STOCK[[#This Row],[Precio Final]]*10%</f>
        <v>1.5</v>
      </c>
      <c r="N561" s="54">
        <v>145</v>
      </c>
      <c r="O561" s="54">
        <v>17</v>
      </c>
      <c r="P561" s="54">
        <v>8.52941176470588</v>
      </c>
      <c r="Q561" s="71">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53" t="s">
        <v>1143</v>
      </c>
      <c r="F562" s="53" t="s">
        <v>88</v>
      </c>
      <c r="G562" s="53" t="s">
        <v>36</v>
      </c>
      <c r="H562" s="53">
        <f>STOCK[[#This Row],[Precio Final]]</f>
        <v>12</v>
      </c>
      <c r="I562" s="53">
        <f>STOCK[[#This Row],[Precio Venta Ideal (x1.5)]]</f>
        <v>13.9632352941176</v>
      </c>
      <c r="J562" s="70">
        <v>0</v>
      </c>
      <c r="K562" s="70">
        <f>SUMIFS(VENTAS[Cantidad],VENTAS[Código del producto Vendido],STOCK[[#This Row],[Code]])</f>
        <v>0</v>
      </c>
      <c r="L562" s="70">
        <f>STOCK[[#This Row],[Entradas]]-STOCK[[#This Row],[Salidas]]</f>
        <v>0</v>
      </c>
      <c r="M562" s="53">
        <f>STOCK[[#This Row],[Precio Final]]*10%</f>
        <v>1.2</v>
      </c>
      <c r="N562" s="53">
        <v>120</v>
      </c>
      <c r="O562" s="53">
        <v>17</v>
      </c>
      <c r="P562" s="53">
        <v>7.05882352941176</v>
      </c>
      <c r="Q562" s="70">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54" t="s">
        <v>1145</v>
      </c>
      <c r="F563" s="54" t="s">
        <v>49</v>
      </c>
      <c r="G563" s="54" t="s">
        <v>704</v>
      </c>
      <c r="H563" s="54">
        <f>STOCK[[#This Row],[Precio Final]]</f>
        <v>25</v>
      </c>
      <c r="I563" s="54">
        <f>STOCK[[#This Row],[Precio Venta Ideal (x1.5)]]</f>
        <v>28.1558823529411</v>
      </c>
      <c r="J563" s="71">
        <v>1</v>
      </c>
      <c r="K563" s="71">
        <f>SUMIFS(VENTAS[Cantidad],VENTAS[Código del producto Vendido],STOCK[[#This Row],[Code]])</f>
        <v>1</v>
      </c>
      <c r="L563" s="71">
        <f>STOCK[[#This Row],[Entradas]]-STOCK[[#This Row],[Salidas]]</f>
        <v>0</v>
      </c>
      <c r="M563" s="54">
        <f>STOCK[[#This Row],[Precio Final]]*10%</f>
        <v>2.5</v>
      </c>
      <c r="N563" s="54">
        <v>229</v>
      </c>
      <c r="O563" s="54">
        <v>17</v>
      </c>
      <c r="P563" s="54">
        <v>13.4705882352941</v>
      </c>
      <c r="Q563" s="71">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53" t="s">
        <v>1147</v>
      </c>
      <c r="F564" s="53" t="s">
        <v>49</v>
      </c>
      <c r="G564" s="53" t="s">
        <v>704</v>
      </c>
      <c r="H564" s="53">
        <f>STOCK[[#This Row],[Precio Final]]</f>
        <v>25</v>
      </c>
      <c r="I564" s="53">
        <f>STOCK[[#This Row],[Precio Venta Ideal (x1.5)]]</f>
        <v>33.7125</v>
      </c>
      <c r="J564" s="70">
        <v>1</v>
      </c>
      <c r="K564" s="70">
        <f>SUMIFS(VENTAS[Cantidad],VENTAS[Código del producto Vendido],STOCK[[#This Row],[Code]])</f>
        <v>0</v>
      </c>
      <c r="L564" s="70">
        <f>STOCK[[#This Row],[Entradas]]-STOCK[[#This Row],[Salidas]]</f>
        <v>1</v>
      </c>
      <c r="M564" s="53">
        <f>STOCK[[#This Row],[Precio Final]]*10%</f>
        <v>2.5</v>
      </c>
      <c r="N564" s="53">
        <v>289</v>
      </c>
      <c r="O564" s="53">
        <v>17</v>
      </c>
      <c r="P564" s="53">
        <v>17</v>
      </c>
      <c r="Q564" s="70">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54" t="s">
        <v>1149</v>
      </c>
      <c r="F565" s="54" t="s">
        <v>46</v>
      </c>
      <c r="G565" s="54" t="s">
        <v>704</v>
      </c>
      <c r="H565" s="54">
        <f>STOCK[[#This Row],[Precio Final]]</f>
        <v>35</v>
      </c>
      <c r="I565" s="54">
        <f>STOCK[[#This Row],[Precio Venta Ideal (x1.5)]]</f>
        <v>43.1536764705882</v>
      </c>
      <c r="J565" s="71">
        <v>1</v>
      </c>
      <c r="K565" s="71">
        <f>SUMIFS(VENTAS[Cantidad],VENTAS[Código del producto Vendido],STOCK[[#This Row],[Code]])</f>
        <v>0</v>
      </c>
      <c r="L565" s="71">
        <f>STOCK[[#This Row],[Entradas]]-STOCK[[#This Row],[Salidas]]</f>
        <v>1</v>
      </c>
      <c r="M565" s="54">
        <f>STOCK[[#This Row],[Precio Final]]*10%</f>
        <v>3.5</v>
      </c>
      <c r="N565" s="54">
        <v>379</v>
      </c>
      <c r="O565" s="54">
        <v>17</v>
      </c>
      <c r="P565" s="54">
        <v>22.2941176470588</v>
      </c>
      <c r="Q565" s="71">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53" t="s">
        <v>1151</v>
      </c>
      <c r="F566" s="53" t="s">
        <v>540</v>
      </c>
      <c r="G566" s="53" t="s">
        <v>36</v>
      </c>
      <c r="H566" s="53">
        <f>STOCK[[#This Row],[Precio Final]]</f>
        <v>40</v>
      </c>
      <c r="I566" s="53">
        <f>STOCK[[#This Row],[Precio Venta Ideal (x1.5)]]</f>
        <v>54.4191176470588</v>
      </c>
      <c r="J566" s="70">
        <v>1</v>
      </c>
      <c r="K566" s="70">
        <f>SUMIFS(VENTAS[Cantidad],VENTAS[Código del producto Vendido],STOCK[[#This Row],[Code]])</f>
        <v>1</v>
      </c>
      <c r="L566" s="70">
        <f>STOCK[[#This Row],[Entradas]]-STOCK[[#This Row],[Salidas]]</f>
        <v>0</v>
      </c>
      <c r="M566" s="53">
        <f>STOCK[[#This Row],[Precio Final]]*10%</f>
        <v>4</v>
      </c>
      <c r="N566" s="53">
        <v>400</v>
      </c>
      <c r="O566" s="53">
        <v>17</v>
      </c>
      <c r="P566" s="53">
        <v>23.5294117647059</v>
      </c>
      <c r="Q566" s="70">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54" t="s">
        <v>1153</v>
      </c>
      <c r="F567" s="54" t="s">
        <v>540</v>
      </c>
      <c r="G567" s="54" t="s">
        <v>704</v>
      </c>
      <c r="H567" s="54">
        <f>STOCK[[#This Row],[Precio Final]]</f>
        <v>45</v>
      </c>
      <c r="I567" s="54">
        <f>STOCK[[#This Row],[Precio Venta Ideal (x1.5)]]</f>
        <v>59.7926470588236</v>
      </c>
      <c r="J567" s="71">
        <v>1</v>
      </c>
      <c r="K567" s="71">
        <f>SUMIFS(VENTAS[Cantidad],VENTAS[Código del producto Vendido],STOCK[[#This Row],[Code]])</f>
        <v>1</v>
      </c>
      <c r="L567" s="71">
        <f>STOCK[[#This Row],[Entradas]]-STOCK[[#This Row],[Salidas]]</f>
        <v>0</v>
      </c>
      <c r="M567" s="54">
        <f>STOCK[[#This Row],[Precio Final]]*10%</f>
        <v>4.5</v>
      </c>
      <c r="N567" s="54">
        <v>500</v>
      </c>
      <c r="O567" s="54">
        <v>17</v>
      </c>
      <c r="P567" s="54">
        <v>29.4117647058824</v>
      </c>
      <c r="Q567" s="71">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53" t="s">
        <v>1155</v>
      </c>
      <c r="F568" s="53" t="s">
        <v>1156</v>
      </c>
      <c r="G568" s="53" t="s">
        <v>704</v>
      </c>
      <c r="H568" s="53">
        <f>STOCK[[#This Row],[Precio Final]]</f>
        <v>10</v>
      </c>
      <c r="I568" s="53">
        <f>STOCK[[#This Row],[Precio Venta Ideal (x1.5)]]</f>
        <v>12</v>
      </c>
      <c r="J568" s="70">
        <v>1</v>
      </c>
      <c r="K568" s="70">
        <f>SUMIFS(VENTAS[Cantidad],VENTAS[Código del producto Vendido],STOCK[[#This Row],[Code]])</f>
        <v>1</v>
      </c>
      <c r="L568" s="70">
        <f>STOCK[[#This Row],[Entradas]]-STOCK[[#This Row],[Salidas]]</f>
        <v>0</v>
      </c>
      <c r="M568" s="53">
        <f>STOCK[[#This Row],[Precio Final]]*10%</f>
        <v>1</v>
      </c>
      <c r="N568" s="53">
        <v>2.68</v>
      </c>
      <c r="O568" s="53">
        <v>0</v>
      </c>
      <c r="P568" s="53">
        <v>6</v>
      </c>
      <c r="Q568" s="70">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54" t="s">
        <v>1158</v>
      </c>
      <c r="F569" s="54" t="s">
        <v>49</v>
      </c>
      <c r="G569" s="54" t="s">
        <v>36</v>
      </c>
      <c r="H569" s="54">
        <f>STOCK[[#This Row],[Precio Final]]</f>
        <v>13</v>
      </c>
      <c r="I569" s="54">
        <f>STOCK[[#This Row],[Precio Venta Ideal (x1.5)]]</f>
        <v>14.745</v>
      </c>
      <c r="J569" s="71">
        <v>1</v>
      </c>
      <c r="K569" s="71">
        <f>SUMIFS(VENTAS[Cantidad],VENTAS[Código del producto Vendido],STOCK[[#This Row],[Code]])</f>
        <v>1</v>
      </c>
      <c r="L569" s="71">
        <f>STOCK[[#This Row],[Entradas]]-STOCK[[#This Row],[Salidas]]</f>
        <v>0</v>
      </c>
      <c r="M569" s="54">
        <f>STOCK[[#This Row],[Precio Final]]*10%</f>
        <v>1.3</v>
      </c>
      <c r="N569" s="54">
        <v>0</v>
      </c>
      <c r="O569" s="54">
        <v>8.25</v>
      </c>
      <c r="P569" s="54">
        <v>6.53</v>
      </c>
      <c r="Q569" s="71">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53" t="s">
        <v>1158</v>
      </c>
      <c r="F570" s="53" t="s">
        <v>62</v>
      </c>
      <c r="G570" s="53" t="s">
        <v>36</v>
      </c>
      <c r="H570" s="53">
        <f>STOCK[[#This Row],[Precio Final]]</f>
        <v>13</v>
      </c>
      <c r="I570" s="53">
        <f>STOCK[[#This Row],[Precio Venta Ideal (x1.5)]]</f>
        <v>14.745</v>
      </c>
      <c r="J570" s="70">
        <v>1</v>
      </c>
      <c r="K570" s="70">
        <f>SUMIFS(VENTAS[Cantidad],VENTAS[Código del producto Vendido],STOCK[[#This Row],[Code]])</f>
        <v>1</v>
      </c>
      <c r="L570" s="70">
        <f>STOCK[[#This Row],[Entradas]]-STOCK[[#This Row],[Salidas]]</f>
        <v>0</v>
      </c>
      <c r="M570" s="53">
        <f>STOCK[[#This Row],[Precio Final]]*10%</f>
        <v>1.3</v>
      </c>
      <c r="N570" s="53">
        <v>3.75</v>
      </c>
      <c r="O570" s="53">
        <v>0</v>
      </c>
      <c r="P570" s="53">
        <v>6.53</v>
      </c>
      <c r="Q570" s="70">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54" t="s">
        <v>1162</v>
      </c>
      <c r="F571" s="54" t="s">
        <v>525</v>
      </c>
      <c r="G571" s="54" t="s">
        <v>36</v>
      </c>
      <c r="H571" s="54">
        <f>STOCK[[#This Row],[Precio Final]]</f>
        <v>5</v>
      </c>
      <c r="I571" s="54">
        <f>STOCK[[#This Row],[Precio Venta Ideal (x1.5)]]</f>
        <v>3.795</v>
      </c>
      <c r="J571" s="71">
        <v>11</v>
      </c>
      <c r="K571" s="71">
        <f>SUMIFS(VENTAS[Cantidad],VENTAS[Código del producto Vendido],STOCK[[#This Row],[Code]])</f>
        <v>9</v>
      </c>
      <c r="L571" s="71">
        <f>STOCK[[#This Row],[Entradas]]-STOCK[[#This Row],[Salidas]]</f>
        <v>2</v>
      </c>
      <c r="M571" s="54">
        <f>STOCK[[#This Row],[Precio Final]]*10%</f>
        <v>0.5</v>
      </c>
      <c r="N571" s="54">
        <v>21.29</v>
      </c>
      <c r="O571" s="54">
        <v>12.26</v>
      </c>
      <c r="P571" s="54">
        <v>1.03</v>
      </c>
      <c r="Q571" s="71">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53" t="s">
        <v>1164</v>
      </c>
      <c r="F572" s="53" t="s">
        <v>46</v>
      </c>
      <c r="G572" s="53" t="s">
        <v>36</v>
      </c>
      <c r="H572" s="53">
        <f>STOCK[[#This Row],[Precio Final]]</f>
        <v>22</v>
      </c>
      <c r="I572" s="53">
        <f>STOCK[[#This Row],[Precio Venta Ideal (x1.5)]]</f>
        <v>24.735</v>
      </c>
      <c r="J572" s="70">
        <v>2</v>
      </c>
      <c r="K572" s="70">
        <f>SUMIFS(VENTAS[Cantidad],VENTAS[Código del producto Vendido],STOCK[[#This Row],[Code]])</f>
        <v>2</v>
      </c>
      <c r="L572" s="70">
        <f>STOCK[[#This Row],[Entradas]]-STOCK[[#This Row],[Salidas]]</f>
        <v>0</v>
      </c>
      <c r="M572" s="53">
        <f>STOCK[[#This Row],[Precio Final]]*10%</f>
        <v>2.2</v>
      </c>
      <c r="N572" s="53">
        <v>9.02</v>
      </c>
      <c r="O572" s="53">
        <v>0</v>
      </c>
      <c r="P572" s="53">
        <v>12.29</v>
      </c>
      <c r="Q572" s="70">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54" t="s">
        <v>1166</v>
      </c>
      <c r="F573" s="54" t="s">
        <v>49</v>
      </c>
      <c r="G573" s="54" t="s">
        <v>36</v>
      </c>
      <c r="H573" s="54">
        <f>STOCK[[#This Row],[Precio Final]]</f>
        <v>20</v>
      </c>
      <c r="I573" s="54">
        <f>STOCK[[#This Row],[Precio Venta Ideal (x1.5)]]</f>
        <v>24.435</v>
      </c>
      <c r="J573" s="71">
        <v>3</v>
      </c>
      <c r="K573" s="71">
        <f>SUMIFS(VENTAS[Cantidad],VENTAS[Código del producto Vendido],STOCK[[#This Row],[Code]])</f>
        <v>2</v>
      </c>
      <c r="L573" s="71">
        <f>STOCK[[#This Row],[Entradas]]-STOCK[[#This Row],[Salidas]]</f>
        <v>1</v>
      </c>
      <c r="M573" s="54">
        <f>STOCK[[#This Row],[Precio Final]]*10%</f>
        <v>2</v>
      </c>
      <c r="N573" s="54">
        <v>0</v>
      </c>
      <c r="O573" s="54">
        <v>17.49</v>
      </c>
      <c r="P573" s="54">
        <v>12.29</v>
      </c>
      <c r="Q573" s="71">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53" t="s">
        <v>1168</v>
      </c>
      <c r="F574" s="53" t="s">
        <v>1169</v>
      </c>
      <c r="G574" s="53" t="s">
        <v>36</v>
      </c>
      <c r="H574" s="53">
        <f>STOCK[[#This Row],[Precio Final]]</f>
        <v>20</v>
      </c>
      <c r="I574" s="53">
        <f>STOCK[[#This Row],[Precio Venta Ideal (x1.5)]]</f>
        <v>24.435</v>
      </c>
      <c r="J574" s="70">
        <v>2</v>
      </c>
      <c r="K574" s="70">
        <f>SUMIFS(VENTAS[Cantidad],VENTAS[Código del producto Vendido],STOCK[[#This Row],[Code]])</f>
        <v>2</v>
      </c>
      <c r="L574" s="70">
        <f>STOCK[[#This Row],[Entradas]]-STOCK[[#This Row],[Salidas]]</f>
        <v>0</v>
      </c>
      <c r="M574" s="53">
        <f>STOCK[[#This Row],[Precio Final]]*10%</f>
        <v>2</v>
      </c>
      <c r="N574" s="53">
        <v>0</v>
      </c>
      <c r="O574" s="53">
        <v>17.49</v>
      </c>
      <c r="P574" s="53">
        <v>12.29</v>
      </c>
      <c r="Q574" s="70">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54" t="s">
        <v>1171</v>
      </c>
      <c r="F575" s="54" t="s">
        <v>88</v>
      </c>
      <c r="G575" s="54" t="s">
        <v>36</v>
      </c>
      <c r="H575" s="54">
        <f>STOCK[[#This Row],[Precio Final]]</f>
        <v>13</v>
      </c>
      <c r="I575" s="54">
        <f>STOCK[[#This Row],[Precio Venta Ideal (x1.5)]]</f>
        <v>14.865</v>
      </c>
      <c r="J575" s="71">
        <v>3</v>
      </c>
      <c r="K575" s="71">
        <f>SUMIFS(VENTAS[Cantidad],VENTAS[Código del producto Vendido],STOCK[[#This Row],[Code]])</f>
        <v>3</v>
      </c>
      <c r="L575" s="71">
        <f>STOCK[[#This Row],[Entradas]]-STOCK[[#This Row],[Salidas]]</f>
        <v>0</v>
      </c>
      <c r="M575" s="54">
        <f>STOCK[[#This Row],[Precio Final]]*10%</f>
        <v>1.3</v>
      </c>
      <c r="N575" s="54">
        <v>0</v>
      </c>
      <c r="O575" s="54">
        <v>0</v>
      </c>
      <c r="P575" s="54">
        <v>7.61</v>
      </c>
      <c r="Q575" s="71">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53" t="s">
        <v>1171</v>
      </c>
      <c r="F576" s="53" t="s">
        <v>83</v>
      </c>
      <c r="G576" s="53" t="s">
        <v>36</v>
      </c>
      <c r="H576" s="53">
        <f>STOCK[[#This Row],[Precio Final]]</f>
        <v>13</v>
      </c>
      <c r="I576" s="53">
        <f>STOCK[[#This Row],[Precio Venta Ideal (x1.5)]]</f>
        <v>14.865</v>
      </c>
      <c r="J576" s="70">
        <v>2</v>
      </c>
      <c r="K576" s="70">
        <f>SUMIFS(VENTAS[Cantidad],VENTAS[Código del producto Vendido],STOCK[[#This Row],[Code]])</f>
        <v>2</v>
      </c>
      <c r="L576" s="70">
        <f>STOCK[[#This Row],[Entradas]]-STOCK[[#This Row],[Salidas]]</f>
        <v>0</v>
      </c>
      <c r="M576" s="53">
        <f>STOCK[[#This Row],[Precio Final]]*10%</f>
        <v>1.3</v>
      </c>
      <c r="N576" s="53">
        <v>4.72</v>
      </c>
      <c r="O576" s="53">
        <v>0</v>
      </c>
      <c r="P576" s="53">
        <v>7.61</v>
      </c>
      <c r="Q576" s="70">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54" t="s">
        <v>1174</v>
      </c>
      <c r="F577" s="54" t="s">
        <v>62</v>
      </c>
      <c r="G577" s="54" t="s">
        <v>36</v>
      </c>
      <c r="H577" s="54">
        <f>STOCK[[#This Row],[Precio Final]]</f>
        <v>28</v>
      </c>
      <c r="I577" s="54">
        <f>STOCK[[#This Row],[Precio Venta Ideal (x1.5)]]</f>
        <v>30.675</v>
      </c>
      <c r="J577" s="71">
        <v>1</v>
      </c>
      <c r="K577" s="71">
        <f>SUMIFS(VENTAS[Cantidad],VENTAS[Código del producto Vendido],STOCK[[#This Row],[Code]])</f>
        <v>1</v>
      </c>
      <c r="L577" s="71">
        <f>STOCK[[#This Row],[Entradas]]-STOCK[[#This Row],[Salidas]]</f>
        <v>0</v>
      </c>
      <c r="M577" s="54">
        <f>STOCK[[#This Row],[Precio Final]]*10%</f>
        <v>2.8</v>
      </c>
      <c r="N577" s="54">
        <v>0</v>
      </c>
      <c r="O577" s="54">
        <v>0</v>
      </c>
      <c r="P577" s="54">
        <v>17.65</v>
      </c>
      <c r="Q577" s="71">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53" t="s">
        <v>1174</v>
      </c>
      <c r="F578" s="53" t="s">
        <v>49</v>
      </c>
      <c r="G578" s="53" t="s">
        <v>36</v>
      </c>
      <c r="H578" s="53">
        <f>STOCK[[#This Row],[Precio Final]]</f>
        <v>28</v>
      </c>
      <c r="I578" s="53">
        <f>STOCK[[#This Row],[Precio Venta Ideal (x1.5)]]</f>
        <v>30.675</v>
      </c>
      <c r="J578" s="70">
        <v>1</v>
      </c>
      <c r="K578" s="70">
        <f>SUMIFS(VENTAS[Cantidad],VENTAS[Código del producto Vendido],STOCK[[#This Row],[Code]])</f>
        <v>1</v>
      </c>
      <c r="L578" s="70">
        <f>STOCK[[#This Row],[Entradas]]-STOCK[[#This Row],[Salidas]]</f>
        <v>0</v>
      </c>
      <c r="M578" s="53">
        <f>STOCK[[#This Row],[Precio Final]]*10%</f>
        <v>2.8</v>
      </c>
      <c r="N578" s="53">
        <v>0</v>
      </c>
      <c r="O578" s="53">
        <v>0</v>
      </c>
      <c r="P578" s="53">
        <v>17.65</v>
      </c>
      <c r="Q578" s="70">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54" t="s">
        <v>1174</v>
      </c>
      <c r="F579" s="54" t="s">
        <v>46</v>
      </c>
      <c r="G579" s="54" t="s">
        <v>36</v>
      </c>
      <c r="H579" s="54">
        <f>STOCK[[#This Row],[Precio Final]]</f>
        <v>28</v>
      </c>
      <c r="I579" s="54">
        <f>STOCK[[#This Row],[Precio Venta Ideal (x1.5)]]</f>
        <v>30.675</v>
      </c>
      <c r="J579" s="71">
        <v>1</v>
      </c>
      <c r="K579" s="71">
        <f>SUMIFS(VENTAS[Cantidad],VENTAS[Código del producto Vendido],STOCK[[#This Row],[Code]])</f>
        <v>1</v>
      </c>
      <c r="L579" s="71">
        <f>STOCK[[#This Row],[Entradas]]-STOCK[[#This Row],[Salidas]]</f>
        <v>0</v>
      </c>
      <c r="M579" s="54">
        <f>STOCK[[#This Row],[Precio Final]]*10%</f>
        <v>2.8</v>
      </c>
      <c r="N579" s="54">
        <v>0</v>
      </c>
      <c r="O579" s="54">
        <v>0</v>
      </c>
      <c r="P579" s="54">
        <v>17.65</v>
      </c>
      <c r="Q579" s="71">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53" t="s">
        <v>1178</v>
      </c>
      <c r="G580" s="53" t="s">
        <v>36</v>
      </c>
      <c r="H580" s="53">
        <f>STOCK[[#This Row],[Precio Final]]</f>
        <v>0</v>
      </c>
      <c r="I580" s="53">
        <f>STOCK[[#This Row],[Precio Venta Ideal (x1.5)]]</f>
        <v>13.785</v>
      </c>
      <c r="J580" s="70">
        <v>0</v>
      </c>
      <c r="K580" s="70">
        <f>SUMIFS(VENTAS[Cantidad],VENTAS[Código del producto Vendido],STOCK[[#This Row],[Code]])</f>
        <v>0</v>
      </c>
      <c r="L580" s="70">
        <f>STOCK[[#This Row],[Entradas]]-STOCK[[#This Row],[Salidas]]</f>
        <v>0</v>
      </c>
      <c r="M580" s="53">
        <f>STOCK[[#This Row],[Precio Final]]*10%</f>
        <v>0</v>
      </c>
      <c r="N580" s="53">
        <v>0</v>
      </c>
      <c r="O580" s="53">
        <v>0</v>
      </c>
      <c r="P580" s="53">
        <v>9.19</v>
      </c>
      <c r="Q580" s="70">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54" t="s">
        <v>1178</v>
      </c>
      <c r="G581" s="54" t="s">
        <v>36</v>
      </c>
      <c r="H581" s="54">
        <f>STOCK[[#This Row],[Precio Final]]</f>
        <v>0</v>
      </c>
      <c r="I581" s="54">
        <f>STOCK[[#This Row],[Precio Venta Ideal (x1.5)]]</f>
        <v>11.295</v>
      </c>
      <c r="J581" s="71">
        <v>0</v>
      </c>
      <c r="K581" s="71">
        <f>SUMIFS(VENTAS[Cantidad],VENTAS[Código del producto Vendido],STOCK[[#This Row],[Code]])</f>
        <v>0</v>
      </c>
      <c r="L581" s="71">
        <f>STOCK[[#This Row],[Entradas]]-STOCK[[#This Row],[Salidas]]</f>
        <v>0</v>
      </c>
      <c r="M581" s="54">
        <f>STOCK[[#This Row],[Precio Final]]*10%</f>
        <v>0</v>
      </c>
      <c r="N581" s="54">
        <v>0</v>
      </c>
      <c r="O581" s="54">
        <v>0</v>
      </c>
      <c r="P581" s="54">
        <v>7.53</v>
      </c>
      <c r="Q581" s="71">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53" t="s">
        <v>1181</v>
      </c>
      <c r="G582" s="53" t="s">
        <v>36</v>
      </c>
      <c r="H582" s="53">
        <f>STOCK[[#This Row],[Precio Final]]</f>
        <v>12</v>
      </c>
      <c r="I582" s="53">
        <f>STOCK[[#This Row],[Precio Venta Ideal (x1.5)]]</f>
        <v>15.885</v>
      </c>
      <c r="J582" s="70">
        <v>0</v>
      </c>
      <c r="K582" s="70">
        <f>SUMIFS(VENTAS[Cantidad],VENTAS[Código del producto Vendido],STOCK[[#This Row],[Code]])</f>
        <v>0</v>
      </c>
      <c r="L582" s="70">
        <f>STOCK[[#This Row],[Entradas]]-STOCK[[#This Row],[Salidas]]</f>
        <v>0</v>
      </c>
      <c r="M582" s="53">
        <f>STOCK[[#This Row],[Precio Final]]*10%</f>
        <v>1.2</v>
      </c>
      <c r="N582" s="53">
        <v>0</v>
      </c>
      <c r="O582" s="53">
        <v>0</v>
      </c>
      <c r="P582" s="53">
        <v>9.39</v>
      </c>
      <c r="Q582" s="70">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54" t="s">
        <v>1183</v>
      </c>
      <c r="F583" s="54" t="s">
        <v>211</v>
      </c>
      <c r="G583" s="54" t="s">
        <v>36</v>
      </c>
      <c r="H583" s="54">
        <f>STOCK[[#This Row],[Precio Final]]</f>
        <v>20</v>
      </c>
      <c r="I583" s="54">
        <f>STOCK[[#This Row],[Precio Venta Ideal (x1.5)]]</f>
        <v>24.435</v>
      </c>
      <c r="J583" s="71">
        <v>1</v>
      </c>
      <c r="K583" s="71">
        <f>SUMIFS(VENTAS[Cantidad],VENTAS[Código del producto Vendido],STOCK[[#This Row],[Code]])</f>
        <v>1</v>
      </c>
      <c r="L583" s="71">
        <f>STOCK[[#This Row],[Entradas]]-STOCK[[#This Row],[Salidas]]</f>
        <v>0</v>
      </c>
      <c r="M583" s="54">
        <f>STOCK[[#This Row],[Precio Final]]*10%</f>
        <v>2</v>
      </c>
      <c r="N583" s="54">
        <v>-17.37</v>
      </c>
      <c r="O583" s="54">
        <v>0</v>
      </c>
      <c r="P583" s="54">
        <v>12.29</v>
      </c>
      <c r="Q583" s="71">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53" t="s">
        <v>1183</v>
      </c>
      <c r="F584" s="53" t="s">
        <v>62</v>
      </c>
      <c r="G584" s="53" t="s">
        <v>36</v>
      </c>
      <c r="H584" s="53">
        <f>STOCK[[#This Row],[Precio Final]]</f>
        <v>0</v>
      </c>
      <c r="I584" s="53">
        <f>STOCK[[#This Row],[Precio Venta Ideal (x1.5)]]</f>
        <v>21.435</v>
      </c>
      <c r="J584" s="70">
        <v>1</v>
      </c>
      <c r="K584" s="70">
        <f>SUMIFS(VENTAS[Cantidad],VENTAS[Código del producto Vendido],STOCK[[#This Row],[Code]])</f>
        <v>1</v>
      </c>
      <c r="L584" s="70">
        <f>STOCK[[#This Row],[Entradas]]-STOCK[[#This Row],[Salidas]]</f>
        <v>0</v>
      </c>
      <c r="M584" s="53">
        <f>STOCK[[#This Row],[Precio Final]]*10%</f>
        <v>0</v>
      </c>
      <c r="N584" s="53">
        <v>-17.37</v>
      </c>
      <c r="O584" s="53">
        <v>0</v>
      </c>
      <c r="P584" s="53">
        <v>12.29</v>
      </c>
      <c r="Q584" s="70">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54" t="s">
        <v>1186</v>
      </c>
      <c r="G585" s="54" t="s">
        <v>36</v>
      </c>
      <c r="H585" s="54">
        <f>STOCK[[#This Row],[Precio Final]]</f>
        <v>12</v>
      </c>
      <c r="I585" s="54">
        <f>STOCK[[#This Row],[Precio Venta Ideal (x1.5)]]</f>
        <v>11.445</v>
      </c>
      <c r="J585" s="71">
        <v>0</v>
      </c>
      <c r="K585" s="71">
        <f>SUMIFS(VENTAS[Cantidad],VENTAS[Código del producto Vendido],STOCK[[#This Row],[Code]])</f>
        <v>0</v>
      </c>
      <c r="L585" s="71">
        <f>STOCK[[#This Row],[Entradas]]-STOCK[[#This Row],[Salidas]]</f>
        <v>0</v>
      </c>
      <c r="M585" s="54">
        <f>STOCK[[#This Row],[Precio Final]]*10%</f>
        <v>1.2</v>
      </c>
      <c r="N585" s="54">
        <v>0</v>
      </c>
      <c r="O585" s="54">
        <v>0</v>
      </c>
      <c r="P585" s="54">
        <v>6.43</v>
      </c>
      <c r="Q585" s="71">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53" t="s">
        <v>1188</v>
      </c>
      <c r="F586" s="53" t="s">
        <v>49</v>
      </c>
      <c r="G586" s="53" t="s">
        <v>36</v>
      </c>
      <c r="H586" s="53">
        <f>STOCK[[#This Row],[Precio Final]]</f>
        <v>18</v>
      </c>
      <c r="I586" s="53">
        <f>STOCK[[#This Row],[Precio Venta Ideal (x1.5)]]</f>
        <v>21.825</v>
      </c>
      <c r="J586" s="70">
        <v>1</v>
      </c>
      <c r="K586" s="70">
        <f>SUMIFS(VENTAS[Cantidad],VENTAS[Código del producto Vendido],STOCK[[#This Row],[Code]])</f>
        <v>1</v>
      </c>
      <c r="L586" s="70">
        <f>STOCK[[#This Row],[Entradas]]-STOCK[[#This Row],[Salidas]]</f>
        <v>0</v>
      </c>
      <c r="M586" s="53">
        <f>STOCK[[#This Row],[Precio Final]]*10%</f>
        <v>1.8</v>
      </c>
      <c r="N586" s="53">
        <v>3.61</v>
      </c>
      <c r="O586" s="53">
        <v>0</v>
      </c>
      <c r="P586" s="53">
        <v>11.75</v>
      </c>
      <c r="Q586" s="70">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54" t="s">
        <v>1191</v>
      </c>
      <c r="F587" s="54" t="s">
        <v>62</v>
      </c>
      <c r="G587" s="54" t="s">
        <v>36</v>
      </c>
      <c r="H587" s="54">
        <f>STOCK[[#This Row],[Precio Final]]</f>
        <v>20</v>
      </c>
      <c r="I587" s="54">
        <f>STOCK[[#This Row],[Precio Venta Ideal (x1.5)]]</f>
        <v>22.575</v>
      </c>
      <c r="J587" s="71">
        <v>1</v>
      </c>
      <c r="K587" s="71">
        <f>SUMIFS(VENTAS[Cantidad],VENTAS[Código del producto Vendido],STOCK[[#This Row],[Code]])</f>
        <v>0</v>
      </c>
      <c r="L587" s="71">
        <f>STOCK[[#This Row],[Entradas]]-STOCK[[#This Row],[Salidas]]</f>
        <v>1</v>
      </c>
      <c r="M587" s="54">
        <f>STOCK[[#This Row],[Precio Final]]*10%</f>
        <v>2</v>
      </c>
      <c r="N587" s="54">
        <v>0</v>
      </c>
      <c r="O587" s="54">
        <v>0</v>
      </c>
      <c r="P587" s="54">
        <v>12.05</v>
      </c>
      <c r="Q587" s="71">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53" t="s">
        <v>1193</v>
      </c>
      <c r="F588" s="53" t="s">
        <v>88</v>
      </c>
      <c r="G588" s="53" t="s">
        <v>36</v>
      </c>
      <c r="H588" s="53">
        <f>STOCK[[#This Row],[Precio Final]]</f>
        <v>35</v>
      </c>
      <c r="I588" s="53">
        <f>STOCK[[#This Row],[Precio Venta Ideal (x1.5)]]</f>
        <v>27.615</v>
      </c>
      <c r="J588" s="70">
        <v>1</v>
      </c>
      <c r="K588" s="70">
        <f>SUMIFS(VENTAS[Cantidad],VENTAS[Código del producto Vendido],STOCK[[#This Row],[Code]])</f>
        <v>1</v>
      </c>
      <c r="L588" s="70">
        <f>STOCK[[#This Row],[Entradas]]-STOCK[[#This Row],[Salidas]]</f>
        <v>0</v>
      </c>
      <c r="M588" s="53">
        <f>STOCK[[#This Row],[Precio Final]]*10%</f>
        <v>3.5</v>
      </c>
      <c r="N588" s="53">
        <v>0</v>
      </c>
      <c r="O588" s="53">
        <v>0</v>
      </c>
      <c r="P588" s="53">
        <v>13.91</v>
      </c>
      <c r="Q588" s="70">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54" t="s">
        <v>1178</v>
      </c>
      <c r="G589" s="54" t="s">
        <v>36</v>
      </c>
      <c r="H589" s="54">
        <f>STOCK[[#This Row],[Precio Final]]</f>
        <v>12</v>
      </c>
      <c r="I589" s="54">
        <f>STOCK[[#This Row],[Precio Venta Ideal (x1.5)]]</f>
        <v>17.385</v>
      </c>
      <c r="J589" s="71">
        <v>0</v>
      </c>
      <c r="K589" s="71">
        <f>SUMIFS(VENTAS[Cantidad],VENTAS[Código del producto Vendido],STOCK[[#This Row],[Code]])</f>
        <v>0</v>
      </c>
      <c r="L589" s="71">
        <f>STOCK[[#This Row],[Entradas]]-STOCK[[#This Row],[Salidas]]</f>
        <v>0</v>
      </c>
      <c r="M589" s="54">
        <f>STOCK[[#This Row],[Precio Final]]*10%</f>
        <v>1.2</v>
      </c>
      <c r="N589" s="54">
        <v>0</v>
      </c>
      <c r="O589" s="54">
        <v>0</v>
      </c>
      <c r="P589" s="54">
        <v>9.39</v>
      </c>
      <c r="Q589" s="71">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53" t="s">
        <v>1178</v>
      </c>
      <c r="G590" s="53" t="s">
        <v>36</v>
      </c>
      <c r="H590" s="53">
        <f>STOCK[[#This Row],[Precio Final]]</f>
        <v>12</v>
      </c>
      <c r="I590" s="53">
        <f>STOCK[[#This Row],[Precio Venta Ideal (x1.5)]]</f>
        <v>13.095</v>
      </c>
      <c r="J590" s="70">
        <v>0</v>
      </c>
      <c r="K590" s="70">
        <f>SUMIFS(VENTAS[Cantidad],VENTAS[Código del producto Vendido],STOCK[[#This Row],[Code]])</f>
        <v>0</v>
      </c>
      <c r="L590" s="70">
        <f>STOCK[[#This Row],[Entradas]]-STOCK[[#This Row],[Salidas]]</f>
        <v>0</v>
      </c>
      <c r="M590" s="53">
        <f>STOCK[[#This Row],[Precio Final]]*10%</f>
        <v>1.2</v>
      </c>
      <c r="N590" s="53">
        <v>0</v>
      </c>
      <c r="O590" s="53">
        <v>0</v>
      </c>
      <c r="P590" s="53">
        <v>6.53</v>
      </c>
      <c r="Q590" s="70">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54" t="s">
        <v>1197</v>
      </c>
      <c r="F591" s="54" t="s">
        <v>62</v>
      </c>
      <c r="G591" s="54" t="s">
        <v>36</v>
      </c>
      <c r="H591" s="54">
        <f>STOCK[[#This Row],[Precio Final]]</f>
        <v>40</v>
      </c>
      <c r="I591" s="54">
        <f>STOCK[[#This Row],[Precio Venta Ideal (x1.5)]]</f>
        <v>47.73</v>
      </c>
      <c r="J591" s="71">
        <v>2</v>
      </c>
      <c r="K591" s="71">
        <f>SUMIFS(VENTAS[Cantidad],VENTAS[Código del producto Vendido],STOCK[[#This Row],[Code]])</f>
        <v>2</v>
      </c>
      <c r="L591" s="71">
        <f>STOCK[[#This Row],[Entradas]]-STOCK[[#This Row],[Salidas]]</f>
        <v>0</v>
      </c>
      <c r="M591" s="54">
        <f>STOCK[[#This Row],[Precio Final]]*10%</f>
        <v>4</v>
      </c>
      <c r="N591" s="54">
        <v>-30.07</v>
      </c>
      <c r="O591" s="54">
        <v>30.07</v>
      </c>
      <c r="P591" s="54">
        <v>22.82</v>
      </c>
      <c r="Q591" s="71">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53" t="s">
        <v>1199</v>
      </c>
      <c r="F592" s="53" t="s">
        <v>49</v>
      </c>
      <c r="G592" s="53" t="s">
        <v>36</v>
      </c>
      <c r="H592" s="53">
        <f>STOCK[[#This Row],[Precio Final]]</f>
        <v>0</v>
      </c>
      <c r="I592" s="53">
        <f>STOCK[[#This Row],[Precio Venta Ideal (x1.5)]]</f>
        <v>41.73</v>
      </c>
      <c r="J592" s="70">
        <v>1</v>
      </c>
      <c r="K592" s="70">
        <f>SUMIFS(VENTAS[Cantidad],VENTAS[Código del producto Vendido],STOCK[[#This Row],[Code]])</f>
        <v>1</v>
      </c>
      <c r="L592" s="70">
        <f>STOCK[[#This Row],[Entradas]]-STOCK[[#This Row],[Salidas]]</f>
        <v>0</v>
      </c>
      <c r="M592" s="53">
        <f>STOCK[[#This Row],[Precio Final]]*10%</f>
        <v>0</v>
      </c>
      <c r="N592" s="53">
        <v>-30.07</v>
      </c>
      <c r="O592" s="53">
        <v>0</v>
      </c>
      <c r="P592" s="53">
        <v>22.82</v>
      </c>
      <c r="Q592" s="70">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54" t="s">
        <v>1201</v>
      </c>
      <c r="F593" s="54" t="s">
        <v>62</v>
      </c>
      <c r="G593" s="54" t="s">
        <v>36</v>
      </c>
      <c r="H593" s="54">
        <f>STOCK[[#This Row],[Precio Final]]</f>
        <v>12</v>
      </c>
      <c r="I593" s="54">
        <f>STOCK[[#This Row],[Precio Venta Ideal (x1.5)]]</f>
        <v>10.605</v>
      </c>
      <c r="J593" s="71">
        <v>2</v>
      </c>
      <c r="K593" s="71">
        <f>SUMIFS(VENTAS[Cantidad],VENTAS[Código del producto Vendido],STOCK[[#This Row],[Code]])</f>
        <v>2</v>
      </c>
      <c r="L593" s="71">
        <f>STOCK[[#This Row],[Entradas]]-STOCK[[#This Row],[Salidas]]</f>
        <v>0</v>
      </c>
      <c r="M593" s="54">
        <f>STOCK[[#This Row],[Precio Final]]*10%</f>
        <v>1.2</v>
      </c>
      <c r="N593" s="54">
        <v>-6.24</v>
      </c>
      <c r="O593" s="54">
        <v>6.24</v>
      </c>
      <c r="P593" s="54">
        <v>5.37</v>
      </c>
      <c r="Q593" s="71">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53" t="s">
        <v>1203</v>
      </c>
      <c r="F594" s="53" t="s">
        <v>49</v>
      </c>
      <c r="G594" s="53" t="s">
        <v>36</v>
      </c>
      <c r="H594" s="53">
        <f>STOCK[[#This Row],[Precio Final]]</f>
        <v>25</v>
      </c>
      <c r="I594" s="53">
        <f>STOCK[[#This Row],[Precio Venta Ideal (x1.5)]]</f>
        <v>23.1</v>
      </c>
      <c r="J594" s="70">
        <v>1</v>
      </c>
      <c r="K594" s="70">
        <f>SUMIFS(VENTAS[Cantidad],VENTAS[Código del producto Vendido],STOCK[[#This Row],[Code]])</f>
        <v>1</v>
      </c>
      <c r="L594" s="70">
        <f>STOCK[[#This Row],[Entradas]]-STOCK[[#This Row],[Salidas]]</f>
        <v>0</v>
      </c>
      <c r="M594" s="53">
        <f>STOCK[[#This Row],[Precio Final]]*10%</f>
        <v>2.5</v>
      </c>
      <c r="N594" s="53">
        <v>-14.22</v>
      </c>
      <c r="O594" s="53">
        <v>0</v>
      </c>
      <c r="P594" s="53">
        <v>10.9</v>
      </c>
      <c r="Q594" s="70">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54" t="s">
        <v>1203</v>
      </c>
      <c r="F595" s="54" t="s">
        <v>205</v>
      </c>
      <c r="G595" s="54" t="s">
        <v>36</v>
      </c>
      <c r="H595" s="54">
        <f>STOCK[[#This Row],[Precio Final]]</f>
        <v>22</v>
      </c>
      <c r="I595" s="54">
        <f>STOCK[[#This Row],[Precio Venta Ideal (x1.5)]]</f>
        <v>22.65</v>
      </c>
      <c r="J595" s="71">
        <v>3</v>
      </c>
      <c r="K595" s="71">
        <f>SUMIFS(VENTAS[Cantidad],VENTAS[Código del producto Vendido],STOCK[[#This Row],[Code]])</f>
        <v>3</v>
      </c>
      <c r="L595" s="71">
        <f>STOCK[[#This Row],[Entradas]]-STOCK[[#This Row],[Salidas]]</f>
        <v>0</v>
      </c>
      <c r="M595" s="54">
        <f>STOCK[[#This Row],[Precio Final]]*10%</f>
        <v>2.2</v>
      </c>
      <c r="N595" s="54">
        <v>-28.45</v>
      </c>
      <c r="O595" s="54">
        <v>0</v>
      </c>
      <c r="P595" s="54">
        <v>10.9</v>
      </c>
      <c r="Q595" s="71">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53" t="s">
        <v>1203</v>
      </c>
      <c r="F596" s="53" t="s">
        <v>88</v>
      </c>
      <c r="G596" s="53" t="s">
        <v>36</v>
      </c>
      <c r="H596" s="53">
        <f>STOCK[[#This Row],[Precio Final]]</f>
        <v>22</v>
      </c>
      <c r="I596" s="53">
        <f>STOCK[[#This Row],[Precio Venta Ideal (x1.5)]]</f>
        <v>22.65</v>
      </c>
      <c r="J596" s="70">
        <v>2</v>
      </c>
      <c r="K596" s="70">
        <f>SUMIFS(VENTAS[Cantidad],VENTAS[Código del producto Vendido],STOCK[[#This Row],[Code]])</f>
        <v>2</v>
      </c>
      <c r="L596" s="70">
        <f>STOCK[[#This Row],[Entradas]]-STOCK[[#This Row],[Salidas]]</f>
        <v>0</v>
      </c>
      <c r="M596" s="53">
        <f>STOCK[[#This Row],[Precio Final]]*10%</f>
        <v>2.2</v>
      </c>
      <c r="N596" s="53">
        <v>-14.22</v>
      </c>
      <c r="O596" s="53">
        <v>0</v>
      </c>
      <c r="P596" s="53">
        <v>10.9</v>
      </c>
      <c r="Q596" s="70">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54" t="s">
        <v>1207</v>
      </c>
      <c r="F597" s="54" t="s">
        <v>187</v>
      </c>
      <c r="G597" s="54" t="s">
        <v>36</v>
      </c>
      <c r="H597" s="54">
        <f>STOCK[[#This Row],[Precio Final]]</f>
        <v>20</v>
      </c>
      <c r="I597" s="54">
        <f>STOCK[[#This Row],[Precio Venta Ideal (x1.5)]]</f>
        <v>23.04</v>
      </c>
      <c r="J597" s="71">
        <v>1</v>
      </c>
      <c r="K597" s="71">
        <f>SUMIFS(VENTAS[Cantidad],VENTAS[Código del producto Vendido],STOCK[[#This Row],[Code]])</f>
        <v>1</v>
      </c>
      <c r="L597" s="71">
        <f>STOCK[[#This Row],[Entradas]]-STOCK[[#This Row],[Salidas]]</f>
        <v>0</v>
      </c>
      <c r="M597" s="54">
        <f>STOCK[[#This Row],[Precio Final]]*10%</f>
        <v>2</v>
      </c>
      <c r="N597" s="54">
        <v>0</v>
      </c>
      <c r="O597" s="54">
        <v>12.06</v>
      </c>
      <c r="P597" s="54">
        <v>10.36</v>
      </c>
      <c r="Q597" s="71">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53" t="s">
        <v>1209</v>
      </c>
      <c r="F598" s="53" t="s">
        <v>62</v>
      </c>
      <c r="G598" s="53" t="s">
        <v>36</v>
      </c>
      <c r="H598" s="53">
        <f>STOCK[[#This Row],[Precio Final]]</f>
        <v>20</v>
      </c>
      <c r="I598" s="53">
        <f>STOCK[[#This Row],[Precio Venta Ideal (x1.5)]]</f>
        <v>23.04</v>
      </c>
      <c r="J598" s="70">
        <v>1</v>
      </c>
      <c r="K598" s="70">
        <f>SUMIFS(VENTAS[Cantidad],VENTAS[Código del producto Vendido],STOCK[[#This Row],[Code]])</f>
        <v>1</v>
      </c>
      <c r="L598" s="70">
        <f>STOCK[[#This Row],[Entradas]]-STOCK[[#This Row],[Salidas]]</f>
        <v>0</v>
      </c>
      <c r="M598" s="53">
        <f>STOCK[[#This Row],[Precio Final]]*10%</f>
        <v>2</v>
      </c>
      <c r="N598" s="53">
        <v>-12.06</v>
      </c>
      <c r="O598" s="53">
        <v>0</v>
      </c>
      <c r="P598" s="53">
        <v>10.36</v>
      </c>
      <c r="Q598" s="70">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54" t="s">
        <v>1209</v>
      </c>
      <c r="F599" s="54" t="s">
        <v>62</v>
      </c>
      <c r="G599" s="54" t="s">
        <v>36</v>
      </c>
      <c r="H599" s="54">
        <f>STOCK[[#This Row],[Precio Final]]</f>
        <v>20</v>
      </c>
      <c r="I599" s="54">
        <f>STOCK[[#This Row],[Precio Venta Ideal (x1.5)]]</f>
        <v>23.04</v>
      </c>
      <c r="J599" s="71">
        <v>1</v>
      </c>
      <c r="K599" s="71">
        <f>SUMIFS(VENTAS[Cantidad],VENTAS[Código del producto Vendido],STOCK[[#This Row],[Code]])</f>
        <v>1</v>
      </c>
      <c r="L599" s="71">
        <f>STOCK[[#This Row],[Entradas]]-STOCK[[#This Row],[Salidas]]</f>
        <v>0</v>
      </c>
      <c r="M599" s="54">
        <f>STOCK[[#This Row],[Precio Final]]*10%</f>
        <v>2</v>
      </c>
      <c r="N599" s="54">
        <v>-12.06</v>
      </c>
      <c r="O599" s="54">
        <v>0</v>
      </c>
      <c r="P599" s="54">
        <v>10.36</v>
      </c>
      <c r="Q599" s="71">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53" t="s">
        <v>1213</v>
      </c>
      <c r="F600" s="53" t="s">
        <v>49</v>
      </c>
      <c r="G600" s="53" t="s">
        <v>36</v>
      </c>
      <c r="H600" s="53">
        <f>STOCK[[#This Row],[Precio Final]]</f>
        <v>18</v>
      </c>
      <c r="I600" s="53">
        <f>STOCK[[#This Row],[Precio Venta Ideal (x1.5)]]</f>
        <v>18.855</v>
      </c>
      <c r="J600" s="70">
        <v>3</v>
      </c>
      <c r="K600" s="70">
        <f>SUMIFS(VENTAS[Cantidad],VENTAS[Código del producto Vendido],STOCK[[#This Row],[Code]])</f>
        <v>3</v>
      </c>
      <c r="L600" s="70">
        <f>STOCK[[#This Row],[Entradas]]-STOCK[[#This Row],[Salidas]]</f>
        <v>0</v>
      </c>
      <c r="M600" s="53">
        <f>STOCK[[#This Row],[Precio Final]]*10%</f>
        <v>1.8</v>
      </c>
      <c r="N600" s="53">
        <v>0</v>
      </c>
      <c r="O600" s="53">
        <v>0</v>
      </c>
      <c r="P600" s="53">
        <v>7.77</v>
      </c>
      <c r="Q600" s="70">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54" t="s">
        <v>1213</v>
      </c>
      <c r="F601" s="54" t="s">
        <v>62</v>
      </c>
      <c r="G601" s="54" t="s">
        <v>36</v>
      </c>
      <c r="H601" s="54">
        <f>STOCK[[#This Row],[Precio Final]]</f>
        <v>18</v>
      </c>
      <c r="I601" s="54">
        <f>STOCK[[#This Row],[Precio Venta Ideal (x1.5)]]</f>
        <v>18.855</v>
      </c>
      <c r="J601" s="71">
        <v>1</v>
      </c>
      <c r="K601" s="71">
        <f>SUMIFS(VENTAS[Cantidad],VENTAS[Código del producto Vendido],STOCK[[#This Row],[Code]])</f>
        <v>1</v>
      </c>
      <c r="L601" s="71">
        <f>STOCK[[#This Row],[Entradas]]-STOCK[[#This Row],[Salidas]]</f>
        <v>0</v>
      </c>
      <c r="M601" s="54">
        <f>STOCK[[#This Row],[Precio Final]]*10%</f>
        <v>1.8</v>
      </c>
      <c r="N601" s="54">
        <v>0</v>
      </c>
      <c r="O601" s="54">
        <v>0</v>
      </c>
      <c r="P601" s="54">
        <v>7.77</v>
      </c>
      <c r="Q601" s="71">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53" t="s">
        <v>1178</v>
      </c>
      <c r="F602" s="53" t="s">
        <v>1216</v>
      </c>
      <c r="G602" s="53" t="s">
        <v>36</v>
      </c>
      <c r="H602" s="53">
        <f>STOCK[[#This Row],[Precio Final]]</f>
        <v>12</v>
      </c>
      <c r="I602" s="53">
        <f>STOCK[[#This Row],[Precio Venta Ideal (x1.5)]]</f>
        <v>16.965</v>
      </c>
      <c r="J602" s="70">
        <v>0</v>
      </c>
      <c r="K602" s="70">
        <f>SUMIFS(VENTAS[Cantidad],VENTAS[Código del producto Vendido],STOCK[[#This Row],[Code]])</f>
        <v>0</v>
      </c>
      <c r="L602" s="70">
        <f>STOCK[[#This Row],[Entradas]]-STOCK[[#This Row],[Salidas]]</f>
        <v>0</v>
      </c>
      <c r="M602" s="53">
        <f>STOCK[[#This Row],[Precio Final]]*10%</f>
        <v>1.2</v>
      </c>
      <c r="N602" s="53">
        <v>0</v>
      </c>
      <c r="O602" s="53">
        <v>0</v>
      </c>
      <c r="P602" s="53">
        <v>7.11</v>
      </c>
      <c r="Q602" s="70">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54" t="s">
        <v>1178</v>
      </c>
      <c r="F603" s="54" t="s">
        <v>46</v>
      </c>
      <c r="G603" s="54" t="s">
        <v>36</v>
      </c>
      <c r="H603" s="54">
        <f>STOCK[[#This Row],[Precio Final]]</f>
        <v>12</v>
      </c>
      <c r="I603" s="54">
        <f>STOCK[[#This Row],[Precio Venta Ideal (x1.5)]]</f>
        <v>17.325</v>
      </c>
      <c r="J603" s="71">
        <v>0</v>
      </c>
      <c r="K603" s="71">
        <f>SUMIFS(VENTAS[Cantidad],VENTAS[Código del producto Vendido],STOCK[[#This Row],[Code]])</f>
        <v>0</v>
      </c>
      <c r="L603" s="71">
        <f>STOCK[[#This Row],[Entradas]]-STOCK[[#This Row],[Salidas]]</f>
        <v>0</v>
      </c>
      <c r="M603" s="54">
        <f>STOCK[[#This Row],[Precio Final]]*10%</f>
        <v>1.2</v>
      </c>
      <c r="N603" s="54">
        <v>0</v>
      </c>
      <c r="O603" s="54">
        <v>0</v>
      </c>
      <c r="P603" s="54">
        <v>7.35</v>
      </c>
      <c r="Q603" s="71">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53" t="s">
        <v>1158</v>
      </c>
      <c r="F604" s="53" t="s">
        <v>211</v>
      </c>
      <c r="G604" s="53" t="s">
        <v>36</v>
      </c>
      <c r="H604" s="53">
        <f>STOCK[[#This Row],[Precio Final]]</f>
        <v>13</v>
      </c>
      <c r="I604" s="53">
        <f>STOCK[[#This Row],[Precio Venta Ideal (x1.5)]]</f>
        <v>14.745</v>
      </c>
      <c r="J604" s="70">
        <v>2</v>
      </c>
      <c r="K604" s="70">
        <f>SUMIFS(VENTAS[Cantidad],VENTAS[Código del producto Vendido],STOCK[[#This Row],[Code]])</f>
        <v>2</v>
      </c>
      <c r="L604" s="70">
        <f>STOCK[[#This Row],[Entradas]]-STOCK[[#This Row],[Salidas]]</f>
        <v>0</v>
      </c>
      <c r="M604" s="53">
        <f>STOCK[[#This Row],[Precio Final]]*10%</f>
        <v>1.3</v>
      </c>
      <c r="N604" s="53">
        <v>5.75</v>
      </c>
      <c r="O604" s="53">
        <v>0</v>
      </c>
      <c r="P604" s="53">
        <v>6.53</v>
      </c>
      <c r="Q604" s="70">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54" t="s">
        <v>1220</v>
      </c>
      <c r="G605" s="54" t="s">
        <v>36</v>
      </c>
      <c r="H605" s="54">
        <f>STOCK[[#This Row],[Precio Final]]</f>
        <v>13</v>
      </c>
      <c r="I605" s="54">
        <f>STOCK[[#This Row],[Precio Venta Ideal (x1.5)]]</f>
        <v>14.745</v>
      </c>
      <c r="J605" s="71">
        <v>0</v>
      </c>
      <c r="K605" s="71">
        <f>SUMIFS(VENTAS[Cantidad],VENTAS[Código del producto Vendido],STOCK[[#This Row],[Code]])</f>
        <v>0</v>
      </c>
      <c r="L605" s="71">
        <f>STOCK[[#This Row],[Entradas]]-STOCK[[#This Row],[Salidas]]</f>
        <v>0</v>
      </c>
      <c r="M605" s="54">
        <f>STOCK[[#This Row],[Precio Final]]*10%</f>
        <v>1.3</v>
      </c>
      <c r="N605" s="54">
        <v>0</v>
      </c>
      <c r="O605" s="54">
        <v>0</v>
      </c>
      <c r="P605" s="54">
        <v>6.53</v>
      </c>
      <c r="Q605" s="71">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53" t="s">
        <v>1222</v>
      </c>
      <c r="G606" s="53" t="s">
        <v>36</v>
      </c>
      <c r="H606" s="53">
        <f>STOCK[[#This Row],[Precio Final]]</f>
        <v>0</v>
      </c>
      <c r="I606" s="53">
        <f>STOCK[[#This Row],[Precio Venta Ideal (x1.5)]]</f>
        <v>0</v>
      </c>
      <c r="J606" s="70">
        <v>0</v>
      </c>
      <c r="K606" s="70">
        <f>SUMIFS(VENTAS[Cantidad],VENTAS[Código del producto Vendido],STOCK[[#This Row],[Code]])</f>
        <v>0</v>
      </c>
      <c r="L606" s="70">
        <f>STOCK[[#This Row],[Entradas]]-STOCK[[#This Row],[Salidas]]</f>
        <v>0</v>
      </c>
      <c r="M606" s="53">
        <f>STOCK[[#This Row],[Precio Final]]*10%</f>
        <v>0</v>
      </c>
      <c r="N606" s="53">
        <v>0</v>
      </c>
      <c r="O606" s="53">
        <v>0</v>
      </c>
      <c r="P606" s="53">
        <v>0</v>
      </c>
      <c r="Q606" s="70">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54" t="s">
        <v>1224</v>
      </c>
      <c r="G607" s="54" t="s">
        <v>36</v>
      </c>
      <c r="H607" s="54">
        <f>STOCK[[#This Row],[Precio Final]]</f>
        <v>0</v>
      </c>
      <c r="I607" s="54">
        <f>STOCK[[#This Row],[Precio Venta Ideal (x1.5)]]</f>
        <v>0</v>
      </c>
      <c r="J607" s="71">
        <v>0</v>
      </c>
      <c r="K607" s="71">
        <f>SUMIFS(VENTAS[Cantidad],VENTAS[Código del producto Vendido],STOCK[[#This Row],[Code]])</f>
        <v>0</v>
      </c>
      <c r="L607" s="71">
        <f>STOCK[[#This Row],[Entradas]]-STOCK[[#This Row],[Salidas]]</f>
        <v>0</v>
      </c>
      <c r="M607" s="54">
        <f>STOCK[[#This Row],[Precio Final]]*10%</f>
        <v>0</v>
      </c>
      <c r="N607" s="54">
        <v>0</v>
      </c>
      <c r="O607" s="54">
        <v>0</v>
      </c>
      <c r="P607" s="54">
        <v>0</v>
      </c>
      <c r="Q607" s="71">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53" t="s">
        <v>1227</v>
      </c>
      <c r="F608" s="53" t="s">
        <v>1228</v>
      </c>
      <c r="G608" s="53" t="s">
        <v>36</v>
      </c>
      <c r="H608" s="53">
        <f>STOCK[[#This Row],[Precio Final]]</f>
        <v>55</v>
      </c>
      <c r="I608" s="53">
        <f>STOCK[[#This Row],[Precio Venta Ideal (x1.5)]]</f>
        <v>70.995</v>
      </c>
      <c r="J608" s="70">
        <v>1</v>
      </c>
      <c r="K608" s="70">
        <f>SUMIFS(VENTAS[Cantidad],VENTAS[Código del producto Vendido],STOCK[[#This Row],[Code]])</f>
        <v>1</v>
      </c>
      <c r="L608" s="70">
        <f>STOCK[[#This Row],[Entradas]]-STOCK[[#This Row],[Salidas]]</f>
        <v>0</v>
      </c>
      <c r="M608" s="53">
        <f>STOCK[[#This Row],[Precio Final]]*10%</f>
        <v>5.5</v>
      </c>
      <c r="N608" s="53">
        <v>0</v>
      </c>
      <c r="O608" s="53">
        <v>0</v>
      </c>
      <c r="P608" s="53">
        <v>31.83</v>
      </c>
      <c r="Q608" s="70">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54" t="s">
        <v>1230</v>
      </c>
      <c r="G609" s="54" t="s">
        <v>36</v>
      </c>
      <c r="H609" s="54">
        <f>STOCK[[#This Row],[Precio Final]]</f>
        <v>0</v>
      </c>
      <c r="I609" s="54">
        <f>STOCK[[#This Row],[Precio Venta Ideal (x1.5)]]</f>
        <v>0</v>
      </c>
      <c r="J609" s="71">
        <v>0</v>
      </c>
      <c r="K609" s="71">
        <f>SUMIFS(VENTAS[Cantidad],VENTAS[Código del producto Vendido],STOCK[[#This Row],[Code]])</f>
        <v>0</v>
      </c>
      <c r="L609" s="71">
        <f>STOCK[[#This Row],[Entradas]]-STOCK[[#This Row],[Salidas]]</f>
        <v>0</v>
      </c>
      <c r="M609" s="54">
        <f>STOCK[[#This Row],[Precio Final]]*10%</f>
        <v>0</v>
      </c>
      <c r="N609" s="54">
        <v>0</v>
      </c>
      <c r="O609" s="54">
        <v>0</v>
      </c>
      <c r="P609" s="54">
        <v>0</v>
      </c>
      <c r="Q609" s="71">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53" t="s">
        <v>1232</v>
      </c>
      <c r="F610" s="53" t="s">
        <v>1047</v>
      </c>
      <c r="G610" s="53" t="s">
        <v>36</v>
      </c>
      <c r="H610" s="53">
        <f>STOCK[[#This Row],[Precio Final]]</f>
        <v>0</v>
      </c>
      <c r="I610" s="53">
        <f>STOCK[[#This Row],[Precio Venta Ideal (x1.5)]]</f>
        <v>0</v>
      </c>
      <c r="J610" s="70">
        <v>0</v>
      </c>
      <c r="K610" s="70">
        <f>SUMIFS(VENTAS[Cantidad],VENTAS[Código del producto Vendido],STOCK[[#This Row],[Code]])</f>
        <v>0</v>
      </c>
      <c r="L610" s="70">
        <f>STOCK[[#This Row],[Entradas]]-STOCK[[#This Row],[Salidas]]</f>
        <v>0</v>
      </c>
      <c r="M610" s="53">
        <f>STOCK[[#This Row],[Precio Final]]*10%</f>
        <v>0</v>
      </c>
      <c r="N610" s="53">
        <v>0</v>
      </c>
      <c r="O610" s="53">
        <v>0</v>
      </c>
      <c r="P610" s="53">
        <v>0</v>
      </c>
      <c r="Q610" s="70">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54" t="s">
        <v>1234</v>
      </c>
      <c r="F611" s="54" t="s">
        <v>211</v>
      </c>
      <c r="G611" s="54" t="s">
        <v>36</v>
      </c>
      <c r="H611" s="54">
        <f>STOCK[[#This Row],[Precio Final]]</f>
        <v>22</v>
      </c>
      <c r="I611" s="54">
        <f>STOCK[[#This Row],[Precio Venta Ideal (x1.5)]]</f>
        <v>24.855</v>
      </c>
      <c r="J611" s="71">
        <v>4</v>
      </c>
      <c r="K611" s="71">
        <f>SUMIFS(VENTAS[Cantidad],VENTAS[Código del producto Vendido],STOCK[[#This Row],[Code]])</f>
        <v>4</v>
      </c>
      <c r="L611" s="71">
        <f>STOCK[[#This Row],[Entradas]]-STOCK[[#This Row],[Salidas]]</f>
        <v>0</v>
      </c>
      <c r="M611" s="54">
        <f>STOCK[[#This Row],[Precio Final]]*10%</f>
        <v>2.2</v>
      </c>
      <c r="N611" s="54">
        <v>-27.89</v>
      </c>
      <c r="O611" s="54">
        <v>13.94</v>
      </c>
      <c r="P611" s="54">
        <v>11.37</v>
      </c>
      <c r="Q611" s="71">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53" t="s">
        <v>1236</v>
      </c>
      <c r="F612" s="53" t="s">
        <v>46</v>
      </c>
      <c r="G612" s="53" t="s">
        <v>36</v>
      </c>
      <c r="H612" s="53">
        <f>STOCK[[#This Row],[Precio Final]]</f>
        <v>22</v>
      </c>
      <c r="I612" s="53">
        <f>STOCK[[#This Row],[Precio Venta Ideal (x1.5)]]</f>
        <v>24.855</v>
      </c>
      <c r="J612" s="70">
        <v>3</v>
      </c>
      <c r="K612" s="70">
        <f>SUMIFS(VENTAS[Cantidad],VENTAS[Código del producto Vendido],STOCK[[#This Row],[Code]])</f>
        <v>3</v>
      </c>
      <c r="L612" s="70">
        <f>STOCK[[#This Row],[Entradas]]-STOCK[[#This Row],[Salidas]]</f>
        <v>0</v>
      </c>
      <c r="M612" s="53">
        <f>STOCK[[#This Row],[Precio Final]]*10%</f>
        <v>2.2</v>
      </c>
      <c r="N612" s="53">
        <v>0</v>
      </c>
      <c r="O612" s="53">
        <v>41.83</v>
      </c>
      <c r="P612" s="53">
        <v>11.37</v>
      </c>
      <c r="Q612" s="70">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54" t="s">
        <v>1239</v>
      </c>
      <c r="F613" s="54" t="s">
        <v>1240</v>
      </c>
      <c r="G613" s="54" t="s">
        <v>36</v>
      </c>
      <c r="H613" s="54">
        <f>STOCK[[#This Row],[Precio Final]]</f>
        <v>10</v>
      </c>
      <c r="I613" s="54">
        <f>STOCK[[#This Row],[Precio Venta Ideal (x1.5)]]</f>
        <v>9.255</v>
      </c>
      <c r="J613" s="71">
        <v>3</v>
      </c>
      <c r="K613" s="71">
        <f>SUMIFS(VENTAS[Cantidad],VENTAS[Código del producto Vendido],STOCK[[#This Row],[Code]])</f>
        <v>3</v>
      </c>
      <c r="L613" s="71">
        <f>STOCK[[#This Row],[Entradas]]-STOCK[[#This Row],[Salidas]]</f>
        <v>0</v>
      </c>
      <c r="M613" s="54">
        <f>STOCK[[#This Row],[Precio Final]]*10%</f>
        <v>1</v>
      </c>
      <c r="N613" s="54">
        <v>-5.88</v>
      </c>
      <c r="O613" s="54">
        <v>11.76</v>
      </c>
      <c r="P613" s="54">
        <v>4.17</v>
      </c>
      <c r="Q613" s="71">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53" t="s">
        <v>1242</v>
      </c>
      <c r="F614" s="53" t="s">
        <v>525</v>
      </c>
      <c r="G614" s="53" t="s">
        <v>36</v>
      </c>
      <c r="H614" s="53">
        <f>STOCK[[#This Row],[Precio Final]]</f>
        <v>12</v>
      </c>
      <c r="I614" s="53">
        <f>STOCK[[#This Row],[Precio Venta Ideal (x1.5)]]</f>
        <v>8.715</v>
      </c>
      <c r="J614" s="70">
        <v>3</v>
      </c>
      <c r="K614" s="70">
        <f>SUMIFS(VENTAS[Cantidad],VENTAS[Código del producto Vendido],STOCK[[#This Row],[Code]])</f>
        <v>3</v>
      </c>
      <c r="L614" s="70">
        <f>STOCK[[#This Row],[Entradas]]-STOCK[[#This Row],[Salidas]]</f>
        <v>0</v>
      </c>
      <c r="M614" s="53">
        <f>STOCK[[#This Row],[Precio Final]]*10%</f>
        <v>1.2</v>
      </c>
      <c r="N614" s="53">
        <v>-16.01</v>
      </c>
      <c r="O614" s="53">
        <v>0</v>
      </c>
      <c r="P614" s="53">
        <v>3.61</v>
      </c>
      <c r="Q614" s="70">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54" t="s">
        <v>1239</v>
      </c>
      <c r="F615" s="54" t="s">
        <v>525</v>
      </c>
      <c r="G615" s="54" t="s">
        <v>36</v>
      </c>
      <c r="H615" s="54">
        <f>STOCK[[#This Row],[Precio Final]]</f>
        <v>10</v>
      </c>
      <c r="I615" s="54">
        <f>STOCK[[#This Row],[Precio Venta Ideal (x1.5)]]</f>
        <v>7.635</v>
      </c>
      <c r="J615" s="71">
        <v>4</v>
      </c>
      <c r="K615" s="71">
        <f>SUMIFS(VENTAS[Cantidad],VENTAS[Código del producto Vendido],STOCK[[#This Row],[Code]])</f>
        <v>2</v>
      </c>
      <c r="L615" s="71">
        <f>STOCK[[#This Row],[Entradas]]-STOCK[[#This Row],[Salidas]]</f>
        <v>2</v>
      </c>
      <c r="M615" s="54">
        <f>STOCK[[#This Row],[Precio Final]]*10%</f>
        <v>1</v>
      </c>
      <c r="N615" s="54">
        <v>-4.79</v>
      </c>
      <c r="O615" s="54">
        <v>14.37</v>
      </c>
      <c r="P615" s="54">
        <v>3.09</v>
      </c>
      <c r="Q615" s="71">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53" t="s">
        <v>1245</v>
      </c>
      <c r="F616" s="53" t="s">
        <v>1246</v>
      </c>
      <c r="G616" s="53" t="s">
        <v>36</v>
      </c>
      <c r="H616" s="53">
        <f>STOCK[[#This Row],[Precio Final]]</f>
        <v>25</v>
      </c>
      <c r="I616" s="53">
        <f>STOCK[[#This Row],[Precio Venta Ideal (x1.5)]]</f>
        <v>34.92</v>
      </c>
      <c r="J616" s="70">
        <v>2</v>
      </c>
      <c r="K616" s="70">
        <f>SUMIFS(VENTAS[Cantidad],VENTAS[Código del producto Vendido],STOCK[[#This Row],[Code]])</f>
        <v>2</v>
      </c>
      <c r="L616" s="70">
        <f>STOCK[[#This Row],[Entradas]]-STOCK[[#This Row],[Salidas]]</f>
        <v>0</v>
      </c>
      <c r="M616" s="53">
        <f>STOCK[[#This Row],[Precio Final]]*10%</f>
        <v>2.5</v>
      </c>
      <c r="N616" s="53">
        <v>-20.15</v>
      </c>
      <c r="O616" s="53">
        <v>20.15</v>
      </c>
      <c r="P616" s="53">
        <v>15.78</v>
      </c>
      <c r="Q616" s="70">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54" t="s">
        <v>1248</v>
      </c>
      <c r="G617" s="54" t="s">
        <v>36</v>
      </c>
      <c r="H617" s="54">
        <f>STOCK[[#This Row],[Precio Final]]</f>
        <v>18</v>
      </c>
      <c r="I617" s="54">
        <f>STOCK[[#This Row],[Precio Venta Ideal (x1.5)]]</f>
        <v>27.09</v>
      </c>
      <c r="J617" s="71">
        <v>0</v>
      </c>
      <c r="K617" s="71">
        <f>SUMIFS(VENTAS[Cantidad],VENTAS[Código del producto Vendido],STOCK[[#This Row],[Code]])</f>
        <v>0</v>
      </c>
      <c r="L617" s="71">
        <f>STOCK[[#This Row],[Entradas]]-STOCK[[#This Row],[Salidas]]</f>
        <v>0</v>
      </c>
      <c r="M617" s="54">
        <f>STOCK[[#This Row],[Precio Final]]*10%</f>
        <v>1.8</v>
      </c>
      <c r="N617" s="54">
        <v>0</v>
      </c>
      <c r="O617" s="54">
        <v>0</v>
      </c>
      <c r="P617" s="54">
        <v>13.26</v>
      </c>
      <c r="Q617" s="71">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53" t="s">
        <v>1250</v>
      </c>
      <c r="G618" s="53" t="s">
        <v>36</v>
      </c>
      <c r="H618" s="53">
        <f>STOCK[[#This Row],[Precio Final]]</f>
        <v>18</v>
      </c>
      <c r="I618" s="53">
        <f>STOCK[[#This Row],[Precio Venta Ideal (x1.5)]]</f>
        <v>27.63</v>
      </c>
      <c r="J618" s="70">
        <v>0</v>
      </c>
      <c r="K618" s="70">
        <f>SUMIFS(VENTAS[Cantidad],VENTAS[Código del producto Vendido],STOCK[[#This Row],[Code]])</f>
        <v>0</v>
      </c>
      <c r="L618" s="70">
        <f>STOCK[[#This Row],[Entradas]]-STOCK[[#This Row],[Salidas]]</f>
        <v>0</v>
      </c>
      <c r="M618" s="53">
        <f>STOCK[[#This Row],[Precio Final]]*10%</f>
        <v>1.8</v>
      </c>
      <c r="N618" s="53">
        <v>0</v>
      </c>
      <c r="O618" s="53">
        <v>0</v>
      </c>
      <c r="P618" s="53">
        <v>13.62</v>
      </c>
      <c r="Q618" s="70">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54" t="s">
        <v>1252</v>
      </c>
      <c r="F619" s="54" t="s">
        <v>49</v>
      </c>
      <c r="G619" s="54" t="s">
        <v>36</v>
      </c>
      <c r="H619" s="54">
        <f>STOCK[[#This Row],[Precio Final]]</f>
        <v>18</v>
      </c>
      <c r="I619" s="54">
        <f>STOCK[[#This Row],[Precio Venta Ideal (x1.5)]]</f>
        <v>24.57</v>
      </c>
      <c r="J619" s="71">
        <v>0</v>
      </c>
      <c r="K619" s="71">
        <f>SUMIFS(VENTAS[Cantidad],VENTAS[Código del producto Vendido],STOCK[[#This Row],[Code]])</f>
        <v>0</v>
      </c>
      <c r="L619" s="71">
        <f>STOCK[[#This Row],[Entradas]]-STOCK[[#This Row],[Salidas]]</f>
        <v>0</v>
      </c>
      <c r="M619" s="54">
        <f>STOCK[[#This Row],[Precio Final]]*10%</f>
        <v>1.8</v>
      </c>
      <c r="N619" s="54">
        <v>0</v>
      </c>
      <c r="O619" s="54">
        <v>0</v>
      </c>
      <c r="P619" s="54">
        <v>11.58</v>
      </c>
      <c r="Q619" s="71">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53" t="s">
        <v>1254</v>
      </c>
      <c r="F620" s="53" t="s">
        <v>49</v>
      </c>
      <c r="G620" s="53" t="s">
        <v>36</v>
      </c>
      <c r="H620" s="53">
        <f>STOCK[[#This Row],[Precio Final]]</f>
        <v>25</v>
      </c>
      <c r="I620" s="53">
        <f>STOCK[[#This Row],[Precio Venta Ideal (x1.5)]]</f>
        <v>31.2</v>
      </c>
      <c r="J620" s="70">
        <v>1</v>
      </c>
      <c r="K620" s="70">
        <f>SUMIFS(VENTAS[Cantidad],VENTAS[Código del producto Vendido],STOCK[[#This Row],[Code]])</f>
        <v>1</v>
      </c>
      <c r="L620" s="70">
        <f>STOCK[[#This Row],[Entradas]]-STOCK[[#This Row],[Salidas]]</f>
        <v>0</v>
      </c>
      <c r="M620" s="53">
        <f>STOCK[[#This Row],[Precio Final]]*10%</f>
        <v>2.5</v>
      </c>
      <c r="N620" s="53">
        <v>-18.52</v>
      </c>
      <c r="O620" s="53">
        <v>0</v>
      </c>
      <c r="P620" s="53">
        <v>13.3</v>
      </c>
      <c r="Q620" s="70">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54" t="s">
        <v>1254</v>
      </c>
      <c r="F621" s="54" t="s">
        <v>46</v>
      </c>
      <c r="G621" s="54" t="s">
        <v>36</v>
      </c>
      <c r="H621" s="54">
        <f>STOCK[[#This Row],[Precio Final]]</f>
        <v>25</v>
      </c>
      <c r="I621" s="54">
        <f>STOCK[[#This Row],[Precio Venta Ideal (x1.5)]]</f>
        <v>31.2</v>
      </c>
      <c r="J621" s="71">
        <v>1</v>
      </c>
      <c r="K621" s="71">
        <f>SUMIFS(VENTAS[Cantidad],VENTAS[Código del producto Vendido],STOCK[[#This Row],[Code]])</f>
        <v>1</v>
      </c>
      <c r="L621" s="71">
        <f>STOCK[[#This Row],[Entradas]]-STOCK[[#This Row],[Salidas]]</f>
        <v>0</v>
      </c>
      <c r="M621" s="54">
        <f>STOCK[[#This Row],[Precio Final]]*10%</f>
        <v>2.5</v>
      </c>
      <c r="N621" s="54">
        <v>-18.52</v>
      </c>
      <c r="O621" s="54">
        <v>0</v>
      </c>
      <c r="P621" s="54">
        <v>13.3</v>
      </c>
      <c r="Q621" s="71">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53" t="s">
        <v>1254</v>
      </c>
      <c r="F622" s="53" t="s">
        <v>49</v>
      </c>
      <c r="G622" s="53" t="s">
        <v>36</v>
      </c>
      <c r="H622" s="53">
        <f>STOCK[[#This Row],[Precio Final]]</f>
        <v>25</v>
      </c>
      <c r="I622" s="53">
        <f>STOCK[[#This Row],[Precio Venta Ideal (x1.5)]]</f>
        <v>31.2</v>
      </c>
      <c r="J622" s="70">
        <v>1</v>
      </c>
      <c r="K622" s="70">
        <f>SUMIFS(VENTAS[Cantidad],VENTAS[Código del producto Vendido],STOCK[[#This Row],[Code]])</f>
        <v>1</v>
      </c>
      <c r="L622" s="70">
        <f>STOCK[[#This Row],[Entradas]]-STOCK[[#This Row],[Salidas]]</f>
        <v>0</v>
      </c>
      <c r="M622" s="53">
        <f>STOCK[[#This Row],[Precio Final]]*10%</f>
        <v>2.5</v>
      </c>
      <c r="N622" s="53">
        <v>-18.52</v>
      </c>
      <c r="O622" s="53">
        <v>0</v>
      </c>
      <c r="P622" s="53">
        <v>13.3</v>
      </c>
      <c r="Q622" s="70">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54" t="s">
        <v>1258</v>
      </c>
      <c r="F623" s="54" t="s">
        <v>49</v>
      </c>
      <c r="G623" s="54" t="s">
        <v>36</v>
      </c>
      <c r="H623" s="54">
        <f>STOCK[[#This Row],[Precio Final]]</f>
        <v>35</v>
      </c>
      <c r="I623" s="54">
        <f>STOCK[[#This Row],[Precio Venta Ideal (x1.5)]]</f>
        <v>40.38</v>
      </c>
      <c r="J623" s="71">
        <v>1</v>
      </c>
      <c r="K623" s="71">
        <f>SUMIFS(VENTAS[Cantidad],VENTAS[Código del producto Vendido],STOCK[[#This Row],[Code]])</f>
        <v>1</v>
      </c>
      <c r="L623" s="71">
        <f>STOCK[[#This Row],[Entradas]]-STOCK[[#This Row],[Salidas]]</f>
        <v>0</v>
      </c>
      <c r="M623" s="54">
        <f>STOCK[[#This Row],[Precio Final]]*10%</f>
        <v>3.5</v>
      </c>
      <c r="N623" s="54">
        <v>-25.28</v>
      </c>
      <c r="O623" s="54">
        <v>0</v>
      </c>
      <c r="P623" s="54">
        <v>18.42</v>
      </c>
      <c r="Q623" s="71">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53" t="s">
        <v>1260</v>
      </c>
      <c r="F624" s="53" t="s">
        <v>1261</v>
      </c>
      <c r="G624" s="53" t="s">
        <v>36</v>
      </c>
      <c r="H624" s="53">
        <f>STOCK[[#This Row],[Precio Final]]</f>
        <v>35</v>
      </c>
      <c r="I624" s="53">
        <f>STOCK[[#This Row],[Precio Venta Ideal (x1.5)]]</f>
        <v>41.175</v>
      </c>
      <c r="J624" s="70">
        <v>3</v>
      </c>
      <c r="K624" s="70">
        <f>SUMIFS(VENTAS[Cantidad],VENTAS[Código del producto Vendido],STOCK[[#This Row],[Code]])</f>
        <v>3</v>
      </c>
      <c r="L624" s="70">
        <f>STOCK[[#This Row],[Entradas]]-STOCK[[#This Row],[Salidas]]</f>
        <v>0</v>
      </c>
      <c r="M624" s="53">
        <f>STOCK[[#This Row],[Precio Final]]*10%</f>
        <v>3.5</v>
      </c>
      <c r="N624" s="53">
        <v>0</v>
      </c>
      <c r="O624" s="53">
        <v>49.6</v>
      </c>
      <c r="P624" s="53">
        <v>17.95</v>
      </c>
      <c r="Q624" s="70">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54" t="s">
        <v>1263</v>
      </c>
      <c r="F625" s="54" t="s">
        <v>46</v>
      </c>
      <c r="G625" s="54" t="s">
        <v>36</v>
      </c>
      <c r="H625" s="54">
        <f>STOCK[[#This Row],[Precio Final]]</f>
        <v>35</v>
      </c>
      <c r="I625" s="54">
        <f>STOCK[[#This Row],[Precio Venta Ideal (x1.5)]]</f>
        <v>41.175</v>
      </c>
      <c r="J625" s="71">
        <v>2</v>
      </c>
      <c r="K625" s="71">
        <f>SUMIFS(VENTAS[Cantidad],VENTAS[Código del producto Vendido],STOCK[[#This Row],[Code]])</f>
        <v>2</v>
      </c>
      <c r="L625" s="71">
        <f>STOCK[[#This Row],[Entradas]]-STOCK[[#This Row],[Salidas]]</f>
        <v>0</v>
      </c>
      <c r="M625" s="54">
        <f>STOCK[[#This Row],[Precio Final]]*10%</f>
        <v>3.5</v>
      </c>
      <c r="N625" s="54">
        <v>-49.6</v>
      </c>
      <c r="O625" s="54">
        <v>0</v>
      </c>
      <c r="P625" s="54">
        <v>17.95</v>
      </c>
      <c r="Q625" s="71">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53" t="s">
        <v>1263</v>
      </c>
      <c r="F626" s="53" t="s">
        <v>62</v>
      </c>
      <c r="G626" s="53" t="s">
        <v>36</v>
      </c>
      <c r="H626" s="53">
        <f>STOCK[[#This Row],[Precio Final]]</f>
        <v>35</v>
      </c>
      <c r="I626" s="53">
        <f>STOCK[[#This Row],[Precio Venta Ideal (x1.5)]]</f>
        <v>41.175</v>
      </c>
      <c r="J626" s="70">
        <v>2</v>
      </c>
      <c r="K626" s="70">
        <f>SUMIFS(VENTAS[Cantidad],VENTAS[Código del producto Vendido],STOCK[[#This Row],[Code]])</f>
        <v>2</v>
      </c>
      <c r="L626" s="70">
        <f>STOCK[[#This Row],[Entradas]]-STOCK[[#This Row],[Salidas]]</f>
        <v>0</v>
      </c>
      <c r="M626" s="53">
        <f>STOCK[[#This Row],[Precio Final]]*10%</f>
        <v>3.5</v>
      </c>
      <c r="N626" s="53">
        <v>0</v>
      </c>
      <c r="O626" s="53">
        <v>24.8</v>
      </c>
      <c r="P626" s="53">
        <v>17.95</v>
      </c>
      <c r="Q626" s="70">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54" t="s">
        <v>1266</v>
      </c>
      <c r="F627" s="54" t="s">
        <v>49</v>
      </c>
      <c r="G627" s="54" t="s">
        <v>36</v>
      </c>
      <c r="H627" s="54">
        <f>STOCK[[#This Row],[Precio Final]]</f>
        <v>23</v>
      </c>
      <c r="I627" s="54">
        <f>STOCK[[#This Row],[Precio Venta Ideal (x1.5)]]</f>
        <v>26.28</v>
      </c>
      <c r="J627" s="71">
        <v>3</v>
      </c>
      <c r="K627" s="71">
        <f>SUMIFS(VENTAS[Cantidad],VENTAS[Código del producto Vendido],STOCK[[#This Row],[Code]])</f>
        <v>2</v>
      </c>
      <c r="L627" s="71">
        <f>STOCK[[#This Row],[Entradas]]-STOCK[[#This Row],[Salidas]]</f>
        <v>1</v>
      </c>
      <c r="M627" s="54">
        <f>STOCK[[#This Row],[Precio Final]]*10%</f>
        <v>2.3</v>
      </c>
      <c r="N627" s="54">
        <v>0</v>
      </c>
      <c r="O627" s="54">
        <v>0</v>
      </c>
      <c r="P627" s="54">
        <v>10.22</v>
      </c>
      <c r="Q627" s="71">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53" t="s">
        <v>1268</v>
      </c>
      <c r="F628" s="53" t="s">
        <v>40</v>
      </c>
      <c r="G628" s="53" t="s">
        <v>36</v>
      </c>
      <c r="H628" s="53">
        <f>STOCK[[#This Row],[Precio Final]]</f>
        <v>10</v>
      </c>
      <c r="I628" s="53">
        <f>STOCK[[#This Row],[Precio Venta Ideal (x1.5)]]</f>
        <v>10.155</v>
      </c>
      <c r="J628" s="70">
        <v>2</v>
      </c>
      <c r="K628" s="70">
        <f>SUMIFS(VENTAS[Cantidad],VENTAS[Código del producto Vendido],STOCK[[#This Row],[Code]])</f>
        <v>2</v>
      </c>
      <c r="L628" s="70">
        <f>STOCK[[#This Row],[Entradas]]-STOCK[[#This Row],[Salidas]]</f>
        <v>0</v>
      </c>
      <c r="M628" s="53">
        <f>STOCK[[#This Row],[Precio Final]]*10%</f>
        <v>1</v>
      </c>
      <c r="N628" s="53">
        <v>-9.17</v>
      </c>
      <c r="O628" s="53">
        <v>0</v>
      </c>
      <c r="P628" s="53">
        <v>3.77</v>
      </c>
      <c r="Q628" s="70">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54" t="s">
        <v>1270</v>
      </c>
      <c r="F629" s="54" t="s">
        <v>586</v>
      </c>
      <c r="G629" s="54" t="s">
        <v>36</v>
      </c>
      <c r="H629" s="54">
        <f>STOCK[[#This Row],[Precio Final]]</f>
        <v>10</v>
      </c>
      <c r="I629" s="54">
        <f>STOCK[[#This Row],[Precio Venta Ideal (x1.5)]]</f>
        <v>10.155</v>
      </c>
      <c r="J629" s="71">
        <v>2</v>
      </c>
      <c r="K629" s="71">
        <f>SUMIFS(VENTAS[Cantidad],VENTAS[Código del producto Vendido],STOCK[[#This Row],[Code]])</f>
        <v>2</v>
      </c>
      <c r="L629" s="71">
        <f>STOCK[[#This Row],[Entradas]]-STOCK[[#This Row],[Salidas]]</f>
        <v>0</v>
      </c>
      <c r="M629" s="54">
        <f>STOCK[[#This Row],[Precio Final]]*10%</f>
        <v>1</v>
      </c>
      <c r="N629" s="54">
        <v>0</v>
      </c>
      <c r="O629" s="54">
        <v>9.17</v>
      </c>
      <c r="P629" s="54">
        <v>3.77</v>
      </c>
      <c r="Q629" s="71">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53" t="s">
        <v>1272</v>
      </c>
      <c r="F630" s="53" t="s">
        <v>40</v>
      </c>
      <c r="G630" s="53" t="s">
        <v>36</v>
      </c>
      <c r="H630" s="53">
        <f>STOCK[[#This Row],[Precio Final]]</f>
        <v>12</v>
      </c>
      <c r="I630" s="53">
        <f>STOCK[[#This Row],[Precio Venta Ideal (x1.5)]]</f>
        <v>13.755</v>
      </c>
      <c r="J630" s="70">
        <v>2</v>
      </c>
      <c r="K630" s="70">
        <f>SUMIFS(VENTAS[Cantidad],VENTAS[Código del producto Vendido],STOCK[[#This Row],[Code]])</f>
        <v>2</v>
      </c>
      <c r="L630" s="70">
        <f>STOCK[[#This Row],[Entradas]]-STOCK[[#This Row],[Salidas]]</f>
        <v>0</v>
      </c>
      <c r="M630" s="53">
        <f>STOCK[[#This Row],[Precio Final]]*10%</f>
        <v>1.2</v>
      </c>
      <c r="N630" s="53">
        <v>-11.76</v>
      </c>
      <c r="O630" s="53">
        <v>5.88</v>
      </c>
      <c r="P630" s="53">
        <v>4.97</v>
      </c>
      <c r="Q630" s="70">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54" t="s">
        <v>1272</v>
      </c>
      <c r="F631" s="54" t="s">
        <v>46</v>
      </c>
      <c r="G631" s="54" t="s">
        <v>36</v>
      </c>
      <c r="H631" s="54">
        <f>STOCK[[#This Row],[Precio Final]]</f>
        <v>12</v>
      </c>
      <c r="I631" s="54">
        <f>STOCK[[#This Row],[Precio Venta Ideal (x1.5)]]</f>
        <v>13.755</v>
      </c>
      <c r="J631" s="71">
        <v>3</v>
      </c>
      <c r="K631" s="71">
        <f>SUMIFS(VENTAS[Cantidad],VENTAS[Código del producto Vendido],STOCK[[#This Row],[Code]])</f>
        <v>3</v>
      </c>
      <c r="L631" s="71">
        <f>STOCK[[#This Row],[Entradas]]-STOCK[[#This Row],[Salidas]]</f>
        <v>0</v>
      </c>
      <c r="M631" s="54">
        <f>STOCK[[#This Row],[Precio Final]]*10%</f>
        <v>1.2</v>
      </c>
      <c r="N631" s="54">
        <v>-21.21</v>
      </c>
      <c r="O631" s="54">
        <v>0</v>
      </c>
      <c r="P631" s="54">
        <v>4.97</v>
      </c>
      <c r="Q631" s="71">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53" t="s">
        <v>1275</v>
      </c>
      <c r="F632" s="53" t="s">
        <v>1276</v>
      </c>
      <c r="G632" s="53" t="s">
        <v>36</v>
      </c>
      <c r="H632" s="53">
        <f>STOCK[[#This Row],[Precio Final]]</f>
        <v>12</v>
      </c>
      <c r="I632" s="53">
        <f>STOCK[[#This Row],[Precio Venta Ideal (x1.5)]]</f>
        <v>13.755</v>
      </c>
      <c r="J632" s="70">
        <v>3</v>
      </c>
      <c r="K632" s="70">
        <f>SUMIFS(VENTAS[Cantidad],VENTAS[Código del producto Vendido],STOCK[[#This Row],[Code]])</f>
        <v>3</v>
      </c>
      <c r="L632" s="70">
        <f>STOCK[[#This Row],[Entradas]]-STOCK[[#This Row],[Salidas]]</f>
        <v>0</v>
      </c>
      <c r="M632" s="53">
        <f>STOCK[[#This Row],[Precio Final]]*10%</f>
        <v>1.2</v>
      </c>
      <c r="N632" s="53">
        <v>-14.14</v>
      </c>
      <c r="O632" s="53">
        <v>0</v>
      </c>
      <c r="P632" s="53">
        <v>4.97</v>
      </c>
      <c r="Q632" s="70">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54" t="s">
        <v>1278</v>
      </c>
      <c r="F633" s="54" t="s">
        <v>339</v>
      </c>
      <c r="G633" s="54" t="s">
        <v>36</v>
      </c>
      <c r="H633" s="54">
        <f>STOCK[[#This Row],[Precio Final]]</f>
        <v>12</v>
      </c>
      <c r="I633" s="54">
        <f>STOCK[[#This Row],[Precio Venta Ideal (x1.5)]]</f>
        <v>13.935</v>
      </c>
      <c r="J633" s="71">
        <v>2</v>
      </c>
      <c r="K633" s="71">
        <f>SUMIFS(VENTAS[Cantidad],VENTAS[Código del producto Vendido],STOCK[[#This Row],[Code]])</f>
        <v>2</v>
      </c>
      <c r="L633" s="71">
        <f>STOCK[[#This Row],[Entradas]]-STOCK[[#This Row],[Salidas]]</f>
        <v>0</v>
      </c>
      <c r="M633" s="54">
        <f>STOCK[[#This Row],[Precio Final]]*10%</f>
        <v>1.2</v>
      </c>
      <c r="N633" s="54">
        <v>0</v>
      </c>
      <c r="O633" s="54">
        <v>14.26</v>
      </c>
      <c r="P633" s="54">
        <v>5.09</v>
      </c>
      <c r="Q633" s="71">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53" t="s">
        <v>1280</v>
      </c>
      <c r="F634" s="53" t="s">
        <v>46</v>
      </c>
      <c r="G634" s="53" t="s">
        <v>36</v>
      </c>
      <c r="H634" s="53">
        <f>STOCK[[#This Row],[Precio Final]]</f>
        <v>12</v>
      </c>
      <c r="I634" s="53">
        <f>STOCK[[#This Row],[Precio Venta Ideal (x1.5)]]</f>
        <v>13.935</v>
      </c>
      <c r="J634" s="70">
        <v>3</v>
      </c>
      <c r="K634" s="70">
        <f>SUMIFS(VENTAS[Cantidad],VENTAS[Código del producto Vendido],STOCK[[#This Row],[Code]])</f>
        <v>3</v>
      </c>
      <c r="L634" s="70">
        <f>STOCK[[#This Row],[Entradas]]-STOCK[[#This Row],[Salidas]]</f>
        <v>0</v>
      </c>
      <c r="M634" s="53">
        <f>STOCK[[#This Row],[Precio Final]]*10%</f>
        <v>1.2</v>
      </c>
      <c r="N634" s="53">
        <v>-21.39</v>
      </c>
      <c r="O634" s="53">
        <v>0</v>
      </c>
      <c r="P634" s="53">
        <v>5.09</v>
      </c>
      <c r="Q634" s="70">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54" t="s">
        <v>1282</v>
      </c>
      <c r="F635" s="54" t="s">
        <v>62</v>
      </c>
      <c r="G635" s="54" t="s">
        <v>36</v>
      </c>
      <c r="H635" s="54">
        <f>STOCK[[#This Row],[Precio Final]]</f>
        <v>22</v>
      </c>
      <c r="I635" s="54">
        <f>STOCK[[#This Row],[Precio Venta Ideal (x1.5)]]</f>
        <v>24.855</v>
      </c>
      <c r="J635" s="71">
        <v>3</v>
      </c>
      <c r="K635" s="71">
        <f>SUMIFS(VENTAS[Cantidad],VENTAS[Código del producto Vendido],STOCK[[#This Row],[Code]])</f>
        <v>3</v>
      </c>
      <c r="L635" s="71">
        <f>STOCK[[#This Row],[Entradas]]-STOCK[[#This Row],[Salidas]]</f>
        <v>0</v>
      </c>
      <c r="M635" s="54">
        <f>STOCK[[#This Row],[Precio Final]]*10%</f>
        <v>2.2</v>
      </c>
      <c r="N635" s="54">
        <v>0</v>
      </c>
      <c r="O635" s="54">
        <v>13.94</v>
      </c>
      <c r="P635" s="54">
        <v>11.37</v>
      </c>
      <c r="Q635" s="71">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53" t="s">
        <v>1284</v>
      </c>
      <c r="F636" s="53" t="s">
        <v>40</v>
      </c>
      <c r="G636" s="53" t="s">
        <v>36</v>
      </c>
      <c r="H636" s="53">
        <f>STOCK[[#This Row],[Precio Final]]</f>
        <v>28</v>
      </c>
      <c r="I636" s="53">
        <f>STOCK[[#This Row],[Precio Venta Ideal (x1.5)]]</f>
        <v>35.37</v>
      </c>
      <c r="J636" s="70">
        <v>2</v>
      </c>
      <c r="K636" s="70">
        <f>SUMIFS(VENTAS[Cantidad],VENTAS[Código del producto Vendido],STOCK[[#This Row],[Code]])</f>
        <v>2</v>
      </c>
      <c r="L636" s="70">
        <f>STOCK[[#This Row],[Entradas]]-STOCK[[#This Row],[Salidas]]</f>
        <v>0</v>
      </c>
      <c r="M636" s="53">
        <f>STOCK[[#This Row],[Precio Final]]*10%</f>
        <v>2.8</v>
      </c>
      <c r="N636" s="53">
        <v>-40.31</v>
      </c>
      <c r="O636" s="53">
        <v>0</v>
      </c>
      <c r="P636" s="53">
        <v>15.78</v>
      </c>
      <c r="Q636" s="70">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54" t="s">
        <v>1286</v>
      </c>
      <c r="F637" s="54" t="s">
        <v>62</v>
      </c>
      <c r="G637" s="54" t="s">
        <v>36</v>
      </c>
      <c r="H637" s="54">
        <f>STOCK[[#This Row],[Precio Final]]</f>
        <v>28</v>
      </c>
      <c r="I637" s="54">
        <f>STOCK[[#This Row],[Precio Venta Ideal (x1.5)]]</f>
        <v>35.37</v>
      </c>
      <c r="J637" s="71">
        <v>3</v>
      </c>
      <c r="K637" s="71">
        <f>SUMIFS(VENTAS[Cantidad],VENTAS[Código del producto Vendido],STOCK[[#This Row],[Code]])</f>
        <v>3</v>
      </c>
      <c r="L637" s="71">
        <f>STOCK[[#This Row],[Entradas]]-STOCK[[#This Row],[Salidas]]</f>
        <v>0</v>
      </c>
      <c r="M637" s="54">
        <f>STOCK[[#This Row],[Precio Final]]*10%</f>
        <v>2.8</v>
      </c>
      <c r="N637" s="54">
        <v>10.7</v>
      </c>
      <c r="O637" s="54">
        <v>19.3</v>
      </c>
      <c r="P637" s="54">
        <v>15.78</v>
      </c>
      <c r="Q637" s="71">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53" t="s">
        <v>1286</v>
      </c>
      <c r="F638" s="53" t="s">
        <v>49</v>
      </c>
      <c r="G638" s="53" t="s">
        <v>36</v>
      </c>
      <c r="H638" s="53">
        <f>STOCK[[#This Row],[Precio Final]]</f>
        <v>28</v>
      </c>
      <c r="I638" s="53">
        <f>STOCK[[#This Row],[Precio Venta Ideal (x1.5)]]</f>
        <v>35.37</v>
      </c>
      <c r="J638" s="70">
        <v>1</v>
      </c>
      <c r="K638" s="70">
        <f>SUMIFS(VENTAS[Cantidad],VENTAS[Código del producto Vendido],STOCK[[#This Row],[Code]])</f>
        <v>1</v>
      </c>
      <c r="L638" s="70">
        <f>STOCK[[#This Row],[Entradas]]-STOCK[[#This Row],[Salidas]]</f>
        <v>0</v>
      </c>
      <c r="M638" s="53">
        <f>STOCK[[#This Row],[Precio Final]]*10%</f>
        <v>2.8</v>
      </c>
      <c r="N638" s="53">
        <v>0</v>
      </c>
      <c r="O638" s="53">
        <v>19.3</v>
      </c>
      <c r="P638" s="53">
        <v>15.78</v>
      </c>
      <c r="Q638" s="70">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54" t="s">
        <v>1289</v>
      </c>
      <c r="F639" s="54" t="s">
        <v>40</v>
      </c>
      <c r="G639" s="54" t="s">
        <v>36</v>
      </c>
      <c r="H639" s="54">
        <f>STOCK[[#This Row],[Precio Final]]</f>
        <v>0</v>
      </c>
      <c r="I639" s="54">
        <f>STOCK[[#This Row],[Precio Venta Ideal (x1.5)]]</f>
        <v>31.17</v>
      </c>
      <c r="J639" s="71">
        <v>1</v>
      </c>
      <c r="K639" s="71">
        <f>SUMIFS(VENTAS[Cantidad],VENTAS[Código del producto Vendido],STOCK[[#This Row],[Code]])</f>
        <v>1</v>
      </c>
      <c r="L639" s="71">
        <f>STOCK[[#This Row],[Entradas]]-STOCK[[#This Row],[Salidas]]</f>
        <v>0</v>
      </c>
      <c r="M639" s="54">
        <f>STOCK[[#This Row],[Precio Final]]*10%</f>
        <v>0</v>
      </c>
      <c r="N639" s="54">
        <v>10.7</v>
      </c>
      <c r="O639" s="54">
        <v>0</v>
      </c>
      <c r="P639" s="54">
        <v>15.78</v>
      </c>
      <c r="Q639" s="71">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53" t="s">
        <v>1270</v>
      </c>
      <c r="F640" s="53" t="s">
        <v>994</v>
      </c>
      <c r="G640" s="53" t="s">
        <v>36</v>
      </c>
      <c r="H640" s="53">
        <f>STOCK[[#This Row],[Precio Final]]</f>
        <v>10</v>
      </c>
      <c r="I640" s="53">
        <f>STOCK[[#This Row],[Precio Venta Ideal (x1.5)]]</f>
        <v>11.595</v>
      </c>
      <c r="J640" s="70">
        <v>1</v>
      </c>
      <c r="K640" s="70">
        <f>SUMIFS(VENTAS[Cantidad],VENTAS[Código del producto Vendido],STOCK[[#This Row],[Code]])</f>
        <v>1</v>
      </c>
      <c r="L640" s="70">
        <f>STOCK[[#This Row],[Entradas]]-STOCK[[#This Row],[Salidas]]</f>
        <v>0</v>
      </c>
      <c r="M640" s="53">
        <f>STOCK[[#This Row],[Precio Final]]*10%</f>
        <v>1</v>
      </c>
      <c r="N640" s="53">
        <v>0</v>
      </c>
      <c r="O640" s="53">
        <v>4.52</v>
      </c>
      <c r="P640" s="53">
        <v>3.73</v>
      </c>
      <c r="Q640" s="70">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54" t="s">
        <v>1292</v>
      </c>
      <c r="F641" s="54" t="s">
        <v>40</v>
      </c>
      <c r="G641" s="54" t="s">
        <v>36</v>
      </c>
      <c r="H641" s="54">
        <f>STOCK[[#This Row],[Precio Final]]</f>
        <v>10</v>
      </c>
      <c r="I641" s="54">
        <f>STOCK[[#This Row],[Precio Venta Ideal (x1.5)]]</f>
        <v>11.595</v>
      </c>
      <c r="J641" s="71">
        <v>2</v>
      </c>
      <c r="K641" s="71">
        <f>SUMIFS(VENTAS[Cantidad],VENTAS[Código del producto Vendido],STOCK[[#This Row],[Code]])</f>
        <v>0</v>
      </c>
      <c r="L641" s="71">
        <f>STOCK[[#This Row],[Entradas]]-STOCK[[#This Row],[Salidas]]</f>
        <v>2</v>
      </c>
      <c r="M641" s="54">
        <f>STOCK[[#This Row],[Precio Final]]*10%</f>
        <v>1</v>
      </c>
      <c r="N641" s="54">
        <v>0</v>
      </c>
      <c r="O641" s="54">
        <v>4.52</v>
      </c>
      <c r="P641" s="54">
        <v>3.73</v>
      </c>
      <c r="Q641" s="71">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53" t="s">
        <v>1294</v>
      </c>
      <c r="F642" s="53" t="s">
        <v>1295</v>
      </c>
      <c r="G642" s="53" t="s">
        <v>1296</v>
      </c>
      <c r="H642" s="53">
        <f>STOCK[[#This Row],[Precio Final]]</f>
        <v>35</v>
      </c>
      <c r="I642" s="53">
        <f>STOCK[[#This Row],[Precio Venta Ideal (x1.5)]]</f>
        <v>36.435</v>
      </c>
      <c r="J642" s="70">
        <v>8</v>
      </c>
      <c r="K642" s="70">
        <f>SUMIFS(VENTAS[Cantidad],VENTAS[Código del producto Vendido],STOCK[[#This Row],[Code]])</f>
        <v>8</v>
      </c>
      <c r="L642" s="70">
        <f>STOCK[[#This Row],[Entradas]]-STOCK[[#This Row],[Salidas]]</f>
        <v>0</v>
      </c>
      <c r="M642" s="53">
        <f>STOCK[[#This Row],[Precio Final]]*10%</f>
        <v>3.5</v>
      </c>
      <c r="N642" s="53">
        <v>7.21</v>
      </c>
      <c r="O642" s="53">
        <v>113.95</v>
      </c>
      <c r="P642" s="53">
        <v>15.79</v>
      </c>
      <c r="Q642" s="70">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H643" s="54">
        <f>STOCK[[#This Row],[Precio Final]]</f>
        <v>0</v>
      </c>
      <c r="I643" s="54">
        <f>STOCK[[#This Row],[Precio Venta Ideal (x1.5)]]</f>
        <v>0</v>
      </c>
      <c r="J643" s="71"/>
      <c r="K643" s="71">
        <f>SUMIFS(VENTAS[Cantidad],VENTAS[Código del producto Vendido],STOCK[[#This Row],[Code]])</f>
        <v>0</v>
      </c>
      <c r="L643" s="71">
        <f>STOCK[[#This Row],[Entradas]]-STOCK[[#This Row],[Salidas]]</f>
        <v>0</v>
      </c>
      <c r="M643" s="54">
        <f>STOCK[[#This Row],[Precio Final]]*10%</f>
        <v>0</v>
      </c>
      <c r="Q643" s="71">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53" t="s">
        <v>1298</v>
      </c>
      <c r="F644" s="53" t="s">
        <v>49</v>
      </c>
      <c r="G644" s="53" t="s">
        <v>1296</v>
      </c>
      <c r="H644" s="53">
        <f>STOCK[[#This Row],[Precio Final]]</f>
        <v>30</v>
      </c>
      <c r="I644" s="53">
        <f>STOCK[[#This Row],[Precio Venta Ideal (x1.5)]]</f>
        <v>31.5</v>
      </c>
      <c r="J644" s="70">
        <v>4</v>
      </c>
      <c r="K644" s="70">
        <f>SUMIFS(VENTAS[Cantidad],VENTAS[Código del producto Vendido],STOCK[[#This Row],[Code]])</f>
        <v>1</v>
      </c>
      <c r="L644" s="70">
        <f>STOCK[[#This Row],[Entradas]]-STOCK[[#This Row],[Salidas]]</f>
        <v>3</v>
      </c>
      <c r="M644" s="53">
        <f>STOCK[[#This Row],[Precio Final]]*10%</f>
        <v>3</v>
      </c>
      <c r="N644" s="53">
        <v>10.47</v>
      </c>
      <c r="O644" s="53">
        <v>17.53</v>
      </c>
      <c r="P644" s="53">
        <v>13</v>
      </c>
      <c r="Q644" s="70">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54" t="s">
        <v>1300</v>
      </c>
      <c r="F645" s="54" t="s">
        <v>764</v>
      </c>
      <c r="G645" s="54" t="s">
        <v>1296</v>
      </c>
      <c r="H645" s="54">
        <f>STOCK[[#This Row],[Precio Final]]</f>
        <v>30</v>
      </c>
      <c r="I645" s="54">
        <f>STOCK[[#This Row],[Precio Venta Ideal (x1.5)]]</f>
        <v>33.735</v>
      </c>
      <c r="J645" s="71">
        <v>2</v>
      </c>
      <c r="K645" s="71">
        <f>SUMIFS(VENTAS[Cantidad],VENTAS[Código del producto Vendido],STOCK[[#This Row],[Code]])</f>
        <v>2</v>
      </c>
      <c r="L645" s="71">
        <f>STOCK[[#This Row],[Entradas]]-STOCK[[#This Row],[Salidas]]</f>
        <v>0</v>
      </c>
      <c r="M645" s="54">
        <f>STOCK[[#This Row],[Precio Final]]*10%</f>
        <v>3</v>
      </c>
      <c r="N645" s="54">
        <v>7.88</v>
      </c>
      <c r="O645" s="54">
        <v>0</v>
      </c>
      <c r="P645" s="54">
        <v>11.49</v>
      </c>
      <c r="Q645" s="71">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53" t="s">
        <v>1302</v>
      </c>
      <c r="F646" s="53" t="s">
        <v>49</v>
      </c>
      <c r="G646" s="53" t="s">
        <v>1296</v>
      </c>
      <c r="H646" s="53">
        <f>STOCK[[#This Row],[Precio Final]]</f>
        <v>18</v>
      </c>
      <c r="I646" s="53">
        <f>STOCK[[#This Row],[Precio Venta Ideal (x1.5)]]</f>
        <v>20.7</v>
      </c>
      <c r="J646" s="70">
        <v>1</v>
      </c>
      <c r="K646" s="70">
        <f>SUMIFS(VENTAS[Cantidad],VENTAS[Código del producto Vendido],STOCK[[#This Row],[Code]])</f>
        <v>1</v>
      </c>
      <c r="L646" s="70">
        <f>STOCK[[#This Row],[Entradas]]-STOCK[[#This Row],[Salidas]]</f>
        <v>0</v>
      </c>
      <c r="M646" s="53">
        <f>STOCK[[#This Row],[Precio Final]]*10%</f>
        <v>1.8</v>
      </c>
      <c r="N646" s="53">
        <v>7.88</v>
      </c>
      <c r="O646" s="53">
        <v>0</v>
      </c>
      <c r="P646" s="53">
        <v>7</v>
      </c>
      <c r="Q646" s="70">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54" t="s">
        <v>1304</v>
      </c>
      <c r="F647" s="54" t="s">
        <v>1305</v>
      </c>
      <c r="G647" s="54" t="s">
        <v>1296</v>
      </c>
      <c r="H647" s="54">
        <f>STOCK[[#This Row],[Precio Final]]</f>
        <v>32</v>
      </c>
      <c r="I647" s="54">
        <f>STOCK[[#This Row],[Precio Venta Ideal (x1.5)]]</f>
        <v>40.485</v>
      </c>
      <c r="J647" s="71">
        <v>8</v>
      </c>
      <c r="K647" s="71">
        <f>SUMIFS(VENTAS[Cantidad],VENTAS[Código del producto Vendido],STOCK[[#This Row],[Code]])</f>
        <v>8</v>
      </c>
      <c r="L647" s="71">
        <f>STOCK[[#This Row],[Entradas]]-STOCK[[#This Row],[Salidas]]</f>
        <v>0</v>
      </c>
      <c r="M647" s="54">
        <f>STOCK[[#This Row],[Precio Final]]*10%</f>
        <v>3.2</v>
      </c>
      <c r="N647" s="54">
        <v>0</v>
      </c>
      <c r="O647" s="54">
        <v>25.79</v>
      </c>
      <c r="P647" s="54">
        <v>15.79</v>
      </c>
      <c r="Q647" s="71">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53" t="s">
        <v>1307</v>
      </c>
      <c r="F648" s="53" t="s">
        <v>49</v>
      </c>
      <c r="G648" s="53" t="s">
        <v>1296</v>
      </c>
      <c r="H648" s="53">
        <f>STOCK[[#This Row],[Precio Final]]</f>
        <v>32</v>
      </c>
      <c r="I648" s="53">
        <f>STOCK[[#This Row],[Precio Venta Ideal (x1.5)]]</f>
        <v>40.485</v>
      </c>
      <c r="J648" s="70">
        <v>2</v>
      </c>
      <c r="K648" s="70">
        <f>SUMIFS(VENTAS[Cantidad],VENTAS[Código del producto Vendido],STOCK[[#This Row],[Code]])</f>
        <v>2</v>
      </c>
      <c r="L648" s="70">
        <f>STOCK[[#This Row],[Entradas]]-STOCK[[#This Row],[Salidas]]</f>
        <v>0</v>
      </c>
      <c r="M648" s="53">
        <f>STOCK[[#This Row],[Precio Final]]*10%</f>
        <v>3.2</v>
      </c>
      <c r="N648" s="53">
        <v>-21.21</v>
      </c>
      <c r="O648" s="53">
        <v>0</v>
      </c>
      <c r="P648" s="53">
        <v>15.79</v>
      </c>
      <c r="Q648" s="70">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54" t="s">
        <v>1300</v>
      </c>
      <c r="F649" s="54" t="s">
        <v>766</v>
      </c>
      <c r="G649" s="54" t="s">
        <v>1296</v>
      </c>
      <c r="H649" s="54">
        <f>STOCK[[#This Row],[Precio Final]]</f>
        <v>35</v>
      </c>
      <c r="I649" s="54">
        <f>STOCK[[#This Row],[Precio Venta Ideal (x1.5)]]</f>
        <v>34.485</v>
      </c>
      <c r="J649" s="71">
        <v>1</v>
      </c>
      <c r="K649" s="71">
        <f>SUMIFS(VENTAS[Cantidad],VENTAS[Código del producto Vendido],STOCK[[#This Row],[Code]])</f>
        <v>1</v>
      </c>
      <c r="L649" s="71">
        <f>STOCK[[#This Row],[Entradas]]-STOCK[[#This Row],[Salidas]]</f>
        <v>0</v>
      </c>
      <c r="M649" s="54">
        <f>STOCK[[#This Row],[Precio Final]]*10%</f>
        <v>3.5</v>
      </c>
      <c r="N649" s="54">
        <v>-6.67</v>
      </c>
      <c r="O649" s="54">
        <v>0</v>
      </c>
      <c r="P649" s="54">
        <v>11.49</v>
      </c>
      <c r="Q649" s="71">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53" t="s">
        <v>1310</v>
      </c>
      <c r="F650" s="53" t="s">
        <v>49</v>
      </c>
      <c r="G650" s="53" t="s">
        <v>1296</v>
      </c>
      <c r="H650" s="53">
        <f>STOCK[[#This Row],[Precio Final]]</f>
        <v>18</v>
      </c>
      <c r="I650" s="53">
        <f>STOCK[[#This Row],[Precio Venta Ideal (x1.5)]]</f>
        <v>21.435</v>
      </c>
      <c r="J650" s="70">
        <v>1</v>
      </c>
      <c r="K650" s="70">
        <f>SUMIFS(VENTAS[Cantidad],VENTAS[Código del producto Vendido],STOCK[[#This Row],[Code]])</f>
        <v>1</v>
      </c>
      <c r="L650" s="70">
        <f>STOCK[[#This Row],[Entradas]]-STOCK[[#This Row],[Salidas]]</f>
        <v>0</v>
      </c>
      <c r="M650" s="53">
        <f>STOCK[[#This Row],[Precio Final]]*10%</f>
        <v>1.8</v>
      </c>
      <c r="N650" s="53">
        <v>7.12</v>
      </c>
      <c r="O650" s="53">
        <v>0</v>
      </c>
      <c r="P650" s="53">
        <v>7.49</v>
      </c>
      <c r="Q650" s="70">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54" t="s">
        <v>1312</v>
      </c>
      <c r="F651" s="54" t="s">
        <v>62</v>
      </c>
      <c r="G651" s="54" t="s">
        <v>1296</v>
      </c>
      <c r="H651" s="54">
        <f>STOCK[[#This Row],[Precio Final]]</f>
        <v>20</v>
      </c>
      <c r="I651" s="54">
        <f>STOCK[[#This Row],[Precio Venta Ideal (x1.5)]]</f>
        <v>19.5</v>
      </c>
      <c r="J651" s="71">
        <v>2</v>
      </c>
      <c r="K651" s="71">
        <f>SUMIFS(VENTAS[Cantidad],VENTAS[Código del producto Vendido],STOCK[[#This Row],[Code]])</f>
        <v>2</v>
      </c>
      <c r="L651" s="71">
        <f>STOCK[[#This Row],[Entradas]]-STOCK[[#This Row],[Salidas]]</f>
        <v>0</v>
      </c>
      <c r="M651" s="54">
        <f>STOCK[[#This Row],[Precio Final]]*10%</f>
        <v>2</v>
      </c>
      <c r="N651" s="54">
        <v>10</v>
      </c>
      <c r="O651" s="54">
        <v>0</v>
      </c>
      <c r="P651" s="54">
        <v>7</v>
      </c>
      <c r="Q651" s="71">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H652" s="53">
        <f>STOCK[[#This Row],[Precio Final]]</f>
        <v>0</v>
      </c>
      <c r="I652" s="53">
        <f>STOCK[[#This Row],[Precio Venta Ideal (x1.5)]]</f>
        <v>0</v>
      </c>
      <c r="J652" s="70"/>
      <c r="K652" s="70">
        <f>SUMIFS(VENTAS[Cantidad],VENTAS[Código del producto Vendido],STOCK[[#This Row],[Code]])</f>
        <v>0</v>
      </c>
      <c r="L652" s="70">
        <f>STOCK[[#This Row],[Entradas]]-STOCK[[#This Row],[Salidas]]</f>
        <v>0</v>
      </c>
      <c r="M652" s="53">
        <f>STOCK[[#This Row],[Precio Final]]*10%</f>
        <v>0</v>
      </c>
      <c r="Q652" s="70">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54" t="s">
        <v>1314</v>
      </c>
      <c r="F653" s="54" t="s">
        <v>62</v>
      </c>
      <c r="G653" s="54" t="s">
        <v>704</v>
      </c>
      <c r="H653" s="54">
        <f>STOCK[[#This Row],[Precio Final]]</f>
        <v>20</v>
      </c>
      <c r="I653" s="54">
        <f>STOCK[[#This Row],[Precio Venta Ideal (x1.5)]]</f>
        <v>15</v>
      </c>
      <c r="J653" s="71">
        <v>1</v>
      </c>
      <c r="K653" s="71">
        <f>SUMIFS(VENTAS[Cantidad],VENTAS[Código del producto Vendido],STOCK[[#This Row],[Code]])</f>
        <v>0</v>
      </c>
      <c r="L653" s="71">
        <f>STOCK[[#This Row],[Entradas]]-STOCK[[#This Row],[Salidas]]</f>
        <v>1</v>
      </c>
      <c r="M653" s="54">
        <f>STOCK[[#This Row],[Precio Final]]*10%</f>
        <v>2</v>
      </c>
      <c r="N653" s="54">
        <v>0</v>
      </c>
      <c r="O653" s="54">
        <v>13.94</v>
      </c>
      <c r="P653" s="54">
        <v>6</v>
      </c>
      <c r="Q653" s="71">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53" t="s">
        <v>1316</v>
      </c>
      <c r="F654" s="53" t="s">
        <v>62</v>
      </c>
      <c r="G654" s="53" t="s">
        <v>704</v>
      </c>
      <c r="H654" s="53">
        <f>STOCK[[#This Row],[Precio Final]]</f>
        <v>40</v>
      </c>
      <c r="I654" s="53">
        <f>STOCK[[#This Row],[Precio Venta Ideal (x1.5)]]</f>
        <v>51</v>
      </c>
      <c r="J654" s="70">
        <v>2</v>
      </c>
      <c r="K654" s="70">
        <f>SUMIFS(VENTAS[Cantidad],VENTAS[Código del producto Vendido],STOCK[[#This Row],[Code]])</f>
        <v>2</v>
      </c>
      <c r="L654" s="70">
        <f>STOCK[[#This Row],[Entradas]]-STOCK[[#This Row],[Salidas]]</f>
        <v>0</v>
      </c>
      <c r="M654" s="53">
        <f>STOCK[[#This Row],[Precio Final]]*10%</f>
        <v>4</v>
      </c>
      <c r="N654" s="53">
        <v>0</v>
      </c>
      <c r="O654" s="53">
        <v>58.06</v>
      </c>
      <c r="P654" s="53">
        <v>24</v>
      </c>
      <c r="Q654" s="70">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54" t="s">
        <v>1318</v>
      </c>
      <c r="F655" s="54" t="s">
        <v>1319</v>
      </c>
      <c r="G655" s="54" t="s">
        <v>704</v>
      </c>
      <c r="H655" s="54">
        <f>STOCK[[#This Row],[Precio Final]]</f>
        <v>40</v>
      </c>
      <c r="I655" s="54">
        <f>STOCK[[#This Row],[Precio Venta Ideal (x1.5)]]</f>
        <v>51</v>
      </c>
      <c r="J655" s="71">
        <v>0</v>
      </c>
      <c r="K655" s="71">
        <f>SUMIFS(VENTAS[Cantidad],VENTAS[Código del producto Vendido],STOCK[[#This Row],[Code]])</f>
        <v>0</v>
      </c>
      <c r="L655" s="71">
        <f>STOCK[[#This Row],[Entradas]]-STOCK[[#This Row],[Salidas]]</f>
        <v>0</v>
      </c>
      <c r="M655" s="54">
        <f>STOCK[[#This Row],[Precio Final]]*10%</f>
        <v>4</v>
      </c>
      <c r="N655" s="54">
        <v>0</v>
      </c>
      <c r="O655" s="54">
        <v>23.03</v>
      </c>
      <c r="P655" s="54">
        <v>24</v>
      </c>
      <c r="Q655" s="71">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53" t="s">
        <v>1321</v>
      </c>
      <c r="F656" s="53" t="s">
        <v>778</v>
      </c>
      <c r="G656" s="53" t="s">
        <v>704</v>
      </c>
      <c r="H656" s="53">
        <f>STOCK[[#This Row],[Precio Final]]</f>
        <v>40</v>
      </c>
      <c r="I656" s="53">
        <f>STOCK[[#This Row],[Precio Venta Ideal (x1.5)]]</f>
        <v>43.125</v>
      </c>
      <c r="J656" s="70">
        <v>1</v>
      </c>
      <c r="K656" s="70">
        <f>SUMIFS(VENTAS[Cantidad],VENTAS[Código del producto Vendido],STOCK[[#This Row],[Code]])</f>
        <v>1</v>
      </c>
      <c r="L656" s="70">
        <f>STOCK[[#This Row],[Entradas]]-STOCK[[#This Row],[Salidas]]</f>
        <v>0</v>
      </c>
      <c r="M656" s="53">
        <f>STOCK[[#This Row],[Precio Final]]*10%</f>
        <v>4</v>
      </c>
      <c r="N656" s="53">
        <v>0</v>
      </c>
      <c r="O656" s="53">
        <v>23.03</v>
      </c>
      <c r="P656" s="53">
        <v>18.75</v>
      </c>
      <c r="Q656" s="70">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54" t="s">
        <v>1323</v>
      </c>
      <c r="F657" s="54" t="s">
        <v>42</v>
      </c>
      <c r="G657" s="54" t="s">
        <v>704</v>
      </c>
      <c r="H657" s="54">
        <f>STOCK[[#This Row],[Precio Final]]</f>
        <v>25</v>
      </c>
      <c r="I657" s="54">
        <f>STOCK[[#This Row],[Precio Venta Ideal (x1.5)]]</f>
        <v>32.25</v>
      </c>
      <c r="J657" s="71">
        <v>1</v>
      </c>
      <c r="K657" s="71">
        <f>SUMIFS(VENTAS[Cantidad],VENTAS[Código del producto Vendido],STOCK[[#This Row],[Code]])</f>
        <v>0</v>
      </c>
      <c r="L657" s="71">
        <f>STOCK[[#This Row],[Entradas]]-STOCK[[#This Row],[Salidas]]</f>
        <v>1</v>
      </c>
      <c r="M657" s="54">
        <f>STOCK[[#This Row],[Precio Final]]*10%</f>
        <v>2.5</v>
      </c>
      <c r="N657" s="54">
        <v>0</v>
      </c>
      <c r="O657" s="54">
        <v>15.15</v>
      </c>
      <c r="P657" s="54">
        <v>16</v>
      </c>
      <c r="Q657" s="71">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53" t="s">
        <v>1325</v>
      </c>
      <c r="F658" s="53" t="s">
        <v>42</v>
      </c>
      <c r="G658" s="53" t="s">
        <v>704</v>
      </c>
      <c r="H658" s="53">
        <f>STOCK[[#This Row],[Precio Final]]</f>
        <v>25</v>
      </c>
      <c r="I658" s="53">
        <f>STOCK[[#This Row],[Precio Venta Ideal (x1.5)]]</f>
        <v>21</v>
      </c>
      <c r="J658" s="70">
        <v>1</v>
      </c>
      <c r="K658" s="70">
        <f>SUMIFS(VENTAS[Cantidad],VENTAS[Código del producto Vendido],STOCK[[#This Row],[Code]])</f>
        <v>0</v>
      </c>
      <c r="L658" s="70">
        <f>STOCK[[#This Row],[Entradas]]-STOCK[[#This Row],[Salidas]]</f>
        <v>1</v>
      </c>
      <c r="M658" s="53">
        <f>STOCK[[#This Row],[Precio Final]]*10%</f>
        <v>2.5</v>
      </c>
      <c r="N658" s="53">
        <v>0</v>
      </c>
      <c r="O658" s="53">
        <v>15.15</v>
      </c>
      <c r="P658" s="53">
        <v>8.5</v>
      </c>
      <c r="Q658" s="70">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54" t="s">
        <v>1327</v>
      </c>
      <c r="F659" s="54" t="s">
        <v>62</v>
      </c>
      <c r="G659" s="54" t="s">
        <v>704</v>
      </c>
      <c r="H659" s="54">
        <f>STOCK[[#This Row],[Precio Final]]</f>
        <v>25</v>
      </c>
      <c r="I659" s="54">
        <f>STOCK[[#This Row],[Precio Venta Ideal (x1.5)]]</f>
        <v>32.25</v>
      </c>
      <c r="J659" s="71">
        <v>3</v>
      </c>
      <c r="K659" s="71">
        <f>SUMIFS(VENTAS[Cantidad],VENTAS[Código del producto Vendido],STOCK[[#This Row],[Code]])</f>
        <v>3</v>
      </c>
      <c r="L659" s="71">
        <f>STOCK[[#This Row],[Entradas]]-STOCK[[#This Row],[Salidas]]</f>
        <v>0</v>
      </c>
      <c r="M659" s="54">
        <f>STOCK[[#This Row],[Precio Final]]*10%</f>
        <v>2.5</v>
      </c>
      <c r="N659" s="54">
        <v>0</v>
      </c>
      <c r="O659" s="54">
        <v>30.3</v>
      </c>
      <c r="P659" s="54">
        <v>16</v>
      </c>
      <c r="Q659" s="71">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53" t="s">
        <v>1329</v>
      </c>
      <c r="F660" s="53" t="s">
        <v>1330</v>
      </c>
      <c r="G660" s="53" t="s">
        <v>36</v>
      </c>
      <c r="H660" s="53">
        <f>STOCK[[#This Row],[Precio Final]]</f>
        <v>20</v>
      </c>
      <c r="I660" s="53">
        <f>STOCK[[#This Row],[Precio Venta Ideal (x1.5)]]</f>
        <v>22.86</v>
      </c>
      <c r="J660" s="70">
        <v>1</v>
      </c>
      <c r="K660" s="70">
        <f>SUMIFS(VENTAS[Cantidad],VENTAS[Código del producto Vendido],STOCK[[#This Row],[Code]])</f>
        <v>1</v>
      </c>
      <c r="L660" s="70">
        <f>STOCK[[#This Row],[Entradas]]-STOCK[[#This Row],[Salidas]]</f>
        <v>0</v>
      </c>
      <c r="M660" s="53">
        <f>STOCK[[#This Row],[Precio Final]]*10%</f>
        <v>2</v>
      </c>
      <c r="N660" s="53">
        <v>0</v>
      </c>
      <c r="O660" s="53">
        <v>14.25</v>
      </c>
      <c r="P660" s="53">
        <v>11.53</v>
      </c>
      <c r="Q660" s="70">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54" t="s">
        <v>1332</v>
      </c>
      <c r="F661" s="54" t="s">
        <v>40</v>
      </c>
      <c r="G661" s="54" t="s">
        <v>36</v>
      </c>
      <c r="H661" s="54">
        <f>STOCK[[#This Row],[Precio Final]]</f>
        <v>20</v>
      </c>
      <c r="I661" s="54">
        <f>STOCK[[#This Row],[Precio Venta Ideal (x1.5)]]</f>
        <v>22.86</v>
      </c>
      <c r="J661" s="71">
        <v>1</v>
      </c>
      <c r="K661" s="71">
        <f>SUMIFS(VENTAS[Cantidad],VENTAS[Código del producto Vendido],STOCK[[#This Row],[Code]])</f>
        <v>1</v>
      </c>
      <c r="L661" s="71">
        <f>STOCK[[#This Row],[Entradas]]-STOCK[[#This Row],[Salidas]]</f>
        <v>0</v>
      </c>
      <c r="M661" s="54">
        <f>STOCK[[#This Row],[Precio Final]]*10%</f>
        <v>2</v>
      </c>
      <c r="N661" s="54">
        <v>0</v>
      </c>
      <c r="O661" s="54">
        <v>14.25</v>
      </c>
      <c r="P661" s="54">
        <v>11.53</v>
      </c>
      <c r="Q661" s="71">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53" t="s">
        <v>1334</v>
      </c>
      <c r="F662" s="53" t="s">
        <v>49</v>
      </c>
      <c r="G662" s="53" t="s">
        <v>36</v>
      </c>
      <c r="H662" s="53">
        <f>STOCK[[#This Row],[Precio Final]]</f>
        <v>20</v>
      </c>
      <c r="I662" s="53">
        <f>STOCK[[#This Row],[Precio Venta Ideal (x1.5)]]</f>
        <v>24.36</v>
      </c>
      <c r="J662" s="70">
        <v>1</v>
      </c>
      <c r="K662" s="70">
        <f>SUMIFS(VENTAS[Cantidad],VENTAS[Código del producto Vendido],STOCK[[#This Row],[Code]])</f>
        <v>1</v>
      </c>
      <c r="L662" s="70">
        <f>STOCK[[#This Row],[Entradas]]-STOCK[[#This Row],[Salidas]]</f>
        <v>0</v>
      </c>
      <c r="M662" s="53">
        <f>STOCK[[#This Row],[Precio Final]]*10%</f>
        <v>2</v>
      </c>
      <c r="N662" s="53">
        <v>0</v>
      </c>
      <c r="O662" s="53">
        <v>14.25</v>
      </c>
      <c r="P662" s="53">
        <v>12.53</v>
      </c>
      <c r="Q662" s="70">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54" t="s">
        <v>1336</v>
      </c>
      <c r="F663" s="54" t="s">
        <v>62</v>
      </c>
      <c r="G663" s="54" t="s">
        <v>36</v>
      </c>
      <c r="H663" s="54">
        <f>STOCK[[#This Row],[Precio Final]]</f>
        <v>20</v>
      </c>
      <c r="I663" s="54">
        <f>STOCK[[#This Row],[Precio Venta Ideal (x1.5)]]</f>
        <v>24.36</v>
      </c>
      <c r="J663" s="71">
        <v>1</v>
      </c>
      <c r="K663" s="71">
        <f>SUMIFS(VENTAS[Cantidad],VENTAS[Código del producto Vendido],STOCK[[#This Row],[Code]])</f>
        <v>1</v>
      </c>
      <c r="L663" s="71">
        <f>STOCK[[#This Row],[Entradas]]-STOCK[[#This Row],[Salidas]]</f>
        <v>0</v>
      </c>
      <c r="M663" s="54">
        <f>STOCK[[#This Row],[Precio Final]]*10%</f>
        <v>2</v>
      </c>
      <c r="N663" s="54">
        <v>0</v>
      </c>
      <c r="O663" s="54">
        <v>14.25</v>
      </c>
      <c r="P663" s="54">
        <v>12.53</v>
      </c>
      <c r="Q663" s="71">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53" t="s">
        <v>1338</v>
      </c>
      <c r="F664" s="53" t="s">
        <v>46</v>
      </c>
      <c r="G664" s="53" t="s">
        <v>36</v>
      </c>
      <c r="H664" s="53">
        <f>STOCK[[#This Row],[Precio Final]]</f>
        <v>25</v>
      </c>
      <c r="I664" s="53">
        <f>STOCK[[#This Row],[Precio Venta Ideal (x1.5)]]</f>
        <v>28.305</v>
      </c>
      <c r="J664" s="70">
        <v>2</v>
      </c>
      <c r="K664" s="70">
        <f>SUMIFS(VENTAS[Cantidad],VENTAS[Código del producto Vendido],STOCK[[#This Row],[Code]])</f>
        <v>2</v>
      </c>
      <c r="L664" s="70">
        <f>STOCK[[#This Row],[Entradas]]-STOCK[[#This Row],[Salidas]]</f>
        <v>0</v>
      </c>
      <c r="M664" s="53">
        <f>STOCK[[#This Row],[Precio Final]]*10%</f>
        <v>2.5</v>
      </c>
      <c r="N664" s="53">
        <v>0</v>
      </c>
      <c r="O664" s="53">
        <v>3.78</v>
      </c>
      <c r="P664" s="53">
        <v>14.66</v>
      </c>
      <c r="Q664" s="70">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54" t="s">
        <v>1340</v>
      </c>
      <c r="F665" s="54" t="s">
        <v>46</v>
      </c>
      <c r="G665" s="54" t="s">
        <v>36</v>
      </c>
      <c r="H665" s="54">
        <f>STOCK[[#This Row],[Precio Final]]</f>
        <v>25</v>
      </c>
      <c r="I665" s="54">
        <f>STOCK[[#This Row],[Precio Venta Ideal (x1.5)]]</f>
        <v>28.305</v>
      </c>
      <c r="J665" s="71">
        <v>2</v>
      </c>
      <c r="K665" s="71">
        <f>SUMIFS(VENTAS[Cantidad],VENTAS[Código del producto Vendido],STOCK[[#This Row],[Code]])</f>
        <v>1</v>
      </c>
      <c r="L665" s="71">
        <f>STOCK[[#This Row],[Entradas]]-STOCK[[#This Row],[Salidas]]</f>
        <v>1</v>
      </c>
      <c r="M665" s="54">
        <f>STOCK[[#This Row],[Precio Final]]*10%</f>
        <v>2.5</v>
      </c>
      <c r="N665" s="54">
        <v>0</v>
      </c>
      <c r="O665" s="54">
        <v>0</v>
      </c>
      <c r="P665" s="54">
        <v>14.66</v>
      </c>
      <c r="Q665" s="71">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53" t="s">
        <v>1342</v>
      </c>
      <c r="F666" s="53" t="s">
        <v>49</v>
      </c>
      <c r="G666" s="53" t="s">
        <v>36</v>
      </c>
      <c r="H666" s="53">
        <f>STOCK[[#This Row],[Precio Final]]</f>
        <v>25</v>
      </c>
      <c r="I666" s="53">
        <f>STOCK[[#This Row],[Precio Venta Ideal (x1.5)]]</f>
        <v>27.225</v>
      </c>
      <c r="J666" s="70">
        <v>2</v>
      </c>
      <c r="K666" s="70">
        <f>SUMIFS(VENTAS[Cantidad],VENTAS[Código del producto Vendido],STOCK[[#This Row],[Code]])</f>
        <v>2</v>
      </c>
      <c r="L666" s="70">
        <f>STOCK[[#This Row],[Entradas]]-STOCK[[#This Row],[Salidas]]</f>
        <v>0</v>
      </c>
      <c r="M666" s="53">
        <f>STOCK[[#This Row],[Precio Final]]*10%</f>
        <v>2.5</v>
      </c>
      <c r="N666" s="53">
        <v>0</v>
      </c>
      <c r="O666" s="53">
        <v>0</v>
      </c>
      <c r="P666" s="53">
        <v>13.94</v>
      </c>
      <c r="Q666" s="70">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54" t="s">
        <v>1342</v>
      </c>
      <c r="F667" s="54" t="s">
        <v>40</v>
      </c>
      <c r="G667" s="54" t="s">
        <v>36</v>
      </c>
      <c r="H667" s="54">
        <f>STOCK[[#This Row],[Precio Final]]</f>
        <v>25</v>
      </c>
      <c r="I667" s="54">
        <f>STOCK[[#This Row],[Precio Venta Ideal (x1.5)]]</f>
        <v>27.225</v>
      </c>
      <c r="J667" s="71">
        <v>2</v>
      </c>
      <c r="K667" s="71">
        <f>SUMIFS(VENTAS[Cantidad],VENTAS[Código del producto Vendido],STOCK[[#This Row],[Code]])</f>
        <v>2</v>
      </c>
      <c r="L667" s="71">
        <f>STOCK[[#This Row],[Entradas]]-STOCK[[#This Row],[Salidas]]</f>
        <v>0</v>
      </c>
      <c r="M667" s="54">
        <f>STOCK[[#This Row],[Precio Final]]*10%</f>
        <v>2.5</v>
      </c>
      <c r="N667" s="54">
        <v>0</v>
      </c>
      <c r="O667" s="54">
        <v>0</v>
      </c>
      <c r="P667" s="54">
        <v>13.94</v>
      </c>
      <c r="Q667" s="71">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53" t="s">
        <v>1346</v>
      </c>
      <c r="F668" s="53" t="s">
        <v>1347</v>
      </c>
      <c r="G668" s="53" t="s">
        <v>36</v>
      </c>
      <c r="H668" s="53">
        <f>STOCK[[#This Row],[Precio Final]]</f>
        <v>18</v>
      </c>
      <c r="I668" s="53">
        <f>STOCK[[#This Row],[Precio Venta Ideal (x1.5)]]</f>
        <v>19.2</v>
      </c>
      <c r="J668" s="70">
        <v>0</v>
      </c>
      <c r="K668" s="70">
        <f>SUMIFS(VENTAS[Cantidad],VENTAS[Código del producto Vendido],STOCK[[#This Row],[Code]])</f>
        <v>0</v>
      </c>
      <c r="L668" s="70">
        <f>STOCK[[#This Row],[Entradas]]-STOCK[[#This Row],[Salidas]]</f>
        <v>0</v>
      </c>
      <c r="M668" s="53">
        <f>STOCK[[#This Row],[Precio Final]]*10%</f>
        <v>1.8</v>
      </c>
      <c r="N668" s="53">
        <v>0</v>
      </c>
      <c r="O668" s="53">
        <v>28.5</v>
      </c>
      <c r="P668" s="53">
        <v>8</v>
      </c>
      <c r="Q668" s="70">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54" t="s">
        <v>1349</v>
      </c>
      <c r="F669" s="54" t="s">
        <v>62</v>
      </c>
      <c r="G669" s="54" t="s">
        <v>36</v>
      </c>
      <c r="H669" s="54">
        <f>STOCK[[#This Row],[Precio Final]]</f>
        <v>22</v>
      </c>
      <c r="I669" s="54">
        <f>STOCK[[#This Row],[Precio Venta Ideal (x1.5)]]</f>
        <v>25.8</v>
      </c>
      <c r="J669" s="71">
        <v>1</v>
      </c>
      <c r="K669" s="71">
        <f>SUMIFS(VENTAS[Cantidad],VENTAS[Código del producto Vendido],STOCK[[#This Row],[Code]])</f>
        <v>1</v>
      </c>
      <c r="L669" s="71">
        <f>STOCK[[#This Row],[Entradas]]-STOCK[[#This Row],[Salidas]]</f>
        <v>0</v>
      </c>
      <c r="M669" s="54">
        <f>STOCK[[#This Row],[Precio Final]]*10%</f>
        <v>2.2</v>
      </c>
      <c r="N669" s="54">
        <v>0</v>
      </c>
      <c r="O669" s="54">
        <v>19.38</v>
      </c>
      <c r="P669" s="54">
        <v>12</v>
      </c>
      <c r="Q669" s="71">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53" t="s">
        <v>1349</v>
      </c>
      <c r="F670" s="53" t="s">
        <v>40</v>
      </c>
      <c r="G670" s="53" t="s">
        <v>704</v>
      </c>
      <c r="H670" s="53">
        <f>STOCK[[#This Row],[Precio Final]]</f>
        <v>22</v>
      </c>
      <c r="I670" s="53">
        <f>STOCK[[#This Row],[Precio Venta Ideal (x1.5)]]</f>
        <v>25.8</v>
      </c>
      <c r="J670" s="70">
        <v>1</v>
      </c>
      <c r="K670" s="70">
        <f>SUMIFS(VENTAS[Cantidad],VENTAS[Código del producto Vendido],STOCK[[#This Row],[Code]])</f>
        <v>1</v>
      </c>
      <c r="L670" s="70">
        <f>STOCK[[#This Row],[Entradas]]-STOCK[[#This Row],[Salidas]]</f>
        <v>0</v>
      </c>
      <c r="M670" s="53">
        <f>STOCK[[#This Row],[Precio Final]]*10%</f>
        <v>2.2</v>
      </c>
      <c r="N670" s="53">
        <v>0</v>
      </c>
      <c r="O670" s="53">
        <v>19.38</v>
      </c>
      <c r="P670" s="53">
        <v>12</v>
      </c>
      <c r="Q670" s="70">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54" t="s">
        <v>1352</v>
      </c>
      <c r="F671" s="54" t="s">
        <v>40</v>
      </c>
      <c r="G671" s="54" t="s">
        <v>704</v>
      </c>
      <c r="H671" s="54">
        <f>STOCK[[#This Row],[Precio Final]]</f>
        <v>18</v>
      </c>
      <c r="I671" s="54">
        <f>STOCK[[#This Row],[Precio Venta Ideal (x1.5)]]</f>
        <v>17.7</v>
      </c>
      <c r="J671" s="71">
        <v>0</v>
      </c>
      <c r="K671" s="71">
        <f>SUMIFS(VENTAS[Cantidad],VENTAS[Código del producto Vendido],STOCK[[#This Row],[Code]])</f>
        <v>0</v>
      </c>
      <c r="L671" s="71">
        <f>STOCK[[#This Row],[Entradas]]-STOCK[[#This Row],[Salidas]]</f>
        <v>0</v>
      </c>
      <c r="M671" s="54">
        <f>STOCK[[#This Row],[Precio Final]]*10%</f>
        <v>1.8</v>
      </c>
      <c r="N671" s="54">
        <v>0</v>
      </c>
      <c r="O671" s="54">
        <v>9.38</v>
      </c>
      <c r="P671" s="54">
        <v>8</v>
      </c>
      <c r="Q671" s="71">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53" t="s">
        <v>1354</v>
      </c>
      <c r="F672" s="53" t="s">
        <v>62</v>
      </c>
      <c r="G672" s="53" t="s">
        <v>704</v>
      </c>
      <c r="H672" s="53">
        <f>STOCK[[#This Row],[Precio Final]]</f>
        <v>22</v>
      </c>
      <c r="I672" s="53">
        <f>STOCK[[#This Row],[Precio Venta Ideal (x1.5)]]</f>
        <v>33.3</v>
      </c>
      <c r="J672" s="70">
        <v>2</v>
      </c>
      <c r="K672" s="70">
        <f>SUMIFS(VENTAS[Cantidad],VENTAS[Código del producto Vendido],STOCK[[#This Row],[Code]])</f>
        <v>2</v>
      </c>
      <c r="L672" s="70">
        <f>STOCK[[#This Row],[Entradas]]-STOCK[[#This Row],[Salidas]]</f>
        <v>0</v>
      </c>
      <c r="M672" s="53">
        <f>STOCK[[#This Row],[Precio Final]]*10%</f>
        <v>2.2</v>
      </c>
      <c r="N672" s="53">
        <v>0</v>
      </c>
      <c r="O672" s="53">
        <v>17.5</v>
      </c>
      <c r="P672" s="53">
        <v>16</v>
      </c>
      <c r="Q672" s="70">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54" t="s">
        <v>1356</v>
      </c>
      <c r="F673" s="54" t="s">
        <v>40</v>
      </c>
      <c r="G673" s="54" t="s">
        <v>704</v>
      </c>
      <c r="H673" s="54">
        <f>STOCK[[#This Row],[Precio Final]]</f>
        <v>45</v>
      </c>
      <c r="I673" s="54">
        <f>STOCK[[#This Row],[Precio Venta Ideal (x1.5)]]</f>
        <v>50.25</v>
      </c>
      <c r="J673" s="71">
        <v>0</v>
      </c>
      <c r="K673" s="71">
        <f>SUMIFS(VENTAS[Cantidad],VENTAS[Código del producto Vendido],STOCK[[#This Row],[Code]])</f>
        <v>0</v>
      </c>
      <c r="L673" s="71">
        <f>STOCK[[#This Row],[Entradas]]-STOCK[[#This Row],[Salidas]]</f>
        <v>0</v>
      </c>
      <c r="M673" s="54">
        <f>STOCK[[#This Row],[Precio Final]]*10%</f>
        <v>4.5</v>
      </c>
      <c r="N673" s="54">
        <v>0</v>
      </c>
      <c r="O673" s="54">
        <v>28.13</v>
      </c>
      <c r="P673" s="54">
        <v>25</v>
      </c>
      <c r="Q673" s="71">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53" t="s">
        <v>1358</v>
      </c>
      <c r="F674" s="53" t="s">
        <v>1047</v>
      </c>
      <c r="G674" s="53" t="s">
        <v>704</v>
      </c>
      <c r="H674" s="53">
        <f>STOCK[[#This Row],[Precio Final]]</f>
        <v>30</v>
      </c>
      <c r="I674" s="53">
        <f>STOCK[[#This Row],[Precio Venta Ideal (x1.5)]]</f>
        <v>39</v>
      </c>
      <c r="J674" s="70">
        <v>1</v>
      </c>
      <c r="K674" s="70">
        <f>SUMIFS(VENTAS[Cantidad],VENTAS[Código del producto Vendido],STOCK[[#This Row],[Code]])</f>
        <v>0</v>
      </c>
      <c r="L674" s="70">
        <f>STOCK[[#This Row],[Entradas]]-STOCK[[#This Row],[Salidas]]</f>
        <v>1</v>
      </c>
      <c r="M674" s="53">
        <f>STOCK[[#This Row],[Precio Final]]*10%</f>
        <v>3</v>
      </c>
      <c r="N674" s="53">
        <v>0</v>
      </c>
      <c r="O674" s="53">
        <v>0</v>
      </c>
      <c r="P674" s="53">
        <v>19</v>
      </c>
      <c r="Q674" s="70">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54" t="s">
        <v>1360</v>
      </c>
      <c r="F675" s="54" t="s">
        <v>1047</v>
      </c>
      <c r="G675" s="54" t="s">
        <v>704</v>
      </c>
      <c r="H675" s="54">
        <f>STOCK[[#This Row],[Precio Final]]</f>
        <v>25</v>
      </c>
      <c r="I675" s="54">
        <f>STOCK[[#This Row],[Precio Venta Ideal (x1.5)]]</f>
        <v>26.925</v>
      </c>
      <c r="J675" s="71">
        <v>1</v>
      </c>
      <c r="K675" s="71">
        <f>SUMIFS(VENTAS[Cantidad],VENTAS[Código del producto Vendido],STOCK[[#This Row],[Code]])</f>
        <v>1</v>
      </c>
      <c r="L675" s="71">
        <f>STOCK[[#This Row],[Entradas]]-STOCK[[#This Row],[Salidas]]</f>
        <v>0</v>
      </c>
      <c r="M675" s="54">
        <f>STOCK[[#This Row],[Precio Final]]*10%</f>
        <v>2.5</v>
      </c>
      <c r="N675" s="54">
        <v>0</v>
      </c>
      <c r="O675" s="54">
        <v>12.44</v>
      </c>
      <c r="P675" s="54">
        <v>12.45</v>
      </c>
      <c r="Q675" s="71">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53" t="s">
        <v>1363</v>
      </c>
      <c r="F676" s="53" t="s">
        <v>46</v>
      </c>
      <c r="G676" s="53" t="s">
        <v>704</v>
      </c>
      <c r="H676" s="53">
        <f>STOCK[[#This Row],[Precio Final]]</f>
        <v>25</v>
      </c>
      <c r="I676" s="53">
        <f>STOCK[[#This Row],[Precio Venta Ideal (x1.5)]]</f>
        <v>26.925</v>
      </c>
      <c r="J676" s="70">
        <v>1</v>
      </c>
      <c r="K676" s="70">
        <f>SUMIFS(VENTAS[Cantidad],VENTAS[Código del producto Vendido],STOCK[[#This Row],[Code]])</f>
        <v>0</v>
      </c>
      <c r="L676" s="70">
        <f>STOCK[[#This Row],[Entradas]]-STOCK[[#This Row],[Salidas]]</f>
        <v>1</v>
      </c>
      <c r="M676" s="53">
        <f>STOCK[[#This Row],[Precio Final]]*10%</f>
        <v>2.5</v>
      </c>
      <c r="N676" s="53">
        <v>0</v>
      </c>
      <c r="O676" s="53">
        <v>12.44</v>
      </c>
      <c r="P676" s="53">
        <v>12.45</v>
      </c>
      <c r="Q676" s="70">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53" t="s">
        <v>1363</v>
      </c>
      <c r="F677" s="54" t="s">
        <v>49</v>
      </c>
      <c r="G677" s="54" t="s">
        <v>704</v>
      </c>
      <c r="H677" s="54">
        <f>STOCK[[#This Row],[Precio Final]]</f>
        <v>25</v>
      </c>
      <c r="I677" s="54">
        <f>STOCK[[#This Row],[Precio Venta Ideal (x1.5)]]</f>
        <v>26.925</v>
      </c>
      <c r="J677" s="71">
        <v>1</v>
      </c>
      <c r="K677" s="71">
        <f>SUMIFS(VENTAS[Cantidad],VENTAS[Código del producto Vendido],STOCK[[#This Row],[Code]])</f>
        <v>0</v>
      </c>
      <c r="L677" s="71">
        <f>STOCK[[#This Row],[Entradas]]-STOCK[[#This Row],[Salidas]]</f>
        <v>1</v>
      </c>
      <c r="M677" s="54">
        <f>STOCK[[#This Row],[Precio Final]]*10%</f>
        <v>2.5</v>
      </c>
      <c r="N677" s="54">
        <v>0</v>
      </c>
      <c r="O677" s="54">
        <v>12.44</v>
      </c>
      <c r="P677" s="54">
        <v>12.45</v>
      </c>
      <c r="Q677" s="71">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53" t="s">
        <v>1366</v>
      </c>
      <c r="F678" s="53" t="s">
        <v>49</v>
      </c>
      <c r="G678" s="53" t="s">
        <v>36</v>
      </c>
      <c r="H678" s="53">
        <f>STOCK[[#This Row],[Precio Final]]</f>
        <v>25</v>
      </c>
      <c r="I678" s="53">
        <f>STOCK[[#This Row],[Precio Venta Ideal (x1.5)]]</f>
        <v>31.995</v>
      </c>
      <c r="J678" s="70">
        <v>2</v>
      </c>
      <c r="K678" s="70">
        <f>SUMIFS(VENTAS[Cantidad],VENTAS[Código del producto Vendido],STOCK[[#This Row],[Code]])</f>
        <v>1</v>
      </c>
      <c r="L678" s="70">
        <f>STOCK[[#This Row],[Entradas]]-STOCK[[#This Row],[Salidas]]</f>
        <v>1</v>
      </c>
      <c r="M678" s="53">
        <f>STOCK[[#This Row],[Precio Final]]*10%</f>
        <v>2.5</v>
      </c>
      <c r="N678" s="53">
        <v>0</v>
      </c>
      <c r="O678" s="53">
        <v>31.43</v>
      </c>
      <c r="P678" s="53">
        <v>13.83</v>
      </c>
      <c r="Q678" s="70">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54" t="s">
        <v>1366</v>
      </c>
      <c r="F679" s="54" t="s">
        <v>1047</v>
      </c>
      <c r="G679" s="54" t="s">
        <v>36</v>
      </c>
      <c r="H679" s="54">
        <f>STOCK[[#This Row],[Precio Final]]</f>
        <v>25</v>
      </c>
      <c r="I679" s="54">
        <f>STOCK[[#This Row],[Precio Venta Ideal (x1.5)]]</f>
        <v>31.995</v>
      </c>
      <c r="J679" s="71">
        <v>2</v>
      </c>
      <c r="K679" s="71">
        <f>SUMIFS(VENTAS[Cantidad],VENTAS[Código del producto Vendido],STOCK[[#This Row],[Code]])</f>
        <v>0</v>
      </c>
      <c r="L679" s="71">
        <f>STOCK[[#This Row],[Entradas]]-STOCK[[#This Row],[Salidas]]</f>
        <v>2</v>
      </c>
      <c r="M679" s="54">
        <f>STOCK[[#This Row],[Precio Final]]*10%</f>
        <v>2.5</v>
      </c>
      <c r="N679" s="54">
        <v>0</v>
      </c>
      <c r="O679" s="54">
        <v>31.43</v>
      </c>
      <c r="P679" s="54">
        <v>13.83</v>
      </c>
      <c r="Q679" s="71">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53" t="s">
        <v>1369</v>
      </c>
      <c r="F680" s="53" t="s">
        <v>88</v>
      </c>
      <c r="G680" s="53" t="s">
        <v>36</v>
      </c>
      <c r="H680" s="53">
        <f>STOCK[[#This Row],[Precio Final]]</f>
        <v>20</v>
      </c>
      <c r="I680" s="53">
        <f>STOCK[[#This Row],[Precio Venta Ideal (x1.5)]]</f>
        <v>22.11</v>
      </c>
      <c r="J680" s="70">
        <v>2</v>
      </c>
      <c r="K680" s="70">
        <f>SUMIFS(VENTAS[Cantidad],VENTAS[Código del producto Vendido],STOCK[[#This Row],[Code]])</f>
        <v>2</v>
      </c>
      <c r="L680" s="70">
        <f>STOCK[[#This Row],[Entradas]]-STOCK[[#This Row],[Salidas]]</f>
        <v>0</v>
      </c>
      <c r="M680" s="53">
        <f>STOCK[[#This Row],[Precio Final]]*10%</f>
        <v>2</v>
      </c>
      <c r="N680" s="53">
        <v>0</v>
      </c>
      <c r="O680" s="53">
        <v>12.64</v>
      </c>
      <c r="P680" s="53">
        <v>10.74</v>
      </c>
      <c r="Q680" s="70">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54" t="s">
        <v>1369</v>
      </c>
      <c r="F681" s="54" t="s">
        <v>211</v>
      </c>
      <c r="G681" s="54" t="s">
        <v>36</v>
      </c>
      <c r="H681" s="54">
        <f>STOCK[[#This Row],[Precio Final]]</f>
        <v>20</v>
      </c>
      <c r="I681" s="54">
        <f>STOCK[[#This Row],[Precio Venta Ideal (x1.5)]]</f>
        <v>22.11</v>
      </c>
      <c r="J681" s="71">
        <v>1</v>
      </c>
      <c r="K681" s="71">
        <f>SUMIFS(VENTAS[Cantidad],VENTAS[Código del producto Vendido],STOCK[[#This Row],[Code]])</f>
        <v>1</v>
      </c>
      <c r="L681" s="71">
        <f>STOCK[[#This Row],[Entradas]]-STOCK[[#This Row],[Salidas]]</f>
        <v>0</v>
      </c>
      <c r="M681" s="54">
        <f>STOCK[[#This Row],[Precio Final]]*10%</f>
        <v>2</v>
      </c>
      <c r="N681" s="54">
        <v>0</v>
      </c>
      <c r="O681" s="54">
        <v>25.28</v>
      </c>
      <c r="P681" s="54">
        <v>10.74</v>
      </c>
      <c r="Q681" s="71">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53" t="s">
        <v>1372</v>
      </c>
      <c r="F682" s="53" t="s">
        <v>525</v>
      </c>
      <c r="G682" s="53" t="s">
        <v>36</v>
      </c>
      <c r="H682" s="53">
        <f>STOCK[[#This Row],[Precio Final]]</f>
        <v>8</v>
      </c>
      <c r="I682" s="53">
        <f>STOCK[[#This Row],[Precio Venta Ideal (x1.5)]]</f>
        <v>8.43</v>
      </c>
      <c r="J682" s="70">
        <v>3</v>
      </c>
      <c r="K682" s="70">
        <f>SUMIFS(VENTAS[Cantidad],VENTAS[Código del producto Vendido],STOCK[[#This Row],[Code]])</f>
        <v>0</v>
      </c>
      <c r="L682" s="70">
        <f>STOCK[[#This Row],[Entradas]]-STOCK[[#This Row],[Salidas]]</f>
        <v>3</v>
      </c>
      <c r="M682" s="53">
        <f>STOCK[[#This Row],[Precio Final]]*10%</f>
        <v>0.8</v>
      </c>
      <c r="N682" s="53">
        <v>0</v>
      </c>
      <c r="O682" s="53">
        <v>4.77</v>
      </c>
      <c r="P682" s="53">
        <v>2.82</v>
      </c>
      <c r="Q682" s="70">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54" t="s">
        <v>1374</v>
      </c>
      <c r="F683" s="54" t="s">
        <v>525</v>
      </c>
      <c r="G683" s="54" t="s">
        <v>36</v>
      </c>
      <c r="H683" s="54">
        <f>STOCK[[#This Row],[Precio Final]]</f>
        <v>7</v>
      </c>
      <c r="I683" s="54">
        <f>STOCK[[#This Row],[Precio Venta Ideal (x1.5)]]</f>
        <v>8.505</v>
      </c>
      <c r="J683" s="71">
        <v>3</v>
      </c>
      <c r="K683" s="71">
        <f>SUMIFS(VENTAS[Cantidad],VENTAS[Código del producto Vendido],STOCK[[#This Row],[Code]])</f>
        <v>0</v>
      </c>
      <c r="L683" s="71">
        <f>STOCK[[#This Row],[Entradas]]-STOCK[[#This Row],[Salidas]]</f>
        <v>3</v>
      </c>
      <c r="M683" s="54">
        <f>STOCK[[#This Row],[Precio Final]]*10%</f>
        <v>0.7</v>
      </c>
      <c r="N683" s="54">
        <v>0</v>
      </c>
      <c r="O683" s="54">
        <v>14.13</v>
      </c>
      <c r="P683" s="54">
        <v>2.97</v>
      </c>
      <c r="Q683" s="71">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53" t="s">
        <v>1376</v>
      </c>
      <c r="F684" s="53" t="s">
        <v>62</v>
      </c>
      <c r="G684" s="53" t="s">
        <v>36</v>
      </c>
      <c r="H684" s="53">
        <f>STOCK[[#This Row],[Precio Final]]</f>
        <v>25</v>
      </c>
      <c r="I684" s="53">
        <f>STOCK[[#This Row],[Precio Venta Ideal (x1.5)]]</f>
        <v>20.25</v>
      </c>
      <c r="J684" s="70">
        <v>1</v>
      </c>
      <c r="K684" s="70">
        <f>SUMIFS(VENTAS[Cantidad],VENTAS[Código del producto Vendido],STOCK[[#This Row],[Code]])</f>
        <v>0</v>
      </c>
      <c r="L684" s="70">
        <f>STOCK[[#This Row],[Entradas]]-STOCK[[#This Row],[Salidas]]</f>
        <v>1</v>
      </c>
      <c r="M684" s="53">
        <f>STOCK[[#This Row],[Precio Final]]*10%</f>
        <v>2.5</v>
      </c>
      <c r="N684" s="53">
        <v>0</v>
      </c>
      <c r="O684" s="53">
        <v>15.5</v>
      </c>
      <c r="P684" s="53">
        <v>9</v>
      </c>
      <c r="Q684" s="70">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54" t="s">
        <v>1378</v>
      </c>
      <c r="F685" s="54" t="s">
        <v>1379</v>
      </c>
      <c r="G685" s="54" t="s">
        <v>704</v>
      </c>
      <c r="H685" s="54">
        <f>STOCK[[#This Row],[Precio Final]]</f>
        <v>12</v>
      </c>
      <c r="I685" s="54">
        <f>STOCK[[#This Row],[Precio Venta Ideal (x1.5)]]</f>
        <v>12.3</v>
      </c>
      <c r="J685" s="71">
        <v>0</v>
      </c>
      <c r="K685" s="71">
        <f>SUMIFS(VENTAS[Cantidad],VENTAS[Código del producto Vendido],STOCK[[#This Row],[Code]])</f>
        <v>0</v>
      </c>
      <c r="L685" s="71">
        <f>STOCK[[#This Row],[Entradas]]-STOCK[[#This Row],[Salidas]]</f>
        <v>0</v>
      </c>
      <c r="M685" s="54">
        <f>STOCK[[#This Row],[Precio Final]]*10%</f>
        <v>1.2</v>
      </c>
      <c r="N685" s="54">
        <v>0</v>
      </c>
      <c r="O685" s="54">
        <v>0</v>
      </c>
      <c r="P685" s="54">
        <v>5</v>
      </c>
      <c r="Q685" s="71">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53" t="s">
        <v>1381</v>
      </c>
      <c r="F686" s="53" t="s">
        <v>62</v>
      </c>
      <c r="G686" s="53" t="s">
        <v>1296</v>
      </c>
      <c r="H686" s="53">
        <f>STOCK[[#This Row],[Precio Final]]</f>
        <v>25</v>
      </c>
      <c r="I686" s="53">
        <f>STOCK[[#This Row],[Precio Venta Ideal (x1.5)]]</f>
        <v>26.25</v>
      </c>
      <c r="J686" s="70">
        <v>3</v>
      </c>
      <c r="K686" s="70">
        <f>SUMIFS(VENTAS[Cantidad],VENTAS[Código del producto Vendido],STOCK[[#This Row],[Code]])</f>
        <v>1</v>
      </c>
      <c r="L686" s="70">
        <f>STOCK[[#This Row],[Entradas]]-STOCK[[#This Row],[Salidas]]</f>
        <v>2</v>
      </c>
      <c r="M686" s="53">
        <f>STOCK[[#This Row],[Precio Final]]*10%</f>
        <v>2.5</v>
      </c>
      <c r="N686" s="53">
        <v>0</v>
      </c>
      <c r="O686" s="53">
        <v>0</v>
      </c>
      <c r="P686" s="53">
        <v>10</v>
      </c>
      <c r="Q686" s="70">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54" t="s">
        <v>1383</v>
      </c>
      <c r="F687" s="54" t="s">
        <v>1384</v>
      </c>
      <c r="G687" s="54" t="s">
        <v>704</v>
      </c>
      <c r="H687" s="54">
        <f>STOCK[[#This Row],[Precio Final]]</f>
        <v>12</v>
      </c>
      <c r="I687" s="54">
        <f>STOCK[[#This Row],[Precio Venta Ideal (x1.5)]]</f>
        <v>12.3</v>
      </c>
      <c r="J687" s="71">
        <v>0</v>
      </c>
      <c r="K687" s="71">
        <f>SUMIFS(VENTAS[Cantidad],VENTAS[Código del producto Vendido],STOCK[[#This Row],[Code]])</f>
        <v>0</v>
      </c>
      <c r="L687" s="71">
        <f>STOCK[[#This Row],[Entradas]]-STOCK[[#This Row],[Salidas]]</f>
        <v>0</v>
      </c>
      <c r="M687" s="54">
        <f>STOCK[[#This Row],[Precio Final]]*10%</f>
        <v>1.2</v>
      </c>
      <c r="N687" s="54">
        <v>0</v>
      </c>
      <c r="O687" s="54">
        <v>0</v>
      </c>
      <c r="P687" s="54">
        <v>5</v>
      </c>
      <c r="Q687" s="71">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53" t="s">
        <v>1386</v>
      </c>
      <c r="F688" s="53" t="s">
        <v>62</v>
      </c>
      <c r="G688" s="53" t="s">
        <v>36</v>
      </c>
      <c r="H688" s="53">
        <f>STOCK[[#This Row],[Precio Final]]</f>
        <v>3</v>
      </c>
      <c r="I688" s="53">
        <f>STOCK[[#This Row],[Precio Venta Ideal (x1.5)]]</f>
        <v>3.15</v>
      </c>
      <c r="J688" s="70">
        <v>2</v>
      </c>
      <c r="K688" s="70">
        <f>SUMIFS(VENTAS[Cantidad],VENTAS[Código del producto Vendido],STOCK[[#This Row],[Code]])</f>
        <v>2</v>
      </c>
      <c r="L688" s="70">
        <f>STOCK[[#This Row],[Entradas]]-STOCK[[#This Row],[Salidas]]</f>
        <v>0</v>
      </c>
      <c r="M688" s="53">
        <f>STOCK[[#This Row],[Precio Final]]*10%</f>
        <v>0.3</v>
      </c>
      <c r="N688" s="53">
        <v>0</v>
      </c>
      <c r="O688" s="53">
        <v>0</v>
      </c>
      <c r="P688" s="53">
        <v>1.3</v>
      </c>
      <c r="Q688" s="70">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54" t="s">
        <v>1389</v>
      </c>
      <c r="F689" s="54" t="s">
        <v>62</v>
      </c>
      <c r="G689" s="54" t="s">
        <v>704</v>
      </c>
      <c r="H689" s="54">
        <f>STOCK[[#This Row],[Precio Final]]</f>
        <v>19</v>
      </c>
      <c r="I689" s="54">
        <f>STOCK[[#This Row],[Precio Venta Ideal (x1.5)]]</f>
        <v>19.35</v>
      </c>
      <c r="J689" s="71">
        <v>1</v>
      </c>
      <c r="K689" s="71">
        <f>SUMIFS(VENTAS[Cantidad],VENTAS[Código del producto Vendido],STOCK[[#This Row],[Code]])</f>
        <v>0</v>
      </c>
      <c r="L689" s="71">
        <f>STOCK[[#This Row],[Entradas]]-STOCK[[#This Row],[Salidas]]</f>
        <v>1</v>
      </c>
      <c r="M689" s="54">
        <f>STOCK[[#This Row],[Precio Final]]*10%</f>
        <v>1.9</v>
      </c>
      <c r="N689" s="54">
        <v>0</v>
      </c>
      <c r="O689" s="54">
        <v>0</v>
      </c>
      <c r="P689" s="54">
        <v>9</v>
      </c>
      <c r="Q689" s="71">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53" t="s">
        <v>1391</v>
      </c>
      <c r="F690" s="53" t="s">
        <v>62</v>
      </c>
      <c r="G690" s="53" t="s">
        <v>1296</v>
      </c>
      <c r="H690" s="53">
        <f>STOCK[[#This Row],[Precio Final]]</f>
        <v>18</v>
      </c>
      <c r="I690" s="53">
        <f>STOCK[[#This Row],[Precio Venta Ideal (x1.5)]]</f>
        <v>19.68</v>
      </c>
      <c r="J690" s="70">
        <v>1</v>
      </c>
      <c r="K690" s="70">
        <f>SUMIFS(VENTAS[Cantidad],VENTAS[Código del producto Vendido],STOCK[[#This Row],[Code]])</f>
        <v>1</v>
      </c>
      <c r="L690" s="70">
        <f>STOCK[[#This Row],[Entradas]]-STOCK[[#This Row],[Salidas]]</f>
        <v>0</v>
      </c>
      <c r="M690" s="53">
        <f>STOCK[[#This Row],[Precio Final]]*10%</f>
        <v>1.8</v>
      </c>
      <c r="N690" s="53">
        <v>0</v>
      </c>
      <c r="O690" s="53">
        <v>0</v>
      </c>
      <c r="P690" s="53">
        <v>9.32</v>
      </c>
      <c r="Q690" s="70">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54" t="s">
        <v>1393</v>
      </c>
      <c r="F691" s="54" t="s">
        <v>49</v>
      </c>
      <c r="G691" s="54" t="s">
        <v>1296</v>
      </c>
      <c r="H691" s="54">
        <f>STOCK[[#This Row],[Precio Final]]</f>
        <v>20</v>
      </c>
      <c r="I691" s="54">
        <f>STOCK[[#This Row],[Precio Venta Ideal (x1.5)]]</f>
        <v>24</v>
      </c>
      <c r="J691" s="71">
        <v>0</v>
      </c>
      <c r="K691" s="71">
        <f>SUMIFS(VENTAS[Cantidad],VENTAS[Código del producto Vendido],STOCK[[#This Row],[Code]])</f>
        <v>0</v>
      </c>
      <c r="L691" s="71">
        <f>STOCK[[#This Row],[Entradas]]-STOCK[[#This Row],[Salidas]]</f>
        <v>0</v>
      </c>
      <c r="M691" s="54">
        <f>STOCK[[#This Row],[Precio Final]]*10%</f>
        <v>2</v>
      </c>
      <c r="N691" s="54">
        <v>0</v>
      </c>
      <c r="O691" s="54">
        <v>0</v>
      </c>
      <c r="P691" s="54">
        <v>12</v>
      </c>
      <c r="Q691" s="71">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53" t="s">
        <v>1391</v>
      </c>
      <c r="F692" s="53" t="s">
        <v>40</v>
      </c>
      <c r="G692" s="53" t="s">
        <v>1296</v>
      </c>
      <c r="H692" s="53">
        <f>STOCK[[#This Row],[Precio Final]]</f>
        <v>18</v>
      </c>
      <c r="I692" s="53">
        <f>STOCK[[#This Row],[Precio Venta Ideal (x1.5)]]</f>
        <v>19.68</v>
      </c>
      <c r="J692" s="70">
        <v>1</v>
      </c>
      <c r="K692" s="70">
        <f>SUMIFS(VENTAS[Cantidad],VENTAS[Código del producto Vendido],STOCK[[#This Row],[Code]])</f>
        <v>1</v>
      </c>
      <c r="L692" s="70">
        <f>STOCK[[#This Row],[Entradas]]-STOCK[[#This Row],[Salidas]]</f>
        <v>0</v>
      </c>
      <c r="M692" s="53">
        <f>STOCK[[#This Row],[Precio Final]]*10%</f>
        <v>1.8</v>
      </c>
      <c r="N692" s="53">
        <v>0</v>
      </c>
      <c r="O692" s="53">
        <v>0</v>
      </c>
      <c r="P692" s="53">
        <v>9.32</v>
      </c>
      <c r="Q692" s="70">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54" t="s">
        <v>1396</v>
      </c>
      <c r="F693" s="54" t="s">
        <v>49</v>
      </c>
      <c r="G693" s="54" t="s">
        <v>704</v>
      </c>
      <c r="H693" s="54">
        <f>STOCK[[#This Row],[Precio Final]]</f>
        <v>18</v>
      </c>
      <c r="I693" s="54">
        <f>STOCK[[#This Row],[Precio Venta Ideal (x1.5)]]</f>
        <v>19.68</v>
      </c>
      <c r="J693" s="71">
        <v>0</v>
      </c>
      <c r="K693" s="71">
        <f>SUMIFS(VENTAS[Cantidad],VENTAS[Código del producto Vendido],STOCK[[#This Row],[Code]])</f>
        <v>0</v>
      </c>
      <c r="L693" s="71">
        <f>STOCK[[#This Row],[Entradas]]-STOCK[[#This Row],[Salidas]]</f>
        <v>0</v>
      </c>
      <c r="M693" s="54">
        <f>STOCK[[#This Row],[Precio Final]]*10%</f>
        <v>1.8</v>
      </c>
      <c r="N693" s="54">
        <v>0</v>
      </c>
      <c r="O693" s="54">
        <v>0</v>
      </c>
      <c r="P693" s="54">
        <v>9.32</v>
      </c>
      <c r="Q693" s="71">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53" t="s">
        <v>1398</v>
      </c>
      <c r="F694" s="53" t="s">
        <v>62</v>
      </c>
      <c r="G694" s="53" t="s">
        <v>1296</v>
      </c>
      <c r="H694" s="53">
        <f>STOCK[[#This Row],[Precio Final]]</f>
        <v>12</v>
      </c>
      <c r="I694" s="53">
        <f>STOCK[[#This Row],[Precio Venta Ideal (x1.5)]]</f>
        <v>15.3</v>
      </c>
      <c r="J694" s="70">
        <v>3</v>
      </c>
      <c r="K694" s="70">
        <f>SUMIFS(VENTAS[Cantidad],VENTAS[Código del producto Vendido],STOCK[[#This Row],[Code]])</f>
        <v>1</v>
      </c>
      <c r="L694" s="70">
        <f>STOCK[[#This Row],[Entradas]]-STOCK[[#This Row],[Salidas]]</f>
        <v>2</v>
      </c>
      <c r="M694" s="53">
        <f>STOCK[[#This Row],[Precio Final]]*10%</f>
        <v>1.2</v>
      </c>
      <c r="N694" s="53">
        <v>0</v>
      </c>
      <c r="O694" s="53">
        <v>22.5</v>
      </c>
      <c r="P694" s="53">
        <v>7</v>
      </c>
      <c r="Q694" s="70">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53" t="s">
        <v>1398</v>
      </c>
      <c r="F695" s="54" t="s">
        <v>49</v>
      </c>
      <c r="G695" s="54" t="s">
        <v>1296</v>
      </c>
      <c r="H695" s="54">
        <f>STOCK[[#This Row],[Precio Final]]</f>
        <v>12</v>
      </c>
      <c r="I695" s="54">
        <f>STOCK[[#This Row],[Precio Venta Ideal (x1.5)]]</f>
        <v>15.3</v>
      </c>
      <c r="J695" s="71">
        <v>4</v>
      </c>
      <c r="K695" s="71">
        <f>SUMIFS(VENTAS[Cantidad],VENTAS[Código del producto Vendido],STOCK[[#This Row],[Code]])</f>
        <v>2</v>
      </c>
      <c r="L695" s="71">
        <f>STOCK[[#This Row],[Entradas]]-STOCK[[#This Row],[Salidas]]</f>
        <v>2</v>
      </c>
      <c r="M695" s="54">
        <f>STOCK[[#This Row],[Precio Final]]*10%</f>
        <v>1.2</v>
      </c>
      <c r="N695" s="54">
        <v>0</v>
      </c>
      <c r="O695" s="54">
        <v>22.5</v>
      </c>
      <c r="P695" s="54">
        <v>7</v>
      </c>
      <c r="Q695" s="71">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53" t="s">
        <v>1401</v>
      </c>
      <c r="F696" s="53" t="s">
        <v>49</v>
      </c>
      <c r="G696" s="53" t="s">
        <v>1296</v>
      </c>
      <c r="H696" s="53">
        <f>STOCK[[#This Row],[Precio Final]]</f>
        <v>12</v>
      </c>
      <c r="I696" s="53">
        <f>STOCK[[#This Row],[Precio Venta Ideal (x1.5)]]</f>
        <v>15.3</v>
      </c>
      <c r="J696" s="70">
        <v>3</v>
      </c>
      <c r="K696" s="70">
        <f>SUMIFS(VENTAS[Cantidad],VENTAS[Código del producto Vendido],STOCK[[#This Row],[Code]])</f>
        <v>2</v>
      </c>
      <c r="L696" s="70">
        <f>STOCK[[#This Row],[Entradas]]-STOCK[[#This Row],[Salidas]]</f>
        <v>1</v>
      </c>
      <c r="M696" s="53">
        <f>STOCK[[#This Row],[Precio Final]]*10%</f>
        <v>1.2</v>
      </c>
      <c r="N696" s="53">
        <v>0</v>
      </c>
      <c r="O696" s="53">
        <v>22.5</v>
      </c>
      <c r="P696" s="53">
        <v>7</v>
      </c>
      <c r="Q696" s="70">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54" t="s">
        <v>1403</v>
      </c>
      <c r="F697" s="54" t="s">
        <v>40</v>
      </c>
      <c r="G697" s="54" t="s">
        <v>1296</v>
      </c>
      <c r="H697" s="54">
        <f>STOCK[[#This Row],[Precio Final]]</f>
        <v>12</v>
      </c>
      <c r="I697" s="54">
        <f>STOCK[[#This Row],[Precio Venta Ideal (x1.5)]]</f>
        <v>15.3</v>
      </c>
      <c r="J697" s="71">
        <v>0</v>
      </c>
      <c r="K697" s="71">
        <f>SUMIFS(VENTAS[Cantidad],VENTAS[Código del producto Vendido],STOCK[[#This Row],[Code]])</f>
        <v>0</v>
      </c>
      <c r="L697" s="71">
        <f>STOCK[[#This Row],[Entradas]]-STOCK[[#This Row],[Salidas]]</f>
        <v>0</v>
      </c>
      <c r="M697" s="54">
        <f>STOCK[[#This Row],[Precio Final]]*10%</f>
        <v>1.2</v>
      </c>
      <c r="N697" s="54">
        <v>0</v>
      </c>
      <c r="O697" s="54">
        <v>0</v>
      </c>
      <c r="P697" s="54">
        <v>7</v>
      </c>
      <c r="Q697" s="71">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53" t="s">
        <v>1405</v>
      </c>
      <c r="F698" s="53" t="s">
        <v>49</v>
      </c>
      <c r="G698" s="53" t="s">
        <v>1296</v>
      </c>
      <c r="H698" s="53">
        <f>STOCK[[#This Row],[Precio Final]]</f>
        <v>10</v>
      </c>
      <c r="I698" s="53">
        <f>STOCK[[#This Row],[Precio Venta Ideal (x1.5)]]</f>
        <v>9.75</v>
      </c>
      <c r="J698" s="70">
        <v>3</v>
      </c>
      <c r="K698" s="70">
        <f>SUMIFS(VENTAS[Cantidad],VENTAS[Código del producto Vendido],STOCK[[#This Row],[Code]])</f>
        <v>3</v>
      </c>
      <c r="L698" s="70">
        <f>STOCK[[#This Row],[Entradas]]-STOCK[[#This Row],[Salidas]]</f>
        <v>0</v>
      </c>
      <c r="M698" s="53">
        <f>STOCK[[#This Row],[Precio Final]]*10%</f>
        <v>1</v>
      </c>
      <c r="N698" s="53">
        <v>0</v>
      </c>
      <c r="O698" s="53">
        <v>11</v>
      </c>
      <c r="P698" s="53">
        <v>4.5</v>
      </c>
      <c r="Q698" s="70">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53" t="s">
        <v>1405</v>
      </c>
      <c r="F699" s="54" t="s">
        <v>1408</v>
      </c>
      <c r="G699" s="54" t="s">
        <v>1296</v>
      </c>
      <c r="H699" s="54">
        <f>STOCK[[#This Row],[Precio Final]]</f>
        <v>10</v>
      </c>
      <c r="I699" s="54">
        <f>STOCK[[#This Row],[Precio Venta Ideal (x1.5)]]</f>
        <v>9.75</v>
      </c>
      <c r="J699" s="71">
        <v>1</v>
      </c>
      <c r="K699" s="71">
        <f>SUMIFS(VENTAS[Cantidad],VENTAS[Código del producto Vendido],STOCK[[#This Row],[Code]])</f>
        <v>1</v>
      </c>
      <c r="L699" s="71">
        <f>STOCK[[#This Row],[Entradas]]-STOCK[[#This Row],[Salidas]]</f>
        <v>0</v>
      </c>
      <c r="M699" s="54">
        <f>STOCK[[#This Row],[Precio Final]]*10%</f>
        <v>1</v>
      </c>
      <c r="N699" s="54">
        <v>0</v>
      </c>
      <c r="O699" s="54">
        <v>5.5</v>
      </c>
      <c r="P699" s="54">
        <v>4.5</v>
      </c>
      <c r="Q699" s="71">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53" t="s">
        <v>1410</v>
      </c>
      <c r="F700" s="53" t="s">
        <v>62</v>
      </c>
      <c r="G700" s="53" t="s">
        <v>1296</v>
      </c>
      <c r="H700" s="53">
        <f>STOCK[[#This Row],[Precio Final]]</f>
        <v>23</v>
      </c>
      <c r="I700" s="53">
        <f>STOCK[[#This Row],[Precio Venta Ideal (x1.5)]]</f>
        <v>24.78</v>
      </c>
      <c r="J700" s="70">
        <v>5</v>
      </c>
      <c r="K700" s="70">
        <f>SUMIFS(VENTAS[Cantidad],VENTAS[Código del producto Vendido],STOCK[[#This Row],[Code]])</f>
        <v>5</v>
      </c>
      <c r="L700" s="70">
        <f>STOCK[[#This Row],[Entradas]]-STOCK[[#This Row],[Salidas]]</f>
        <v>0</v>
      </c>
      <c r="M700" s="53">
        <f>STOCK[[#This Row],[Precio Final]]*10%</f>
        <v>2.3</v>
      </c>
      <c r="N700" s="53">
        <v>0</v>
      </c>
      <c r="O700" s="53">
        <v>31</v>
      </c>
      <c r="P700" s="53">
        <v>10.22</v>
      </c>
      <c r="Q700" s="70">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54" t="s">
        <v>1412</v>
      </c>
      <c r="F701" s="54" t="s">
        <v>1305</v>
      </c>
      <c r="G701" s="54" t="s">
        <v>1296</v>
      </c>
      <c r="H701" s="54">
        <f>STOCK[[#This Row],[Precio Final]]</f>
        <v>23</v>
      </c>
      <c r="I701" s="54">
        <f>STOCK[[#This Row],[Precio Venta Ideal (x1.5)]]</f>
        <v>24.78</v>
      </c>
      <c r="J701" s="71">
        <v>1</v>
      </c>
      <c r="K701" s="71">
        <f>SUMIFS(VENTAS[Cantidad],VENTAS[Código del producto Vendido],STOCK[[#This Row],[Code]])</f>
        <v>1</v>
      </c>
      <c r="L701" s="71">
        <f>STOCK[[#This Row],[Entradas]]-STOCK[[#This Row],[Salidas]]</f>
        <v>0</v>
      </c>
      <c r="M701" s="54">
        <f>STOCK[[#This Row],[Precio Final]]*10%</f>
        <v>2.3</v>
      </c>
      <c r="N701" s="54">
        <v>0</v>
      </c>
      <c r="O701" s="54">
        <v>31</v>
      </c>
      <c r="P701" s="54">
        <v>10.22</v>
      </c>
      <c r="Q701" s="71">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53" t="s">
        <v>1414</v>
      </c>
      <c r="F702" s="53" t="s">
        <v>1415</v>
      </c>
      <c r="G702" s="53" t="s">
        <v>1296</v>
      </c>
      <c r="H702" s="53">
        <f>STOCK[[#This Row],[Precio Final]]</f>
        <v>35</v>
      </c>
      <c r="I702" s="53">
        <f>STOCK[[#This Row],[Precio Venta Ideal (x1.5)]]</f>
        <v>35.25</v>
      </c>
      <c r="J702" s="70">
        <v>3</v>
      </c>
      <c r="K702" s="70">
        <f>SUMIFS(VENTAS[Cantidad],VENTAS[Código del producto Vendido],STOCK[[#This Row],[Code]])</f>
        <v>1</v>
      </c>
      <c r="L702" s="70">
        <f>STOCK[[#This Row],[Entradas]]-STOCK[[#This Row],[Salidas]]</f>
        <v>2</v>
      </c>
      <c r="M702" s="53">
        <f>STOCK[[#This Row],[Precio Final]]*10%</f>
        <v>3.5</v>
      </c>
      <c r="N702" s="53">
        <v>0</v>
      </c>
      <c r="O702" s="53">
        <v>44</v>
      </c>
      <c r="P702" s="53">
        <v>15</v>
      </c>
      <c r="Q702" s="70">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54" t="s">
        <v>1414</v>
      </c>
      <c r="F703" s="54" t="s">
        <v>1417</v>
      </c>
      <c r="G703" s="54" t="s">
        <v>1296</v>
      </c>
      <c r="H703" s="54">
        <f>STOCK[[#This Row],[Precio Final]]</f>
        <v>32</v>
      </c>
      <c r="I703" s="54">
        <f>STOCK[[#This Row],[Precio Venta Ideal (x1.5)]]</f>
        <v>34.8</v>
      </c>
      <c r="J703" s="71">
        <v>3</v>
      </c>
      <c r="K703" s="71">
        <f>SUMIFS(VENTAS[Cantidad],VENTAS[Código del producto Vendido],STOCK[[#This Row],[Code]])</f>
        <v>3</v>
      </c>
      <c r="L703" s="71">
        <f>STOCK[[#This Row],[Entradas]]-STOCK[[#This Row],[Salidas]]</f>
        <v>0</v>
      </c>
      <c r="M703" s="54">
        <f>STOCK[[#This Row],[Precio Final]]*10%</f>
        <v>3.2</v>
      </c>
      <c r="N703" s="54">
        <v>0</v>
      </c>
      <c r="O703" s="54">
        <v>66</v>
      </c>
      <c r="P703" s="54">
        <v>15</v>
      </c>
      <c r="Q703" s="71">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53" t="s">
        <v>1419</v>
      </c>
      <c r="F704" s="53" t="s">
        <v>49</v>
      </c>
      <c r="G704" s="53" t="s">
        <v>1296</v>
      </c>
      <c r="H704" s="53">
        <f>STOCK[[#This Row],[Precio Final]]</f>
        <v>30</v>
      </c>
      <c r="I704" s="53">
        <f>STOCK[[#This Row],[Precio Venta Ideal (x1.5)]]</f>
        <v>41.385</v>
      </c>
      <c r="J704" s="70">
        <v>2</v>
      </c>
      <c r="K704" s="70">
        <f>SUMIFS(VENTAS[Cantidad],VENTAS[Código del producto Vendido],STOCK[[#This Row],[Code]])</f>
        <v>2</v>
      </c>
      <c r="L704" s="70">
        <f>STOCK[[#This Row],[Entradas]]-STOCK[[#This Row],[Salidas]]</f>
        <v>0</v>
      </c>
      <c r="M704" s="53">
        <f>STOCK[[#This Row],[Precio Final]]*10%</f>
        <v>3</v>
      </c>
      <c r="N704" s="53">
        <v>0</v>
      </c>
      <c r="O704" s="53">
        <v>29.59</v>
      </c>
      <c r="P704" s="53">
        <v>19.59</v>
      </c>
      <c r="Q704" s="70">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54" t="s">
        <v>1419</v>
      </c>
      <c r="F705" s="54" t="s">
        <v>62</v>
      </c>
      <c r="G705" s="54" t="s">
        <v>1296</v>
      </c>
      <c r="H705" s="54">
        <f>STOCK[[#This Row],[Precio Final]]</f>
        <v>30</v>
      </c>
      <c r="I705" s="54">
        <f>STOCK[[#This Row],[Precio Venta Ideal (x1.5)]]</f>
        <v>41.385</v>
      </c>
      <c r="J705" s="71">
        <v>2</v>
      </c>
      <c r="K705" s="71">
        <f>SUMIFS(VENTAS[Cantidad],VENTAS[Código del producto Vendido],STOCK[[#This Row],[Code]])</f>
        <v>2</v>
      </c>
      <c r="L705" s="71">
        <f>STOCK[[#This Row],[Entradas]]-STOCK[[#This Row],[Salidas]]</f>
        <v>0</v>
      </c>
      <c r="M705" s="54">
        <f>STOCK[[#This Row],[Precio Final]]*10%</f>
        <v>3</v>
      </c>
      <c r="N705" s="54">
        <v>0</v>
      </c>
      <c r="O705" s="54">
        <v>29.59</v>
      </c>
      <c r="P705" s="54">
        <v>19.59</v>
      </c>
      <c r="Q705" s="71">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53" t="s">
        <v>1422</v>
      </c>
      <c r="F706" s="53" t="s">
        <v>62</v>
      </c>
      <c r="G706" s="53" t="s">
        <v>1296</v>
      </c>
      <c r="H706" s="53">
        <f>STOCK[[#This Row],[Precio Final]]</f>
        <v>20</v>
      </c>
      <c r="I706" s="53">
        <f>STOCK[[#This Row],[Precio Venta Ideal (x1.5)]]</f>
        <v>22.485</v>
      </c>
      <c r="J706" s="70">
        <v>2</v>
      </c>
      <c r="K706" s="70">
        <f>SUMIFS(VENTAS[Cantidad],VENTAS[Código del producto Vendido],STOCK[[#This Row],[Code]])</f>
        <v>2</v>
      </c>
      <c r="L706" s="70">
        <f>STOCK[[#This Row],[Entradas]]-STOCK[[#This Row],[Salidas]]</f>
        <v>0</v>
      </c>
      <c r="M706" s="53">
        <f>STOCK[[#This Row],[Precio Final]]*10%</f>
        <v>2</v>
      </c>
      <c r="N706" s="53">
        <v>0</v>
      </c>
      <c r="O706" s="53">
        <v>30</v>
      </c>
      <c r="P706" s="53">
        <v>9.99</v>
      </c>
      <c r="Q706" s="70">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54" t="s">
        <v>1424</v>
      </c>
      <c r="F707" s="54" t="s">
        <v>1425</v>
      </c>
      <c r="G707" s="54" t="s">
        <v>704</v>
      </c>
      <c r="H707" s="54">
        <f>STOCK[[#This Row],[Precio Final]]</f>
        <v>30</v>
      </c>
      <c r="I707" s="54">
        <f>STOCK[[#This Row],[Precio Venta Ideal (x1.5)]]</f>
        <v>36</v>
      </c>
      <c r="J707" s="71">
        <v>1</v>
      </c>
      <c r="K707" s="71">
        <f>SUMIFS(VENTAS[Cantidad],VENTAS[Código del producto Vendido],STOCK[[#This Row],[Code]])</f>
        <v>1</v>
      </c>
      <c r="L707" s="71">
        <f>STOCK[[#This Row],[Entradas]]-STOCK[[#This Row],[Salidas]]</f>
        <v>0</v>
      </c>
      <c r="M707" s="54">
        <f>STOCK[[#This Row],[Precio Final]]*10%</f>
        <v>3</v>
      </c>
      <c r="N707" s="54">
        <v>0</v>
      </c>
      <c r="O707" s="54">
        <v>18</v>
      </c>
      <c r="P707" s="54">
        <v>18</v>
      </c>
      <c r="Q707" s="71">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53" t="s">
        <v>1427</v>
      </c>
      <c r="F708" s="53" t="s">
        <v>49</v>
      </c>
      <c r="G708" s="53" t="s">
        <v>1296</v>
      </c>
      <c r="H708" s="53">
        <f>STOCK[[#This Row],[Precio Final]]</f>
        <v>35</v>
      </c>
      <c r="I708" s="53">
        <f>STOCK[[#This Row],[Precio Venta Ideal (x1.5)]]</f>
        <v>30.75</v>
      </c>
      <c r="J708" s="70">
        <v>3</v>
      </c>
      <c r="K708" s="70">
        <f>SUMIFS(VENTAS[Cantidad],VENTAS[Código del producto Vendido],STOCK[[#This Row],[Code]])</f>
        <v>1</v>
      </c>
      <c r="L708" s="70">
        <f>STOCK[[#This Row],[Entradas]]-STOCK[[#This Row],[Salidas]]</f>
        <v>2</v>
      </c>
      <c r="M708" s="53">
        <f>STOCK[[#This Row],[Precio Final]]*10%</f>
        <v>3.5</v>
      </c>
      <c r="N708" s="53">
        <v>0</v>
      </c>
      <c r="O708" s="53">
        <v>54</v>
      </c>
      <c r="P708" s="53">
        <v>12</v>
      </c>
      <c r="Q708" s="70">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54" t="s">
        <v>1427</v>
      </c>
      <c r="F709" s="54" t="s">
        <v>62</v>
      </c>
      <c r="G709" s="54" t="s">
        <v>1296</v>
      </c>
      <c r="H709" s="54">
        <f>STOCK[[#This Row],[Precio Final]]</f>
        <v>30</v>
      </c>
      <c r="I709" s="54">
        <f>STOCK[[#This Row],[Precio Venta Ideal (x1.5)]]</f>
        <v>30</v>
      </c>
      <c r="J709" s="71">
        <v>2</v>
      </c>
      <c r="K709" s="71">
        <f>SUMIFS(VENTAS[Cantidad],VENTAS[Código del producto Vendido],STOCK[[#This Row],[Code]])</f>
        <v>2</v>
      </c>
      <c r="L709" s="71">
        <f>STOCK[[#This Row],[Entradas]]-STOCK[[#This Row],[Salidas]]</f>
        <v>0</v>
      </c>
      <c r="M709" s="54">
        <f>STOCK[[#This Row],[Precio Final]]*10%</f>
        <v>3</v>
      </c>
      <c r="N709" s="54">
        <v>0</v>
      </c>
      <c r="O709" s="54">
        <v>18</v>
      </c>
      <c r="P709" s="54">
        <v>12</v>
      </c>
      <c r="Q709" s="71">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53" t="s">
        <v>1430</v>
      </c>
      <c r="F710" s="53" t="s">
        <v>759</v>
      </c>
      <c r="G710" s="53" t="s">
        <v>1296</v>
      </c>
      <c r="H710" s="53">
        <f>STOCK[[#This Row],[Precio Final]]</f>
        <v>18</v>
      </c>
      <c r="I710" s="53">
        <f>STOCK[[#This Row],[Precio Venta Ideal (x1.5)]]</f>
        <v>19.935</v>
      </c>
      <c r="J710" s="70">
        <v>1</v>
      </c>
      <c r="K710" s="70">
        <f>SUMIFS(VENTAS[Cantidad],VENTAS[Código del producto Vendido],STOCK[[#This Row],[Code]])</f>
        <v>1</v>
      </c>
      <c r="L710" s="70">
        <f>STOCK[[#This Row],[Entradas]]-STOCK[[#This Row],[Salidas]]</f>
        <v>0</v>
      </c>
      <c r="M710" s="53">
        <f>STOCK[[#This Row],[Precio Final]]*10%</f>
        <v>1.8</v>
      </c>
      <c r="N710" s="53">
        <v>0</v>
      </c>
      <c r="O710" s="53">
        <v>12.49</v>
      </c>
      <c r="P710" s="53">
        <v>7.49</v>
      </c>
      <c r="Q710" s="70">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54" t="s">
        <v>1430</v>
      </c>
      <c r="F711" s="54" t="s">
        <v>764</v>
      </c>
      <c r="G711" s="54" t="s">
        <v>1296</v>
      </c>
      <c r="H711" s="54">
        <f>STOCK[[#This Row],[Precio Final]]</f>
        <v>18</v>
      </c>
      <c r="I711" s="54">
        <f>STOCK[[#This Row],[Precio Venta Ideal (x1.5)]]</f>
        <v>19.935</v>
      </c>
      <c r="J711" s="71">
        <v>1</v>
      </c>
      <c r="K711" s="71">
        <f>SUMIFS(VENTAS[Cantidad],VENTAS[Código del producto Vendido],STOCK[[#This Row],[Code]])</f>
        <v>1</v>
      </c>
      <c r="L711" s="71">
        <f>STOCK[[#This Row],[Entradas]]-STOCK[[#This Row],[Salidas]]</f>
        <v>0</v>
      </c>
      <c r="M711" s="54">
        <f>STOCK[[#This Row],[Precio Final]]*10%</f>
        <v>1.8</v>
      </c>
      <c r="N711" s="54">
        <v>0</v>
      </c>
      <c r="O711" s="54">
        <v>12.49</v>
      </c>
      <c r="P711" s="54">
        <v>7.49</v>
      </c>
      <c r="Q711" s="71">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53" t="s">
        <v>1430</v>
      </c>
      <c r="F712" s="53" t="s">
        <v>540</v>
      </c>
      <c r="G712" s="53" t="s">
        <v>1296</v>
      </c>
      <c r="H712" s="53">
        <f>STOCK[[#This Row],[Precio Final]]</f>
        <v>18</v>
      </c>
      <c r="I712" s="53">
        <f>STOCK[[#This Row],[Precio Venta Ideal (x1.5)]]</f>
        <v>19.935</v>
      </c>
      <c r="J712" s="70">
        <v>1</v>
      </c>
      <c r="K712" s="70">
        <f>SUMIFS(VENTAS[Cantidad],VENTAS[Código del producto Vendido],STOCK[[#This Row],[Code]])</f>
        <v>1</v>
      </c>
      <c r="L712" s="70">
        <f>STOCK[[#This Row],[Entradas]]-STOCK[[#This Row],[Salidas]]</f>
        <v>0</v>
      </c>
      <c r="M712" s="53">
        <f>STOCK[[#This Row],[Precio Final]]*10%</f>
        <v>1.8</v>
      </c>
      <c r="N712" s="53">
        <v>0</v>
      </c>
      <c r="O712" s="53">
        <v>12.49</v>
      </c>
      <c r="P712" s="53">
        <v>7.49</v>
      </c>
      <c r="Q712" s="70">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54" t="s">
        <v>1435</v>
      </c>
      <c r="F713" s="54" t="s">
        <v>1425</v>
      </c>
      <c r="G713" s="54" t="s">
        <v>704</v>
      </c>
      <c r="H713" s="54">
        <f>STOCK[[#This Row],[Precio Final]]</f>
        <v>30</v>
      </c>
      <c r="I713" s="54">
        <f>STOCK[[#This Row],[Precio Venta Ideal (x1.5)]]</f>
        <v>36</v>
      </c>
      <c r="J713" s="71">
        <v>0</v>
      </c>
      <c r="K713" s="71">
        <f>SUMIFS(VENTAS[Cantidad],VENTAS[Código del producto Vendido],STOCK[[#This Row],[Code]])</f>
        <v>0</v>
      </c>
      <c r="L713" s="71">
        <f>STOCK[[#This Row],[Entradas]]-STOCK[[#This Row],[Salidas]]</f>
        <v>0</v>
      </c>
      <c r="M713" s="54">
        <f>STOCK[[#This Row],[Precio Final]]*10%</f>
        <v>3</v>
      </c>
      <c r="N713" s="54">
        <v>0</v>
      </c>
      <c r="O713" s="54">
        <v>0</v>
      </c>
      <c r="P713" s="54">
        <v>18</v>
      </c>
      <c r="Q713" s="71">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53" t="s">
        <v>1437</v>
      </c>
      <c r="F714" s="53" t="s">
        <v>540</v>
      </c>
      <c r="G714" s="53" t="s">
        <v>1296</v>
      </c>
      <c r="H714" s="53">
        <f>STOCK[[#This Row],[Precio Final]]</f>
        <v>30</v>
      </c>
      <c r="I714" s="53">
        <f>STOCK[[#This Row],[Precio Venta Ideal (x1.5)]]</f>
        <v>30</v>
      </c>
      <c r="J714" s="70">
        <v>1</v>
      </c>
      <c r="K714" s="70">
        <f>SUMIFS(VENTAS[Cantidad],VENTAS[Código del producto Vendido],STOCK[[#This Row],[Code]])</f>
        <v>1</v>
      </c>
      <c r="L714" s="70">
        <f>STOCK[[#This Row],[Entradas]]-STOCK[[#This Row],[Salidas]]</f>
        <v>0</v>
      </c>
      <c r="M714" s="53">
        <f>STOCK[[#This Row],[Precio Final]]*10%</f>
        <v>3</v>
      </c>
      <c r="N714" s="53">
        <v>0</v>
      </c>
      <c r="O714" s="53">
        <v>17</v>
      </c>
      <c r="P714" s="53">
        <v>7</v>
      </c>
      <c r="Q714" s="70">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54" t="s">
        <v>1437</v>
      </c>
      <c r="F715" s="54" t="s">
        <v>759</v>
      </c>
      <c r="G715" s="54" t="s">
        <v>1296</v>
      </c>
      <c r="H715" s="54">
        <f>STOCK[[#This Row],[Precio Final]]</f>
        <v>30</v>
      </c>
      <c r="I715" s="54">
        <f>STOCK[[#This Row],[Precio Venta Ideal (x1.5)]]</f>
        <v>30</v>
      </c>
      <c r="J715" s="71">
        <v>1</v>
      </c>
      <c r="K715" s="71">
        <f>SUMIFS(VENTAS[Cantidad],VENTAS[Código del producto Vendido],STOCK[[#This Row],[Code]])</f>
        <v>1</v>
      </c>
      <c r="L715" s="71">
        <f>STOCK[[#This Row],[Entradas]]-STOCK[[#This Row],[Salidas]]</f>
        <v>0</v>
      </c>
      <c r="M715" s="54">
        <f>STOCK[[#This Row],[Precio Final]]*10%</f>
        <v>3</v>
      </c>
      <c r="N715" s="54">
        <v>0</v>
      </c>
      <c r="O715" s="54">
        <v>17</v>
      </c>
      <c r="P715" s="54">
        <v>7</v>
      </c>
      <c r="Q715" s="71">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53" t="s">
        <v>1437</v>
      </c>
      <c r="F716" s="53" t="s">
        <v>517</v>
      </c>
      <c r="G716" s="53" t="s">
        <v>1296</v>
      </c>
      <c r="H716" s="53">
        <f>STOCK[[#This Row],[Precio Final]]</f>
        <v>30</v>
      </c>
      <c r="I716" s="53">
        <f>STOCK[[#This Row],[Precio Venta Ideal (x1.5)]]</f>
        <v>30</v>
      </c>
      <c r="J716" s="70">
        <v>1</v>
      </c>
      <c r="K716" s="70">
        <f>SUMIFS(VENTAS[Cantidad],VENTAS[Código del producto Vendido],STOCK[[#This Row],[Code]])</f>
        <v>1</v>
      </c>
      <c r="L716" s="70">
        <f>STOCK[[#This Row],[Entradas]]-STOCK[[#This Row],[Salidas]]</f>
        <v>0</v>
      </c>
      <c r="M716" s="53">
        <f>STOCK[[#This Row],[Precio Final]]*10%</f>
        <v>3</v>
      </c>
      <c r="N716" s="53">
        <v>0</v>
      </c>
      <c r="O716" s="53">
        <v>17</v>
      </c>
      <c r="P716" s="53">
        <v>7</v>
      </c>
      <c r="Q716" s="70">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54" t="s">
        <v>1441</v>
      </c>
      <c r="F717" s="54" t="s">
        <v>1442</v>
      </c>
      <c r="G717" s="54" t="s">
        <v>1296</v>
      </c>
      <c r="H717" s="54">
        <f>STOCK[[#This Row],[Precio Final]]</f>
        <v>27</v>
      </c>
      <c r="I717" s="54">
        <f>STOCK[[#This Row],[Precio Venta Ideal (x1.5)]]</f>
        <v>22.785</v>
      </c>
      <c r="J717" s="71">
        <v>2</v>
      </c>
      <c r="K717" s="71">
        <f>SUMIFS(VENTAS[Cantidad],VENTAS[Código del producto Vendido],STOCK[[#This Row],[Code]])</f>
        <v>2</v>
      </c>
      <c r="L717" s="71">
        <f>STOCK[[#This Row],[Entradas]]-STOCK[[#This Row],[Salidas]]</f>
        <v>0</v>
      </c>
      <c r="M717" s="54">
        <f>STOCK[[#This Row],[Precio Final]]*10%</f>
        <v>2.7</v>
      </c>
      <c r="N717" s="54">
        <v>0</v>
      </c>
      <c r="O717" s="54">
        <v>17.5</v>
      </c>
      <c r="P717" s="54">
        <v>7.49</v>
      </c>
      <c r="Q717" s="71">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53" t="s">
        <v>1444</v>
      </c>
      <c r="F718" s="53" t="s">
        <v>540</v>
      </c>
      <c r="G718" s="53" t="s">
        <v>1296</v>
      </c>
      <c r="H718" s="53">
        <f>STOCK[[#This Row],[Precio Final]]</f>
        <v>27</v>
      </c>
      <c r="I718" s="53">
        <f>STOCK[[#This Row],[Precio Venta Ideal (x1.5)]]</f>
        <v>22.785</v>
      </c>
      <c r="J718" s="70">
        <v>1</v>
      </c>
      <c r="K718" s="70">
        <f>SUMIFS(VENTAS[Cantidad],VENTAS[Código del producto Vendido],STOCK[[#This Row],[Code]])</f>
        <v>1</v>
      </c>
      <c r="L718" s="70">
        <f>STOCK[[#This Row],[Entradas]]-STOCK[[#This Row],[Salidas]]</f>
        <v>0</v>
      </c>
      <c r="M718" s="53">
        <f>STOCK[[#This Row],[Precio Final]]*10%</f>
        <v>2.7</v>
      </c>
      <c r="N718" s="53">
        <v>0</v>
      </c>
      <c r="O718" s="53">
        <v>17.5</v>
      </c>
      <c r="P718" s="53">
        <v>7.49</v>
      </c>
      <c r="Q718" s="70">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54" t="s">
        <v>1444</v>
      </c>
      <c r="F719" s="54" t="s">
        <v>764</v>
      </c>
      <c r="G719" s="54" t="s">
        <v>1296</v>
      </c>
      <c r="H719" s="54">
        <f>STOCK[[#This Row],[Precio Final]]</f>
        <v>27</v>
      </c>
      <c r="I719" s="54">
        <f>STOCK[[#This Row],[Precio Venta Ideal (x1.5)]]</f>
        <v>22.785</v>
      </c>
      <c r="J719" s="71">
        <v>1</v>
      </c>
      <c r="K719" s="71">
        <f>SUMIFS(VENTAS[Cantidad],VENTAS[Código del producto Vendido],STOCK[[#This Row],[Code]])</f>
        <v>1</v>
      </c>
      <c r="L719" s="71">
        <f>STOCK[[#This Row],[Entradas]]-STOCK[[#This Row],[Salidas]]</f>
        <v>0</v>
      </c>
      <c r="M719" s="54">
        <f>STOCK[[#This Row],[Precio Final]]*10%</f>
        <v>2.7</v>
      </c>
      <c r="N719" s="54">
        <v>0</v>
      </c>
      <c r="O719" s="54">
        <v>17.5</v>
      </c>
      <c r="P719" s="54">
        <v>7.49</v>
      </c>
      <c r="Q719" s="71">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53" t="s">
        <v>1447</v>
      </c>
      <c r="F720" s="53" t="s">
        <v>540</v>
      </c>
      <c r="G720" s="53" t="s">
        <v>1296</v>
      </c>
      <c r="H720" s="53">
        <f>STOCK[[#This Row],[Precio Final]]</f>
        <v>43</v>
      </c>
      <c r="I720" s="53">
        <f>STOCK[[#This Row],[Precio Venta Ideal (x1.5)]]</f>
        <v>47.685</v>
      </c>
      <c r="J720" s="70">
        <v>1</v>
      </c>
      <c r="K720" s="70">
        <f>SUMIFS(VENTAS[Cantidad],VENTAS[Código del producto Vendido],STOCK[[#This Row],[Code]])</f>
        <v>1</v>
      </c>
      <c r="L720" s="70">
        <f>STOCK[[#This Row],[Entradas]]-STOCK[[#This Row],[Salidas]]</f>
        <v>0</v>
      </c>
      <c r="M720" s="53">
        <f>STOCK[[#This Row],[Precio Final]]*10%</f>
        <v>4.3</v>
      </c>
      <c r="N720" s="53">
        <v>0</v>
      </c>
      <c r="O720" s="53">
        <v>27.5</v>
      </c>
      <c r="P720" s="53">
        <v>17.49</v>
      </c>
      <c r="Q720" s="70">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54" t="s">
        <v>1447</v>
      </c>
      <c r="F721" s="54" t="s">
        <v>764</v>
      </c>
      <c r="G721" s="54" t="s">
        <v>1296</v>
      </c>
      <c r="H721" s="54">
        <f>STOCK[[#This Row],[Precio Final]]</f>
        <v>43</v>
      </c>
      <c r="I721" s="54">
        <f>STOCK[[#This Row],[Precio Venta Ideal (x1.5)]]</f>
        <v>47.685</v>
      </c>
      <c r="J721" s="71">
        <v>1</v>
      </c>
      <c r="K721" s="71">
        <f>SUMIFS(VENTAS[Cantidad],VENTAS[Código del producto Vendido],STOCK[[#This Row],[Code]])</f>
        <v>1</v>
      </c>
      <c r="L721" s="71">
        <f>STOCK[[#This Row],[Entradas]]-STOCK[[#This Row],[Salidas]]</f>
        <v>0</v>
      </c>
      <c r="M721" s="54">
        <f>STOCK[[#This Row],[Precio Final]]*10%</f>
        <v>4.3</v>
      </c>
      <c r="N721" s="54">
        <v>0</v>
      </c>
      <c r="O721" s="54">
        <v>27.5</v>
      </c>
      <c r="P721" s="54">
        <v>17.49</v>
      </c>
      <c r="Q721" s="71">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53" t="s">
        <v>1447</v>
      </c>
      <c r="F722" s="53" t="s">
        <v>540</v>
      </c>
      <c r="G722" s="53" t="s">
        <v>1296</v>
      </c>
      <c r="H722" s="53">
        <f>STOCK[[#This Row],[Precio Final]]</f>
        <v>43</v>
      </c>
      <c r="I722" s="53">
        <f>STOCK[[#This Row],[Precio Venta Ideal (x1.5)]]</f>
        <v>47.685</v>
      </c>
      <c r="J722" s="70">
        <v>1</v>
      </c>
      <c r="K722" s="70">
        <f>SUMIFS(VENTAS[Cantidad],VENTAS[Código del producto Vendido],STOCK[[#This Row],[Code]])</f>
        <v>1</v>
      </c>
      <c r="L722" s="70">
        <f>STOCK[[#This Row],[Entradas]]-STOCK[[#This Row],[Salidas]]</f>
        <v>0</v>
      </c>
      <c r="M722" s="53">
        <f>STOCK[[#This Row],[Precio Final]]*10%</f>
        <v>4.3</v>
      </c>
      <c r="N722" s="53">
        <v>0</v>
      </c>
      <c r="O722" s="53">
        <v>27.5</v>
      </c>
      <c r="P722" s="53">
        <v>17.49</v>
      </c>
      <c r="Q722" s="70">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54" t="s">
        <v>1451</v>
      </c>
      <c r="F723" s="54" t="s">
        <v>764</v>
      </c>
      <c r="G723" s="54" t="s">
        <v>1296</v>
      </c>
      <c r="H723" s="54">
        <f>STOCK[[#This Row],[Precio Final]]</f>
        <v>35</v>
      </c>
      <c r="I723" s="54">
        <f>STOCK[[#This Row],[Precio Venta Ideal (x1.5)]]</f>
        <v>38.985</v>
      </c>
      <c r="J723" s="71">
        <v>1</v>
      </c>
      <c r="K723" s="71">
        <f>SUMIFS(VENTAS[Cantidad],VENTAS[Código del producto Vendido],STOCK[[#This Row],[Code]])</f>
        <v>1</v>
      </c>
      <c r="L723" s="71">
        <f>STOCK[[#This Row],[Entradas]]-STOCK[[#This Row],[Salidas]]</f>
        <v>0</v>
      </c>
      <c r="M723" s="54">
        <f>STOCK[[#This Row],[Precio Final]]*10%</f>
        <v>3.5</v>
      </c>
      <c r="N723" s="54">
        <v>0</v>
      </c>
      <c r="O723" s="54">
        <v>22.5</v>
      </c>
      <c r="P723" s="54">
        <v>12.49</v>
      </c>
      <c r="Q723" s="71">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53" t="s">
        <v>1451</v>
      </c>
      <c r="F724" s="53" t="s">
        <v>1453</v>
      </c>
      <c r="G724" s="53" t="s">
        <v>1296</v>
      </c>
      <c r="H724" s="53">
        <f>STOCK[[#This Row],[Precio Final]]</f>
        <v>35</v>
      </c>
      <c r="I724" s="53">
        <f>STOCK[[#This Row],[Precio Venta Ideal (x1.5)]]</f>
        <v>38.985</v>
      </c>
      <c r="J724" s="70">
        <v>2</v>
      </c>
      <c r="K724" s="70">
        <f>SUMIFS(VENTAS[Cantidad],VENTAS[Código del producto Vendido],STOCK[[#This Row],[Code]])</f>
        <v>2</v>
      </c>
      <c r="L724" s="70">
        <f>STOCK[[#This Row],[Entradas]]-STOCK[[#This Row],[Salidas]]</f>
        <v>0</v>
      </c>
      <c r="M724" s="53">
        <f>STOCK[[#This Row],[Precio Final]]*10%</f>
        <v>3.5</v>
      </c>
      <c r="N724" s="53">
        <v>0</v>
      </c>
      <c r="O724" s="53">
        <v>22.5</v>
      </c>
      <c r="P724" s="53">
        <v>12.49</v>
      </c>
      <c r="Q724" s="70">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54" t="s">
        <v>1451</v>
      </c>
      <c r="F725" s="54" t="s">
        <v>40</v>
      </c>
      <c r="G725" s="54" t="s">
        <v>1296</v>
      </c>
      <c r="H725" s="54">
        <f>STOCK[[#This Row],[Precio Final]]</f>
        <v>35</v>
      </c>
      <c r="I725" s="54">
        <f>STOCK[[#This Row],[Precio Venta Ideal (x1.5)]]</f>
        <v>38.985</v>
      </c>
      <c r="J725" s="71">
        <v>1</v>
      </c>
      <c r="K725" s="71">
        <f>SUMIFS(VENTAS[Cantidad],VENTAS[Código del producto Vendido],STOCK[[#This Row],[Code]])</f>
        <v>1</v>
      </c>
      <c r="L725" s="71">
        <f>STOCK[[#This Row],[Entradas]]-STOCK[[#This Row],[Salidas]]</f>
        <v>0</v>
      </c>
      <c r="M725" s="54">
        <f>STOCK[[#This Row],[Precio Final]]*10%</f>
        <v>3.5</v>
      </c>
      <c r="N725" s="54">
        <v>0</v>
      </c>
      <c r="O725" s="54">
        <v>0</v>
      </c>
      <c r="P725" s="54">
        <v>12.49</v>
      </c>
      <c r="Q725" s="71">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53" t="s">
        <v>1456</v>
      </c>
      <c r="F726" s="53" t="s">
        <v>62</v>
      </c>
      <c r="G726" s="53" t="s">
        <v>1296</v>
      </c>
      <c r="H726" s="53">
        <f>STOCK[[#This Row],[Precio Final]]</f>
        <v>28</v>
      </c>
      <c r="I726" s="53">
        <f>STOCK[[#This Row],[Precio Venta Ideal (x1.5)]]</f>
        <v>22.95</v>
      </c>
      <c r="J726" s="70">
        <v>2</v>
      </c>
      <c r="K726" s="70">
        <f>SUMIFS(VENTAS[Cantidad],VENTAS[Código del producto Vendido],STOCK[[#This Row],[Code]])</f>
        <v>0</v>
      </c>
      <c r="L726" s="70">
        <f>STOCK[[#This Row],[Entradas]]-STOCK[[#This Row],[Salidas]]</f>
        <v>2</v>
      </c>
      <c r="M726" s="53">
        <f>STOCK[[#This Row],[Precio Final]]*10%</f>
        <v>2.8</v>
      </c>
      <c r="N726" s="53">
        <v>0</v>
      </c>
      <c r="O726" s="53">
        <v>23</v>
      </c>
      <c r="P726" s="53">
        <v>7.5</v>
      </c>
      <c r="Q726" s="70">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53" t="s">
        <v>1456</v>
      </c>
      <c r="F727" s="54" t="s">
        <v>46</v>
      </c>
      <c r="G727" s="54" t="s">
        <v>1296</v>
      </c>
      <c r="H727" s="54">
        <f>STOCK[[#This Row],[Precio Final]]</f>
        <v>28</v>
      </c>
      <c r="I727" s="54">
        <f>STOCK[[#This Row],[Precio Venta Ideal (x1.5)]]</f>
        <v>22.95</v>
      </c>
      <c r="J727" s="71">
        <v>2</v>
      </c>
      <c r="K727" s="71">
        <f>SUMIFS(VENTAS[Cantidad],VENTAS[Código del producto Vendido],STOCK[[#This Row],[Code]])</f>
        <v>0</v>
      </c>
      <c r="L727" s="71">
        <f>STOCK[[#This Row],[Entradas]]-STOCK[[#This Row],[Salidas]]</f>
        <v>2</v>
      </c>
      <c r="M727" s="54">
        <f>STOCK[[#This Row],[Precio Final]]*10%</f>
        <v>2.8</v>
      </c>
      <c r="N727" s="54">
        <v>0</v>
      </c>
      <c r="O727" s="54">
        <v>23</v>
      </c>
      <c r="P727" s="54">
        <v>7.5</v>
      </c>
      <c r="Q727" s="71">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53" t="s">
        <v>1456</v>
      </c>
      <c r="F728" s="53" t="s">
        <v>40</v>
      </c>
      <c r="G728" s="53" t="s">
        <v>1296</v>
      </c>
      <c r="H728" s="53">
        <f>STOCK[[#This Row],[Precio Final]]</f>
        <v>28</v>
      </c>
      <c r="I728" s="53">
        <f>STOCK[[#This Row],[Precio Venta Ideal (x1.5)]]</f>
        <v>22.95</v>
      </c>
      <c r="J728" s="70">
        <v>2</v>
      </c>
      <c r="K728" s="70">
        <f>SUMIFS(VENTAS[Cantidad],VENTAS[Código del producto Vendido],STOCK[[#This Row],[Code]])</f>
        <v>0</v>
      </c>
      <c r="L728" s="70">
        <f>STOCK[[#This Row],[Entradas]]-STOCK[[#This Row],[Salidas]]</f>
        <v>2</v>
      </c>
      <c r="M728" s="53">
        <f>STOCK[[#This Row],[Precio Final]]*10%</f>
        <v>2.8</v>
      </c>
      <c r="N728" s="53">
        <v>0</v>
      </c>
      <c r="O728" s="53">
        <v>11.5</v>
      </c>
      <c r="P728" s="53">
        <v>7.5</v>
      </c>
      <c r="Q728" s="70">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54" t="s">
        <v>1460</v>
      </c>
      <c r="F729" s="54" t="s">
        <v>40</v>
      </c>
      <c r="G729" s="54" t="s">
        <v>704</v>
      </c>
      <c r="H729" s="54">
        <f>STOCK[[#This Row],[Precio Final]]</f>
        <v>32</v>
      </c>
      <c r="I729" s="54">
        <f>STOCK[[#This Row],[Precio Venta Ideal (x1.5)]]</f>
        <v>29.085</v>
      </c>
      <c r="J729" s="71">
        <v>1</v>
      </c>
      <c r="K729" s="71">
        <f>SUMIFS(VENTAS[Cantidad],VENTAS[Código del producto Vendido],STOCK[[#This Row],[Code]])</f>
        <v>1</v>
      </c>
      <c r="L729" s="71">
        <f>STOCK[[#This Row],[Entradas]]-STOCK[[#This Row],[Salidas]]</f>
        <v>0</v>
      </c>
      <c r="M729" s="54">
        <f>STOCK[[#This Row],[Precio Final]]*10%</f>
        <v>3.2</v>
      </c>
      <c r="N729" s="54">
        <v>0</v>
      </c>
      <c r="O729" s="54">
        <v>19.5</v>
      </c>
      <c r="P729" s="54">
        <v>11.19</v>
      </c>
      <c r="Q729" s="71">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53" t="s">
        <v>1460</v>
      </c>
      <c r="F730" s="53" t="s">
        <v>49</v>
      </c>
      <c r="G730" s="53" t="s">
        <v>704</v>
      </c>
      <c r="H730" s="53">
        <f>STOCK[[#This Row],[Precio Final]]</f>
        <v>32</v>
      </c>
      <c r="I730" s="53">
        <f>STOCK[[#This Row],[Precio Venta Ideal (x1.5)]]</f>
        <v>29.085</v>
      </c>
      <c r="J730" s="70">
        <v>3</v>
      </c>
      <c r="K730" s="70">
        <f>SUMIFS(VENTAS[Cantidad],VENTAS[Código del producto Vendido],STOCK[[#This Row],[Code]])</f>
        <v>1</v>
      </c>
      <c r="L730" s="70">
        <f>STOCK[[#This Row],[Entradas]]-STOCK[[#This Row],[Salidas]]</f>
        <v>2</v>
      </c>
      <c r="M730" s="53">
        <f>STOCK[[#This Row],[Precio Final]]*10%</f>
        <v>3.2</v>
      </c>
      <c r="N730" s="53">
        <v>0</v>
      </c>
      <c r="O730" s="53">
        <v>39</v>
      </c>
      <c r="P730" s="53">
        <v>11.19</v>
      </c>
      <c r="Q730" s="70">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54" t="s">
        <v>1460</v>
      </c>
      <c r="F731" s="54" t="s">
        <v>46</v>
      </c>
      <c r="G731" s="54" t="s">
        <v>704</v>
      </c>
      <c r="H731" s="54">
        <f>STOCK[[#This Row],[Precio Final]]</f>
        <v>32</v>
      </c>
      <c r="I731" s="54">
        <f>STOCK[[#This Row],[Precio Venta Ideal (x1.5)]]</f>
        <v>29.085</v>
      </c>
      <c r="J731" s="71">
        <v>2</v>
      </c>
      <c r="K731" s="71">
        <f>SUMIFS(VENTAS[Cantidad],VENTAS[Código del producto Vendido],STOCK[[#This Row],[Code]])</f>
        <v>1</v>
      </c>
      <c r="L731" s="71">
        <f>STOCK[[#This Row],[Entradas]]-STOCK[[#This Row],[Salidas]]</f>
        <v>1</v>
      </c>
      <c r="M731" s="54">
        <f>STOCK[[#This Row],[Precio Final]]*10%</f>
        <v>3.2</v>
      </c>
      <c r="N731" s="54">
        <v>0</v>
      </c>
      <c r="O731" s="54">
        <v>58.5</v>
      </c>
      <c r="P731" s="54">
        <v>11.19</v>
      </c>
      <c r="Q731" s="71">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53" t="s">
        <v>1460</v>
      </c>
      <c r="F732" s="53" t="s">
        <v>62</v>
      </c>
      <c r="G732" s="53" t="s">
        <v>704</v>
      </c>
      <c r="H732" s="53">
        <f>STOCK[[#This Row],[Precio Final]]</f>
        <v>32</v>
      </c>
      <c r="I732" s="53">
        <f>STOCK[[#This Row],[Precio Venta Ideal (x1.5)]]</f>
        <v>29.085</v>
      </c>
      <c r="J732" s="70">
        <v>3</v>
      </c>
      <c r="K732" s="70">
        <f>SUMIFS(VENTAS[Cantidad],VENTAS[Código del producto Vendido],STOCK[[#This Row],[Code]])</f>
        <v>2</v>
      </c>
      <c r="L732" s="70">
        <f>STOCK[[#This Row],[Entradas]]-STOCK[[#This Row],[Salidas]]</f>
        <v>1</v>
      </c>
      <c r="M732" s="53">
        <f>STOCK[[#This Row],[Precio Final]]*10%</f>
        <v>3.2</v>
      </c>
      <c r="N732" s="53">
        <v>0</v>
      </c>
      <c r="O732" s="53">
        <v>39</v>
      </c>
      <c r="P732" s="53">
        <v>11.19</v>
      </c>
      <c r="Q732" s="70">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54" t="s">
        <v>1465</v>
      </c>
      <c r="F733" s="54" t="s">
        <v>62</v>
      </c>
      <c r="G733" s="54" t="s">
        <v>704</v>
      </c>
      <c r="H733" s="54">
        <f>STOCK[[#This Row],[Precio Final]]</f>
        <v>35</v>
      </c>
      <c r="I733" s="54">
        <f>STOCK[[#This Row],[Precio Venta Ideal (x1.5)]]</f>
        <v>35.25</v>
      </c>
      <c r="J733" s="71">
        <v>1</v>
      </c>
      <c r="K733" s="71">
        <f>SUMIFS(VENTAS[Cantidad],VENTAS[Código del producto Vendido],STOCK[[#This Row],[Code]])</f>
        <v>0</v>
      </c>
      <c r="L733" s="71">
        <f>STOCK[[#This Row],[Entradas]]-STOCK[[#This Row],[Salidas]]</f>
        <v>1</v>
      </c>
      <c r="M733" s="54">
        <f>STOCK[[#This Row],[Precio Final]]*10%</f>
        <v>3.5</v>
      </c>
      <c r="N733" s="54">
        <v>0</v>
      </c>
      <c r="O733" s="54">
        <v>0</v>
      </c>
      <c r="P733" s="54">
        <v>15</v>
      </c>
      <c r="Q733" s="71">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53" t="s">
        <v>1467</v>
      </c>
      <c r="F734" s="53" t="s">
        <v>1468</v>
      </c>
      <c r="G734" s="53" t="s">
        <v>704</v>
      </c>
      <c r="H734" s="53">
        <f>STOCK[[#This Row],[Precio Final]]</f>
        <v>20</v>
      </c>
      <c r="I734" s="53">
        <f>STOCK[[#This Row],[Precio Venta Ideal (x1.5)]]</f>
        <v>28.5</v>
      </c>
      <c r="J734" s="70">
        <v>5</v>
      </c>
      <c r="K734" s="70">
        <f>SUMIFS(VENTAS[Cantidad],VENTAS[Código del producto Vendido],STOCK[[#This Row],[Code]])</f>
        <v>2</v>
      </c>
      <c r="L734" s="70">
        <f>STOCK[[#This Row],[Entradas]]-STOCK[[#This Row],[Salidas]]</f>
        <v>3</v>
      </c>
      <c r="M734" s="53">
        <f>STOCK[[#This Row],[Precio Final]]*10%</f>
        <v>2</v>
      </c>
      <c r="N734" s="53">
        <v>0</v>
      </c>
      <c r="O734" s="53">
        <v>17</v>
      </c>
      <c r="P734" s="53">
        <v>12</v>
      </c>
      <c r="Q734" s="70">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54" t="s">
        <v>1470</v>
      </c>
      <c r="F735" s="54" t="s">
        <v>1471</v>
      </c>
      <c r="G735" s="54" t="s">
        <v>36</v>
      </c>
      <c r="H735" s="54">
        <f>STOCK[[#This Row],[Precio Final]]</f>
        <v>35</v>
      </c>
      <c r="I735" s="54">
        <f>STOCK[[#This Row],[Precio Venta Ideal (x1.5)]]</f>
        <v>41.25</v>
      </c>
      <c r="J735" s="71">
        <v>1</v>
      </c>
      <c r="K735" s="71">
        <f>SUMIFS(VENTAS[Cantidad],VENTAS[Código del producto Vendido],STOCK[[#This Row],[Code]])</f>
        <v>1</v>
      </c>
      <c r="L735" s="71">
        <f>STOCK[[#This Row],[Entradas]]-STOCK[[#This Row],[Salidas]]</f>
        <v>0</v>
      </c>
      <c r="M735" s="54">
        <f>STOCK[[#This Row],[Precio Final]]*10%</f>
        <v>3.5</v>
      </c>
      <c r="N735" s="54">
        <v>0</v>
      </c>
      <c r="O735" s="54">
        <v>0</v>
      </c>
      <c r="P735" s="54">
        <v>19</v>
      </c>
      <c r="Q735" s="71">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53" t="s">
        <v>1474</v>
      </c>
      <c r="F736" s="53" t="s">
        <v>62</v>
      </c>
      <c r="G736" s="53" t="s">
        <v>36</v>
      </c>
      <c r="H736" s="53">
        <f>STOCK[[#This Row],[Precio Final]]</f>
        <v>13</v>
      </c>
      <c r="I736" s="53">
        <f>STOCK[[#This Row],[Precio Venta Ideal (x1.5)]]</f>
        <v>18.45</v>
      </c>
      <c r="J736" s="70">
        <v>1</v>
      </c>
      <c r="K736" s="70">
        <f>SUMIFS(VENTAS[Cantidad],VENTAS[Código del producto Vendido],STOCK[[#This Row],[Code]])</f>
        <v>1</v>
      </c>
      <c r="L736" s="70">
        <f>STOCK[[#This Row],[Entradas]]-STOCK[[#This Row],[Salidas]]</f>
        <v>0</v>
      </c>
      <c r="M736" s="53">
        <f>STOCK[[#This Row],[Precio Final]]*10%</f>
        <v>1.3</v>
      </c>
      <c r="N736" s="53">
        <v>0</v>
      </c>
      <c r="O736" s="53">
        <v>0</v>
      </c>
      <c r="P736" s="53">
        <v>6</v>
      </c>
      <c r="Q736" s="70">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54" t="s">
        <v>1476</v>
      </c>
      <c r="F737" s="54" t="s">
        <v>62</v>
      </c>
      <c r="G737" s="54" t="s">
        <v>36</v>
      </c>
      <c r="H737" s="54">
        <f>STOCK[[#This Row],[Precio Final]]</f>
        <v>25</v>
      </c>
      <c r="I737" s="54">
        <f>STOCK[[#This Row],[Precio Venta Ideal (x1.5)]]</f>
        <v>36.75</v>
      </c>
      <c r="J737" s="71">
        <v>0</v>
      </c>
      <c r="K737" s="71">
        <f>SUMIFS(VENTAS[Cantidad],VENTAS[Código del producto Vendido],STOCK[[#This Row],[Code]])</f>
        <v>0</v>
      </c>
      <c r="L737" s="71">
        <f>STOCK[[#This Row],[Entradas]]-STOCK[[#This Row],[Salidas]]</f>
        <v>0</v>
      </c>
      <c r="M737" s="54">
        <f>STOCK[[#This Row],[Precio Final]]*10%</f>
        <v>2.5</v>
      </c>
      <c r="N737" s="54">
        <v>0</v>
      </c>
      <c r="O737" s="54">
        <v>0</v>
      </c>
      <c r="P737" s="54">
        <v>17</v>
      </c>
      <c r="Q737" s="71">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53" t="s">
        <v>1478</v>
      </c>
      <c r="F738" s="53" t="s">
        <v>62</v>
      </c>
      <c r="G738" s="53" t="s">
        <v>36</v>
      </c>
      <c r="H738" s="53">
        <f>STOCK[[#This Row],[Precio Final]]</f>
        <v>12</v>
      </c>
      <c r="I738" s="53">
        <f>STOCK[[#This Row],[Precio Venta Ideal (x1.5)]]</f>
        <v>18.3</v>
      </c>
      <c r="J738" s="70">
        <v>1</v>
      </c>
      <c r="K738" s="70">
        <f>SUMIFS(VENTAS[Cantidad],VENTAS[Código del producto Vendido],STOCK[[#This Row],[Code]])</f>
        <v>1</v>
      </c>
      <c r="L738" s="70">
        <f>STOCK[[#This Row],[Entradas]]-STOCK[[#This Row],[Salidas]]</f>
        <v>0</v>
      </c>
      <c r="M738" s="53">
        <f>STOCK[[#This Row],[Precio Final]]*10%</f>
        <v>1.2</v>
      </c>
      <c r="N738" s="53">
        <v>0</v>
      </c>
      <c r="O738" s="53">
        <v>0</v>
      </c>
      <c r="P738" s="53">
        <v>6</v>
      </c>
      <c r="Q738" s="70">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54" t="s">
        <v>1480</v>
      </c>
      <c r="F739" s="54" t="s">
        <v>49</v>
      </c>
      <c r="G739" s="54" t="s">
        <v>36</v>
      </c>
      <c r="H739" s="54">
        <f>STOCK[[#This Row],[Precio Final]]</f>
        <v>30</v>
      </c>
      <c r="I739" s="54">
        <f>STOCK[[#This Row],[Precio Venta Ideal (x1.5)]]</f>
        <v>32.25</v>
      </c>
      <c r="J739" s="71">
        <v>1</v>
      </c>
      <c r="K739" s="71">
        <f>SUMIFS(VENTAS[Cantidad],VENTAS[Código del producto Vendido],STOCK[[#This Row],[Code]])</f>
        <v>1</v>
      </c>
      <c r="L739" s="71">
        <f>STOCK[[#This Row],[Entradas]]-STOCK[[#This Row],[Salidas]]</f>
        <v>0</v>
      </c>
      <c r="M739" s="54">
        <f>STOCK[[#This Row],[Precio Final]]*10%</f>
        <v>3</v>
      </c>
      <c r="N739" s="54">
        <v>0</v>
      </c>
      <c r="O739" s="54">
        <v>0</v>
      </c>
      <c r="P739" s="54">
        <v>13.5</v>
      </c>
      <c r="Q739" s="71">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53" t="s">
        <v>1483</v>
      </c>
      <c r="F740" s="53" t="s">
        <v>1484</v>
      </c>
      <c r="G740" s="53" t="s">
        <v>36</v>
      </c>
      <c r="H740" s="53">
        <f>STOCK[[#This Row],[Precio Final]]</f>
        <v>50</v>
      </c>
      <c r="I740" s="53">
        <f>STOCK[[#This Row],[Precio Venta Ideal (x1.5)]]</f>
        <v>52.5</v>
      </c>
      <c r="J740" s="70">
        <v>1</v>
      </c>
      <c r="K740" s="70">
        <f>SUMIFS(VENTAS[Cantidad],VENTAS[Código del producto Vendido],STOCK[[#This Row],[Code]])</f>
        <v>1</v>
      </c>
      <c r="L740" s="70">
        <f>STOCK[[#This Row],[Entradas]]-STOCK[[#This Row],[Salidas]]</f>
        <v>0</v>
      </c>
      <c r="M740" s="53">
        <f>STOCK[[#This Row],[Precio Final]]*10%</f>
        <v>5</v>
      </c>
      <c r="N740" s="53">
        <v>0</v>
      </c>
      <c r="O740" s="53">
        <v>0</v>
      </c>
      <c r="P740" s="53">
        <v>25</v>
      </c>
      <c r="Q740" s="70">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54" t="s">
        <v>1486</v>
      </c>
      <c r="F741" s="54" t="s">
        <v>540</v>
      </c>
      <c r="G741" s="54" t="s">
        <v>36</v>
      </c>
      <c r="H741" s="54">
        <f>STOCK[[#This Row],[Precio Final]]</f>
        <v>40</v>
      </c>
      <c r="I741" s="54">
        <f>STOCK[[#This Row],[Precio Venta Ideal (x1.5)]]</f>
        <v>41.25</v>
      </c>
      <c r="J741" s="71">
        <v>1</v>
      </c>
      <c r="K741" s="71">
        <f>SUMIFS(VENTAS[Cantidad],VENTAS[Código del producto Vendido],STOCK[[#This Row],[Code]])</f>
        <v>1</v>
      </c>
      <c r="L741" s="71">
        <f>STOCK[[#This Row],[Entradas]]-STOCK[[#This Row],[Salidas]]</f>
        <v>0</v>
      </c>
      <c r="M741" s="54">
        <f>STOCK[[#This Row],[Precio Final]]*10%</f>
        <v>4</v>
      </c>
      <c r="N741" s="54">
        <v>0</v>
      </c>
      <c r="O741" s="54">
        <v>0</v>
      </c>
      <c r="P741" s="54">
        <v>18.5</v>
      </c>
      <c r="Q741" s="71">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53" t="s">
        <v>1488</v>
      </c>
      <c r="F742" s="53" t="s">
        <v>46</v>
      </c>
      <c r="G742" s="53" t="s">
        <v>36</v>
      </c>
      <c r="H742" s="53">
        <f>STOCK[[#This Row],[Precio Final]]</f>
        <v>35</v>
      </c>
      <c r="I742" s="53">
        <f>STOCK[[#This Row],[Precio Venta Ideal (x1.5)]]</f>
        <v>36.15</v>
      </c>
      <c r="J742" s="70">
        <v>1</v>
      </c>
      <c r="K742" s="70">
        <f>SUMIFS(VENTAS[Cantidad],VENTAS[Código del producto Vendido],STOCK[[#This Row],[Code]])</f>
        <v>1</v>
      </c>
      <c r="L742" s="70">
        <f>STOCK[[#This Row],[Entradas]]-STOCK[[#This Row],[Salidas]]</f>
        <v>0</v>
      </c>
      <c r="M742" s="53">
        <f>STOCK[[#This Row],[Precio Final]]*10%</f>
        <v>3.5</v>
      </c>
      <c r="N742" s="53">
        <v>0</v>
      </c>
      <c r="O742" s="53">
        <v>0</v>
      </c>
      <c r="P742" s="53">
        <v>15.6</v>
      </c>
      <c r="Q742" s="70">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54" t="s">
        <v>1490</v>
      </c>
      <c r="F743" s="54" t="s">
        <v>1047</v>
      </c>
      <c r="G743" s="54" t="s">
        <v>36</v>
      </c>
      <c r="H743" s="54">
        <f>STOCK[[#This Row],[Precio Final]]</f>
        <v>20</v>
      </c>
      <c r="I743" s="54">
        <f>STOCK[[#This Row],[Precio Venta Ideal (x1.5)]]</f>
        <v>25.5</v>
      </c>
      <c r="J743" s="71">
        <v>1</v>
      </c>
      <c r="K743" s="71">
        <f>SUMIFS(VENTAS[Cantidad],VENTAS[Código del producto Vendido],STOCK[[#This Row],[Code]])</f>
        <v>1</v>
      </c>
      <c r="L743" s="71">
        <f>STOCK[[#This Row],[Entradas]]-STOCK[[#This Row],[Salidas]]</f>
        <v>0</v>
      </c>
      <c r="M743" s="54">
        <f>STOCK[[#This Row],[Precio Final]]*10%</f>
        <v>2</v>
      </c>
      <c r="N743" s="54">
        <v>0</v>
      </c>
      <c r="O743" s="54">
        <v>0</v>
      </c>
      <c r="P743" s="54">
        <v>13.5</v>
      </c>
      <c r="Q743" s="71">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53" t="s">
        <v>1492</v>
      </c>
      <c r="F744" s="53" t="s">
        <v>49</v>
      </c>
      <c r="G744" s="53" t="s">
        <v>36</v>
      </c>
      <c r="H744" s="53">
        <f>STOCK[[#This Row],[Precio Final]]</f>
        <v>13</v>
      </c>
      <c r="I744" s="53">
        <f>STOCK[[#This Row],[Precio Venta Ideal (x1.5)]]</f>
        <v>13.2</v>
      </c>
      <c r="J744" s="70">
        <v>1</v>
      </c>
      <c r="K744" s="70">
        <f>SUMIFS(VENTAS[Cantidad],VENTAS[Código del producto Vendido],STOCK[[#This Row],[Code]])</f>
        <v>1</v>
      </c>
      <c r="L744" s="70">
        <f>STOCK[[#This Row],[Entradas]]-STOCK[[#This Row],[Salidas]]</f>
        <v>0</v>
      </c>
      <c r="M744" s="53">
        <f>STOCK[[#This Row],[Precio Final]]*10%</f>
        <v>1.3</v>
      </c>
      <c r="N744" s="53">
        <v>0</v>
      </c>
      <c r="O744" s="53">
        <v>0</v>
      </c>
      <c r="P744" s="53">
        <v>6</v>
      </c>
      <c r="Q744" s="70">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54" t="s">
        <v>1494</v>
      </c>
      <c r="F745" s="54" t="s">
        <v>62</v>
      </c>
      <c r="G745" s="54" t="s">
        <v>36</v>
      </c>
      <c r="H745" s="54">
        <f>STOCK[[#This Row],[Precio Final]]</f>
        <v>12</v>
      </c>
      <c r="I745" s="54">
        <f>STOCK[[#This Row],[Precio Venta Ideal (x1.5)]]</f>
        <v>11.55</v>
      </c>
      <c r="J745" s="71">
        <v>2</v>
      </c>
      <c r="K745" s="71">
        <f>SUMIFS(VENTAS[Cantidad],VENTAS[Código del producto Vendido],STOCK[[#This Row],[Code]])</f>
        <v>1</v>
      </c>
      <c r="L745" s="71">
        <f>STOCK[[#This Row],[Entradas]]-STOCK[[#This Row],[Salidas]]</f>
        <v>1</v>
      </c>
      <c r="M745" s="54">
        <f>STOCK[[#This Row],[Precio Final]]*10%</f>
        <v>1.2</v>
      </c>
      <c r="N745" s="54">
        <v>0</v>
      </c>
      <c r="O745" s="54">
        <v>0</v>
      </c>
      <c r="P745" s="54">
        <v>5</v>
      </c>
      <c r="Q745" s="71">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53" t="s">
        <v>1496</v>
      </c>
      <c r="F746" s="53" t="s">
        <v>42</v>
      </c>
      <c r="G746" s="53" t="s">
        <v>36</v>
      </c>
      <c r="H746" s="53">
        <f>STOCK[[#This Row],[Precio Final]]</f>
        <v>35</v>
      </c>
      <c r="I746" s="53">
        <f>STOCK[[#This Row],[Precio Venta Ideal (x1.5)]]</f>
        <v>40.5</v>
      </c>
      <c r="J746" s="70">
        <v>0</v>
      </c>
      <c r="K746" s="70">
        <f>SUMIFS(VENTAS[Cantidad],VENTAS[Código del producto Vendido],STOCK[[#This Row],[Code]])</f>
        <v>0</v>
      </c>
      <c r="L746" s="70">
        <f>STOCK[[#This Row],[Entradas]]-STOCK[[#This Row],[Salidas]]</f>
        <v>0</v>
      </c>
      <c r="M746" s="53">
        <f>STOCK[[#This Row],[Precio Final]]*10%</f>
        <v>3.5</v>
      </c>
      <c r="N746" s="53">
        <v>0</v>
      </c>
      <c r="O746" s="53">
        <v>0</v>
      </c>
      <c r="P746" s="53">
        <v>22</v>
      </c>
      <c r="Q746" s="70">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54" t="s">
        <v>1498</v>
      </c>
      <c r="F747" s="54" t="s">
        <v>42</v>
      </c>
      <c r="G747" s="54" t="s">
        <v>36</v>
      </c>
      <c r="H747" s="54">
        <f>STOCK[[#This Row],[Precio Final]]</f>
        <v>40</v>
      </c>
      <c r="I747" s="54">
        <f>STOCK[[#This Row],[Precio Venta Ideal (x1.5)]]</f>
        <v>47.25</v>
      </c>
      <c r="J747" s="71">
        <v>0</v>
      </c>
      <c r="K747" s="71">
        <f>SUMIFS(VENTAS[Cantidad],VENTAS[Código del producto Vendido],STOCK[[#This Row],[Code]])</f>
        <v>0</v>
      </c>
      <c r="L747" s="71">
        <f>STOCK[[#This Row],[Entradas]]-STOCK[[#This Row],[Salidas]]</f>
        <v>0</v>
      </c>
      <c r="M747" s="54">
        <f>STOCK[[#This Row],[Precio Final]]*10%</f>
        <v>4</v>
      </c>
      <c r="N747" s="54">
        <v>0</v>
      </c>
      <c r="O747" s="54">
        <v>0</v>
      </c>
      <c r="P747" s="54">
        <v>26</v>
      </c>
      <c r="Q747" s="71">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H748" s="53">
        <f>STOCK[[#This Row],[Precio Final]]</f>
        <v>0</v>
      </c>
      <c r="I748" s="53">
        <f>STOCK[[#This Row],[Precio Venta Ideal (x1.5)]]</f>
        <v>0</v>
      </c>
      <c r="J748" s="70"/>
      <c r="K748" s="70">
        <f>SUMIFS(VENTAS[Cantidad],VENTAS[Código del producto Vendido],STOCK[[#This Row],[Code]])</f>
        <v>0</v>
      </c>
      <c r="L748" s="70">
        <f>STOCK[[#This Row],[Entradas]]-STOCK[[#This Row],[Salidas]]</f>
        <v>0</v>
      </c>
      <c r="M748" s="53">
        <f>STOCK[[#This Row],[Precio Final]]*10%</f>
        <v>0</v>
      </c>
      <c r="Q748" s="70">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54" t="s">
        <v>1500</v>
      </c>
      <c r="F749" s="54" t="s">
        <v>83</v>
      </c>
      <c r="G749" s="54" t="s">
        <v>36</v>
      </c>
      <c r="H749" s="54">
        <f>STOCK[[#This Row],[Precio Final]]</f>
        <v>13</v>
      </c>
      <c r="I749" s="54">
        <f>STOCK[[#This Row],[Precio Venta Ideal (x1.5)]]</f>
        <v>13.2</v>
      </c>
      <c r="J749" s="71">
        <v>1</v>
      </c>
      <c r="K749" s="71">
        <f>SUMIFS(VENTAS[Cantidad],VENTAS[Código del producto Vendido],STOCK[[#This Row],[Code]])</f>
        <v>1</v>
      </c>
      <c r="L749" s="71">
        <f>STOCK[[#This Row],[Entradas]]-STOCK[[#This Row],[Salidas]]</f>
        <v>0</v>
      </c>
      <c r="M749" s="54">
        <f>STOCK[[#This Row],[Precio Final]]*10%</f>
        <v>1.3</v>
      </c>
      <c r="N749" s="54">
        <v>0</v>
      </c>
      <c r="O749" s="54">
        <v>0</v>
      </c>
      <c r="P749" s="54">
        <v>6</v>
      </c>
      <c r="Q749" s="71">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53" t="s">
        <v>1478</v>
      </c>
      <c r="F750" s="53" t="s">
        <v>540</v>
      </c>
      <c r="G750" s="53" t="s">
        <v>36</v>
      </c>
      <c r="H750" s="53">
        <f>STOCK[[#This Row],[Precio Final]]</f>
        <v>13</v>
      </c>
      <c r="I750" s="53">
        <f>STOCK[[#This Row],[Precio Venta Ideal (x1.5)]]</f>
        <v>13.2</v>
      </c>
      <c r="J750" s="70">
        <v>0</v>
      </c>
      <c r="K750" s="70">
        <f>SUMIFS(VENTAS[Cantidad],VENTAS[Código del producto Vendido],STOCK[[#This Row],[Code]])</f>
        <v>0</v>
      </c>
      <c r="L750" s="70">
        <f>STOCK[[#This Row],[Entradas]]-STOCK[[#This Row],[Salidas]]</f>
        <v>0</v>
      </c>
      <c r="M750" s="53">
        <f>STOCK[[#This Row],[Precio Final]]*10%</f>
        <v>1.3</v>
      </c>
      <c r="N750" s="53">
        <v>0</v>
      </c>
      <c r="O750" s="53">
        <v>0</v>
      </c>
      <c r="P750" s="53">
        <v>6</v>
      </c>
      <c r="Q750" s="70">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54" t="s">
        <v>1503</v>
      </c>
      <c r="F751" s="54" t="s">
        <v>49</v>
      </c>
      <c r="G751" s="54" t="s">
        <v>36</v>
      </c>
      <c r="H751" s="54">
        <f>STOCK[[#This Row],[Precio Final]]</f>
        <v>25</v>
      </c>
      <c r="I751" s="54">
        <f>STOCK[[#This Row],[Precio Venta Ideal (x1.5)]]</f>
        <v>24</v>
      </c>
      <c r="J751" s="71">
        <v>1</v>
      </c>
      <c r="K751" s="71">
        <f>SUMIFS(VENTAS[Cantidad],VENTAS[Código del producto Vendido],STOCK[[#This Row],[Code]])</f>
        <v>1</v>
      </c>
      <c r="L751" s="71">
        <f>STOCK[[#This Row],[Entradas]]-STOCK[[#This Row],[Salidas]]</f>
        <v>0</v>
      </c>
      <c r="M751" s="54">
        <f>STOCK[[#This Row],[Precio Final]]*10%</f>
        <v>2.5</v>
      </c>
      <c r="N751" s="54">
        <v>0</v>
      </c>
      <c r="O751" s="54">
        <v>0</v>
      </c>
      <c r="P751" s="54">
        <v>12</v>
      </c>
      <c r="Q751" s="71">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53" t="s">
        <v>1483</v>
      </c>
      <c r="F752" s="53" t="s">
        <v>40</v>
      </c>
      <c r="G752" s="53" t="s">
        <v>36</v>
      </c>
      <c r="H752" s="53">
        <f>STOCK[[#This Row],[Precio Final]]</f>
        <v>50</v>
      </c>
      <c r="I752" s="53">
        <f>STOCK[[#This Row],[Precio Venta Ideal (x1.5)]]</f>
        <v>47.25</v>
      </c>
      <c r="J752" s="70">
        <v>0</v>
      </c>
      <c r="K752" s="70">
        <f>SUMIFS(VENTAS[Cantidad],VENTAS[Código del producto Vendido],STOCK[[#This Row],[Code]])</f>
        <v>0</v>
      </c>
      <c r="L752" s="70">
        <f>STOCK[[#This Row],[Entradas]]-STOCK[[#This Row],[Salidas]]</f>
        <v>0</v>
      </c>
      <c r="M752" s="53">
        <f>STOCK[[#This Row],[Precio Final]]*10%</f>
        <v>5</v>
      </c>
      <c r="N752" s="53">
        <v>0</v>
      </c>
      <c r="O752" s="53">
        <v>0</v>
      </c>
      <c r="P752" s="53">
        <v>25</v>
      </c>
      <c r="Q752" s="70">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54" t="s">
        <v>1171</v>
      </c>
      <c r="F753" s="54" t="s">
        <v>211</v>
      </c>
      <c r="G753" s="54" t="s">
        <v>36</v>
      </c>
      <c r="H753" s="54">
        <f>STOCK[[#This Row],[Precio Final]]</f>
        <v>13</v>
      </c>
      <c r="I753" s="54">
        <f>STOCK[[#This Row],[Precio Venta Ideal (x1.5)]]</f>
        <v>13.2</v>
      </c>
      <c r="J753" s="71">
        <v>3</v>
      </c>
      <c r="K753" s="71">
        <f>SUMIFS(VENTAS[Cantidad],VENTAS[Código del producto Vendido],STOCK[[#This Row],[Code]])</f>
        <v>3</v>
      </c>
      <c r="L753" s="71">
        <f>STOCK[[#This Row],[Entradas]]-STOCK[[#This Row],[Salidas]]</f>
        <v>0</v>
      </c>
      <c r="M753" s="54">
        <f>STOCK[[#This Row],[Precio Final]]*10%</f>
        <v>1.3</v>
      </c>
      <c r="N753" s="54">
        <v>0</v>
      </c>
      <c r="O753" s="54">
        <v>0</v>
      </c>
      <c r="P753" s="54">
        <v>6</v>
      </c>
      <c r="Q753" s="71">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53" t="s">
        <v>1507</v>
      </c>
      <c r="F754" s="53" t="s">
        <v>40</v>
      </c>
      <c r="G754" s="53" t="s">
        <v>36</v>
      </c>
      <c r="H754" s="53">
        <f>STOCK[[#This Row],[Precio Final]]</f>
        <v>25</v>
      </c>
      <c r="I754" s="53">
        <f>STOCK[[#This Row],[Precio Venta Ideal (x1.5)]]</f>
        <v>21</v>
      </c>
      <c r="J754" s="70">
        <v>1</v>
      </c>
      <c r="K754" s="70">
        <f>SUMIFS(VENTAS[Cantidad],VENTAS[Código del producto Vendido],STOCK[[#This Row],[Code]])</f>
        <v>1</v>
      </c>
      <c r="L754" s="70">
        <f>STOCK[[#This Row],[Entradas]]-STOCK[[#This Row],[Salidas]]</f>
        <v>0</v>
      </c>
      <c r="M754" s="53">
        <f>STOCK[[#This Row],[Precio Final]]*10%</f>
        <v>2.5</v>
      </c>
      <c r="N754" s="53">
        <v>0</v>
      </c>
      <c r="O754" s="53">
        <v>0</v>
      </c>
      <c r="P754" s="53">
        <v>10</v>
      </c>
      <c r="Q754" s="70">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54" t="s">
        <v>1478</v>
      </c>
      <c r="F755" s="54" t="s">
        <v>49</v>
      </c>
      <c r="G755" s="54" t="s">
        <v>36</v>
      </c>
      <c r="H755" s="54">
        <f>STOCK[[#This Row],[Precio Final]]</f>
        <v>6</v>
      </c>
      <c r="I755" s="54">
        <f>STOCK[[#This Row],[Precio Venta Ideal (x1.5)]]</f>
        <v>3.15</v>
      </c>
      <c r="J755" s="71">
        <v>1</v>
      </c>
      <c r="K755" s="71">
        <f>SUMIFS(VENTAS[Cantidad],VENTAS[Código del producto Vendido],STOCK[[#This Row],[Code]])</f>
        <v>1</v>
      </c>
      <c r="L755" s="71">
        <f>STOCK[[#This Row],[Entradas]]-STOCK[[#This Row],[Salidas]]</f>
        <v>0</v>
      </c>
      <c r="M755" s="54">
        <f>STOCK[[#This Row],[Precio Final]]*10%</f>
        <v>0.6</v>
      </c>
      <c r="N755" s="54">
        <v>0</v>
      </c>
      <c r="O755" s="54">
        <v>0</v>
      </c>
      <c r="P755" s="54">
        <v>0</v>
      </c>
      <c r="Q755" s="71">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53" t="s">
        <v>1510</v>
      </c>
      <c r="F756" s="53" t="s">
        <v>211</v>
      </c>
      <c r="G756" s="53" t="s">
        <v>36</v>
      </c>
      <c r="H756" s="53">
        <f>STOCK[[#This Row],[Precio Final]]</f>
        <v>30</v>
      </c>
      <c r="I756" s="53">
        <f>STOCK[[#This Row],[Precio Venta Ideal (x1.5)]]</f>
        <v>29.25</v>
      </c>
      <c r="J756" s="70">
        <v>1</v>
      </c>
      <c r="K756" s="70">
        <f>SUMIFS(VENTAS[Cantidad],VENTAS[Código del producto Vendido],STOCK[[#This Row],[Code]])</f>
        <v>1</v>
      </c>
      <c r="L756" s="70">
        <f>STOCK[[#This Row],[Entradas]]-STOCK[[#This Row],[Salidas]]</f>
        <v>0</v>
      </c>
      <c r="M756" s="53">
        <f>STOCK[[#This Row],[Precio Final]]*10%</f>
        <v>3</v>
      </c>
      <c r="N756" s="53">
        <v>0</v>
      </c>
      <c r="O756" s="53">
        <v>0</v>
      </c>
      <c r="P756" s="53">
        <v>15</v>
      </c>
      <c r="Q756" s="70">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54" t="s">
        <v>1510</v>
      </c>
      <c r="F757" s="54" t="s">
        <v>62</v>
      </c>
      <c r="G757" s="54" t="s">
        <v>36</v>
      </c>
      <c r="H757" s="54">
        <f>STOCK[[#This Row],[Precio Final]]</f>
        <v>30</v>
      </c>
      <c r="I757" s="54">
        <f>STOCK[[#This Row],[Precio Venta Ideal (x1.5)]]</f>
        <v>29.25</v>
      </c>
      <c r="J757" s="71">
        <v>1</v>
      </c>
      <c r="K757" s="71">
        <f>SUMIFS(VENTAS[Cantidad],VENTAS[Código del producto Vendido],STOCK[[#This Row],[Code]])</f>
        <v>1</v>
      </c>
      <c r="L757" s="71">
        <f>STOCK[[#This Row],[Entradas]]-STOCK[[#This Row],[Salidas]]</f>
        <v>0</v>
      </c>
      <c r="M757" s="54">
        <f>STOCK[[#This Row],[Precio Final]]*10%</f>
        <v>3</v>
      </c>
      <c r="N757" s="54">
        <v>0</v>
      </c>
      <c r="O757" s="54">
        <v>0</v>
      </c>
      <c r="P757" s="54">
        <v>15</v>
      </c>
      <c r="Q757" s="71">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53" t="s">
        <v>1513</v>
      </c>
      <c r="F758" s="53" t="s">
        <v>49</v>
      </c>
      <c r="G758" s="53" t="s">
        <v>36</v>
      </c>
      <c r="H758" s="53">
        <f>STOCK[[#This Row],[Precio Final]]</f>
        <v>30</v>
      </c>
      <c r="I758" s="53">
        <f>STOCK[[#This Row],[Precio Venta Ideal (x1.5)]]</f>
        <v>29.25</v>
      </c>
      <c r="J758" s="70">
        <v>1</v>
      </c>
      <c r="K758" s="70">
        <f>SUMIFS(VENTAS[Cantidad],VENTAS[Código del producto Vendido],STOCK[[#This Row],[Code]])</f>
        <v>1</v>
      </c>
      <c r="L758" s="70">
        <f>STOCK[[#This Row],[Entradas]]-STOCK[[#This Row],[Salidas]]</f>
        <v>0</v>
      </c>
      <c r="M758" s="53">
        <f>STOCK[[#This Row],[Precio Final]]*10%</f>
        <v>3</v>
      </c>
      <c r="N758" s="53">
        <v>0</v>
      </c>
      <c r="O758" s="53">
        <v>0</v>
      </c>
      <c r="P758" s="53">
        <v>15</v>
      </c>
      <c r="Q758" s="70">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54" t="s">
        <v>1515</v>
      </c>
      <c r="F759" s="54" t="s">
        <v>1516</v>
      </c>
      <c r="G759" s="54" t="s">
        <v>36</v>
      </c>
      <c r="H759" s="54">
        <f>STOCK[[#This Row],[Precio Final]]</f>
        <v>19</v>
      </c>
      <c r="I759" s="54">
        <f>STOCK[[#This Row],[Precio Venta Ideal (x1.5)]]</f>
        <v>24.9</v>
      </c>
      <c r="J759" s="71">
        <v>0</v>
      </c>
      <c r="K759" s="71">
        <f>SUMIFS(VENTAS[Cantidad],VENTAS[Código del producto Vendido],STOCK[[#This Row],[Code]])</f>
        <v>0</v>
      </c>
      <c r="L759" s="71">
        <f>STOCK[[#This Row],[Entradas]]-STOCK[[#This Row],[Salidas]]</f>
        <v>0</v>
      </c>
      <c r="M759" s="54">
        <f>STOCK[[#This Row],[Precio Final]]*10%</f>
        <v>1.9</v>
      </c>
      <c r="N759" s="54">
        <v>0</v>
      </c>
      <c r="O759" s="54">
        <v>0</v>
      </c>
      <c r="P759" s="54">
        <v>13.2</v>
      </c>
      <c r="Q759" s="71">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53" t="s">
        <v>1474</v>
      </c>
      <c r="F760" s="53" t="s">
        <v>62</v>
      </c>
      <c r="G760" s="53" t="s">
        <v>36</v>
      </c>
      <c r="H760" s="53">
        <f>STOCK[[#This Row],[Precio Final]]</f>
        <v>12</v>
      </c>
      <c r="I760" s="53">
        <f>STOCK[[#This Row],[Precio Venta Ideal (x1.5)]]</f>
        <v>13.05</v>
      </c>
      <c r="J760" s="70">
        <v>0</v>
      </c>
      <c r="K760" s="70">
        <f>SUMIFS(VENTAS[Cantidad],VENTAS[Código del producto Vendido],STOCK[[#This Row],[Code]])</f>
        <v>0</v>
      </c>
      <c r="L760" s="70">
        <f>STOCK[[#This Row],[Entradas]]-STOCK[[#This Row],[Salidas]]</f>
        <v>0</v>
      </c>
      <c r="M760" s="53">
        <f>STOCK[[#This Row],[Precio Final]]*10%</f>
        <v>1.2</v>
      </c>
      <c r="N760" s="53">
        <v>0</v>
      </c>
      <c r="O760" s="53">
        <v>0</v>
      </c>
      <c r="P760" s="53">
        <v>6</v>
      </c>
      <c r="Q760" s="70">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54" t="s">
        <v>1519</v>
      </c>
      <c r="F761" s="54" t="s">
        <v>40</v>
      </c>
      <c r="G761" s="54" t="s">
        <v>36</v>
      </c>
      <c r="H761" s="54">
        <f>STOCK[[#This Row],[Precio Final]]</f>
        <v>25</v>
      </c>
      <c r="I761" s="54">
        <f>STOCK[[#This Row],[Precio Venta Ideal (x1.5)]]</f>
        <v>24</v>
      </c>
      <c r="J761" s="71">
        <v>2</v>
      </c>
      <c r="K761" s="71">
        <f>SUMIFS(VENTAS[Cantidad],VENTAS[Código del producto Vendido],STOCK[[#This Row],[Code]])</f>
        <v>2</v>
      </c>
      <c r="L761" s="71">
        <f>STOCK[[#This Row],[Entradas]]-STOCK[[#This Row],[Salidas]]</f>
        <v>0</v>
      </c>
      <c r="M761" s="54">
        <f>STOCK[[#This Row],[Precio Final]]*10%</f>
        <v>2.5</v>
      </c>
      <c r="N761" s="54">
        <v>0</v>
      </c>
      <c r="O761" s="54">
        <v>0</v>
      </c>
      <c r="P761" s="54">
        <v>12</v>
      </c>
      <c r="Q761" s="71">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53" t="s">
        <v>1519</v>
      </c>
      <c r="F762" s="53" t="s">
        <v>49</v>
      </c>
      <c r="G762" s="53" t="s">
        <v>36</v>
      </c>
      <c r="H762" s="53">
        <f>STOCK[[#This Row],[Precio Final]]</f>
        <v>25</v>
      </c>
      <c r="I762" s="53">
        <f>STOCK[[#This Row],[Precio Venta Ideal (x1.5)]]</f>
        <v>24</v>
      </c>
      <c r="J762" s="70">
        <v>1</v>
      </c>
      <c r="K762" s="70">
        <f>SUMIFS(VENTAS[Cantidad],VENTAS[Código del producto Vendido],STOCK[[#This Row],[Code]])</f>
        <v>1</v>
      </c>
      <c r="L762" s="70">
        <f>STOCK[[#This Row],[Entradas]]-STOCK[[#This Row],[Salidas]]</f>
        <v>0</v>
      </c>
      <c r="M762" s="53">
        <f>STOCK[[#This Row],[Precio Final]]*10%</f>
        <v>2.5</v>
      </c>
      <c r="N762" s="53">
        <v>0</v>
      </c>
      <c r="O762" s="53">
        <v>0</v>
      </c>
      <c r="P762" s="53">
        <v>12</v>
      </c>
      <c r="Q762" s="70">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54" t="s">
        <v>1522</v>
      </c>
      <c r="F763" s="54" t="s">
        <v>40</v>
      </c>
      <c r="G763" s="54" t="s">
        <v>36</v>
      </c>
      <c r="H763" s="54">
        <f>STOCK[[#This Row],[Precio Final]]</f>
        <v>35</v>
      </c>
      <c r="I763" s="54">
        <f>STOCK[[#This Row],[Precio Venta Ideal (x1.5)]]</f>
        <v>33</v>
      </c>
      <c r="J763" s="71">
        <v>1</v>
      </c>
      <c r="K763" s="71">
        <f>SUMIFS(VENTAS[Cantidad],VENTAS[Código del producto Vendido],STOCK[[#This Row],[Code]])</f>
        <v>1</v>
      </c>
      <c r="L763" s="71">
        <f>STOCK[[#This Row],[Entradas]]-STOCK[[#This Row],[Salidas]]</f>
        <v>0</v>
      </c>
      <c r="M763" s="54">
        <f>STOCK[[#This Row],[Precio Final]]*10%</f>
        <v>3.5</v>
      </c>
      <c r="N763" s="54">
        <v>0</v>
      </c>
      <c r="O763" s="54">
        <v>0</v>
      </c>
      <c r="P763" s="54">
        <v>17</v>
      </c>
      <c r="Q763" s="71">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53" t="s">
        <v>1496</v>
      </c>
      <c r="F764" s="53" t="s">
        <v>759</v>
      </c>
      <c r="G764" s="53" t="s">
        <v>36</v>
      </c>
      <c r="H764" s="53">
        <f>STOCK[[#This Row],[Precio Final]]</f>
        <v>35</v>
      </c>
      <c r="I764" s="53">
        <f>STOCK[[#This Row],[Precio Venta Ideal (x1.5)]]</f>
        <v>39.75</v>
      </c>
      <c r="J764" s="70">
        <v>2</v>
      </c>
      <c r="K764" s="70">
        <f>SUMIFS(VENTAS[Cantidad],VENTAS[Código del producto Vendido],STOCK[[#This Row],[Code]])</f>
        <v>2</v>
      </c>
      <c r="L764" s="70">
        <f>STOCK[[#This Row],[Entradas]]-STOCK[[#This Row],[Salidas]]</f>
        <v>0</v>
      </c>
      <c r="M764" s="53">
        <f>STOCK[[#This Row],[Precio Final]]*10%</f>
        <v>3.5</v>
      </c>
      <c r="N764" s="53">
        <v>0</v>
      </c>
      <c r="O764" s="53">
        <v>0</v>
      </c>
      <c r="P764" s="53">
        <v>21.5</v>
      </c>
      <c r="Q764" s="70">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54" t="s">
        <v>1525</v>
      </c>
      <c r="F765" s="54" t="s">
        <v>764</v>
      </c>
      <c r="G765" s="54" t="s">
        <v>36</v>
      </c>
      <c r="H765" s="54">
        <f>STOCK[[#This Row],[Precio Final]]</f>
        <v>45</v>
      </c>
      <c r="I765" s="54">
        <f>STOCK[[#This Row],[Precio Venta Ideal (x1.5)]]</f>
        <v>53.25</v>
      </c>
      <c r="J765" s="71">
        <v>1</v>
      </c>
      <c r="K765" s="71">
        <f>SUMIFS(VENTAS[Cantidad],VENTAS[Código del producto Vendido],STOCK[[#This Row],[Code]])</f>
        <v>1</v>
      </c>
      <c r="L765" s="71">
        <f>STOCK[[#This Row],[Entradas]]-STOCK[[#This Row],[Salidas]]</f>
        <v>0</v>
      </c>
      <c r="M765" s="54">
        <f>STOCK[[#This Row],[Precio Final]]*10%</f>
        <v>4.5</v>
      </c>
      <c r="N765" s="54">
        <v>0</v>
      </c>
      <c r="O765" s="54">
        <v>0</v>
      </c>
      <c r="P765" s="54">
        <v>26</v>
      </c>
      <c r="Q765" s="71">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53" t="s">
        <v>1476</v>
      </c>
      <c r="F766" s="53" t="s">
        <v>211</v>
      </c>
      <c r="G766" s="53" t="s">
        <v>36</v>
      </c>
      <c r="H766" s="53">
        <f>STOCK[[#This Row],[Precio Final]]</f>
        <v>20</v>
      </c>
      <c r="I766" s="53">
        <f>STOCK[[#This Row],[Precio Venta Ideal (x1.5)]]</f>
        <v>30.75</v>
      </c>
      <c r="J766" s="70">
        <v>0</v>
      </c>
      <c r="K766" s="70">
        <f>SUMIFS(VENTAS[Cantidad],VENTAS[Código del producto Vendido],STOCK[[#This Row],[Code]])</f>
        <v>0</v>
      </c>
      <c r="L766" s="70">
        <f>STOCK[[#This Row],[Entradas]]-STOCK[[#This Row],[Salidas]]</f>
        <v>0</v>
      </c>
      <c r="M766" s="53">
        <f>STOCK[[#This Row],[Precio Final]]*10%</f>
        <v>2</v>
      </c>
      <c r="N766" s="53">
        <v>0</v>
      </c>
      <c r="O766" s="53">
        <v>0</v>
      </c>
      <c r="P766" s="53">
        <v>17</v>
      </c>
      <c r="Q766" s="70">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54" t="s">
        <v>1528</v>
      </c>
      <c r="F767" s="54" t="s">
        <v>40</v>
      </c>
      <c r="G767" s="54" t="s">
        <v>36</v>
      </c>
      <c r="H767" s="54">
        <f>STOCK[[#This Row],[Precio Final]]</f>
        <v>22</v>
      </c>
      <c r="I767" s="54">
        <f>STOCK[[#This Row],[Precio Venta Ideal (x1.5)]]</f>
        <v>25.35</v>
      </c>
      <c r="J767" s="71">
        <v>2</v>
      </c>
      <c r="K767" s="71">
        <f>SUMIFS(VENTAS[Cantidad],VENTAS[Código del producto Vendido],STOCK[[#This Row],[Code]])</f>
        <v>2</v>
      </c>
      <c r="L767" s="71">
        <f>STOCK[[#This Row],[Entradas]]-STOCK[[#This Row],[Salidas]]</f>
        <v>0</v>
      </c>
      <c r="M767" s="54">
        <f>STOCK[[#This Row],[Precio Final]]*10%</f>
        <v>2.2</v>
      </c>
      <c r="N767" s="54">
        <v>0</v>
      </c>
      <c r="O767" s="54">
        <v>0</v>
      </c>
      <c r="P767" s="54">
        <v>13.2</v>
      </c>
      <c r="Q767" s="71">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53" t="s">
        <v>1486</v>
      </c>
      <c r="F768" s="53" t="s">
        <v>766</v>
      </c>
      <c r="G768" s="53" t="s">
        <v>36</v>
      </c>
      <c r="H768" s="53">
        <f>STOCK[[#This Row],[Precio Final]]</f>
        <v>35</v>
      </c>
      <c r="I768" s="53">
        <f>STOCK[[#This Row],[Precio Venta Ideal (x1.5)]]</f>
        <v>35.25</v>
      </c>
      <c r="J768" s="70">
        <v>1</v>
      </c>
      <c r="K768" s="70">
        <f>SUMIFS(VENTAS[Cantidad],VENTAS[Código del producto Vendido],STOCK[[#This Row],[Code]])</f>
        <v>1</v>
      </c>
      <c r="L768" s="70">
        <f>STOCK[[#This Row],[Entradas]]-STOCK[[#This Row],[Salidas]]</f>
        <v>0</v>
      </c>
      <c r="M768" s="53">
        <f>STOCK[[#This Row],[Precio Final]]*10%</f>
        <v>3.5</v>
      </c>
      <c r="N768" s="53">
        <v>0</v>
      </c>
      <c r="O768" s="53">
        <v>0</v>
      </c>
      <c r="P768" s="53">
        <v>18.5</v>
      </c>
      <c r="Q768" s="70">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54" t="s">
        <v>1488</v>
      </c>
      <c r="F769" s="54" t="s">
        <v>40</v>
      </c>
      <c r="G769" s="54" t="s">
        <v>36</v>
      </c>
      <c r="H769" s="54">
        <f>STOCK[[#This Row],[Precio Final]]</f>
        <v>30</v>
      </c>
      <c r="I769" s="54">
        <f>STOCK[[#This Row],[Precio Venta Ideal (x1.5)]]</f>
        <v>30.15</v>
      </c>
      <c r="J769" s="71">
        <v>0</v>
      </c>
      <c r="K769" s="71">
        <f>SUMIFS(VENTAS[Cantidad],VENTAS[Código del producto Vendido],STOCK[[#This Row],[Code]])</f>
        <v>0</v>
      </c>
      <c r="L769" s="71">
        <f>STOCK[[#This Row],[Entradas]]-STOCK[[#This Row],[Salidas]]</f>
        <v>0</v>
      </c>
      <c r="M769" s="54">
        <f>STOCK[[#This Row],[Precio Final]]*10%</f>
        <v>3</v>
      </c>
      <c r="N769" s="54">
        <v>0</v>
      </c>
      <c r="O769" s="54">
        <v>0</v>
      </c>
      <c r="P769" s="54">
        <v>15.6</v>
      </c>
      <c r="Q769" s="71">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53" t="s">
        <v>1533</v>
      </c>
      <c r="F770" s="53" t="s">
        <v>1534</v>
      </c>
      <c r="G770" s="53" t="s">
        <v>36</v>
      </c>
      <c r="H770" s="53">
        <f>STOCK[[#This Row],[Precio Final]]</f>
        <v>22</v>
      </c>
      <c r="I770" s="53">
        <f>STOCK[[#This Row],[Precio Venta Ideal (x1.5)]]</f>
        <v>25.05</v>
      </c>
      <c r="J770" s="70">
        <v>2</v>
      </c>
      <c r="K770" s="70">
        <f>SUMIFS(VENTAS[Cantidad],VENTAS[Código del producto Vendido],STOCK[[#This Row],[Code]])</f>
        <v>2</v>
      </c>
      <c r="L770" s="70">
        <f>STOCK[[#This Row],[Entradas]]-STOCK[[#This Row],[Salidas]]</f>
        <v>0</v>
      </c>
      <c r="M770" s="53">
        <f>STOCK[[#This Row],[Precio Final]]*10%</f>
        <v>2.2</v>
      </c>
      <c r="N770" s="53">
        <v>0</v>
      </c>
      <c r="O770" s="53">
        <v>0</v>
      </c>
      <c r="P770" s="53">
        <v>13</v>
      </c>
      <c r="Q770" s="70">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54" t="s">
        <v>1536</v>
      </c>
      <c r="F771" s="54" t="s">
        <v>49</v>
      </c>
      <c r="G771" s="54" t="s">
        <v>36</v>
      </c>
      <c r="H771" s="54">
        <f>STOCK[[#This Row],[Precio Final]]</f>
        <v>22</v>
      </c>
      <c r="I771" s="54">
        <f>STOCK[[#This Row],[Precio Venta Ideal (x1.5)]]</f>
        <v>25.35</v>
      </c>
      <c r="J771" s="71">
        <v>1</v>
      </c>
      <c r="K771" s="71">
        <f>SUMIFS(VENTAS[Cantidad],VENTAS[Código del producto Vendido],STOCK[[#This Row],[Code]])</f>
        <v>1</v>
      </c>
      <c r="L771" s="71">
        <f>STOCK[[#This Row],[Entradas]]-STOCK[[#This Row],[Salidas]]</f>
        <v>0</v>
      </c>
      <c r="M771" s="54">
        <f>STOCK[[#This Row],[Precio Final]]*10%</f>
        <v>2.2</v>
      </c>
      <c r="N771" s="54">
        <v>0</v>
      </c>
      <c r="O771" s="54">
        <v>0</v>
      </c>
      <c r="P771" s="54">
        <v>13.2</v>
      </c>
      <c r="Q771" s="71">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53" t="s">
        <v>1483</v>
      </c>
      <c r="F772" s="53" t="s">
        <v>40</v>
      </c>
      <c r="G772" s="53" t="s">
        <v>36</v>
      </c>
      <c r="H772" s="53">
        <f>STOCK[[#This Row],[Precio Final]]</f>
        <v>50</v>
      </c>
      <c r="I772" s="53">
        <f>STOCK[[#This Row],[Precio Venta Ideal (x1.5)]]</f>
        <v>47.25</v>
      </c>
      <c r="J772" s="70">
        <v>0</v>
      </c>
      <c r="K772" s="70">
        <f>SUMIFS(VENTAS[Cantidad],VENTAS[Código del producto Vendido],STOCK[[#This Row],[Code]])</f>
        <v>0</v>
      </c>
      <c r="L772" s="70">
        <f>STOCK[[#This Row],[Entradas]]-STOCK[[#This Row],[Salidas]]</f>
        <v>0</v>
      </c>
      <c r="M772" s="53">
        <f>STOCK[[#This Row],[Precio Final]]*10%</f>
        <v>5</v>
      </c>
      <c r="N772" s="53">
        <v>0</v>
      </c>
      <c r="O772" s="53">
        <v>0</v>
      </c>
      <c r="P772" s="53">
        <v>25</v>
      </c>
      <c r="Q772" s="70">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54" t="s">
        <v>1539</v>
      </c>
      <c r="F773" s="54" t="s">
        <v>40</v>
      </c>
      <c r="G773" s="54" t="s">
        <v>36</v>
      </c>
      <c r="H773" s="54">
        <f>STOCK[[#This Row],[Precio Final]]</f>
        <v>25</v>
      </c>
      <c r="I773" s="54">
        <f>STOCK[[#This Row],[Precio Venta Ideal (x1.5)]]</f>
        <v>26.25</v>
      </c>
      <c r="J773" s="71">
        <v>1</v>
      </c>
      <c r="K773" s="71">
        <f>SUMIFS(VENTAS[Cantidad],VENTAS[Código del producto Vendido],STOCK[[#This Row],[Code]])</f>
        <v>1</v>
      </c>
      <c r="L773" s="71">
        <f>STOCK[[#This Row],[Entradas]]-STOCK[[#This Row],[Salidas]]</f>
        <v>0</v>
      </c>
      <c r="M773" s="54">
        <f>STOCK[[#This Row],[Precio Final]]*10%</f>
        <v>2.5</v>
      </c>
      <c r="N773" s="54">
        <v>0</v>
      </c>
      <c r="O773" s="54">
        <v>0</v>
      </c>
      <c r="P773" s="54">
        <v>13.5</v>
      </c>
      <c r="Q773" s="71">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53" t="s">
        <v>1541</v>
      </c>
      <c r="F774" s="53" t="s">
        <v>394</v>
      </c>
      <c r="G774" s="53" t="s">
        <v>36</v>
      </c>
      <c r="H774" s="53">
        <f>STOCK[[#This Row],[Precio Final]]</f>
        <v>5</v>
      </c>
      <c r="I774" s="53">
        <f>STOCK[[#This Row],[Precio Venta Ideal (x1.5)]]</f>
        <v>7.35</v>
      </c>
      <c r="J774" s="70">
        <v>1</v>
      </c>
      <c r="K774" s="70">
        <f>SUMIFS(VENTAS[Cantidad],VENTAS[Código del producto Vendido],STOCK[[#This Row],[Code]])</f>
        <v>1</v>
      </c>
      <c r="L774" s="70">
        <f>STOCK[[#This Row],[Entradas]]-STOCK[[#This Row],[Salidas]]</f>
        <v>0</v>
      </c>
      <c r="M774" s="53">
        <f>STOCK[[#This Row],[Precio Final]]*10%</f>
        <v>0.5</v>
      </c>
      <c r="N774" s="53">
        <v>0</v>
      </c>
      <c r="O774" s="53">
        <v>0</v>
      </c>
      <c r="P774" s="53">
        <v>2.9</v>
      </c>
      <c r="Q774" s="70">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54" t="s">
        <v>1543</v>
      </c>
      <c r="F775" s="54" t="s">
        <v>394</v>
      </c>
      <c r="G775" s="54" t="s">
        <v>36</v>
      </c>
      <c r="H775" s="54">
        <f>STOCK[[#This Row],[Precio Final]]</f>
        <v>8</v>
      </c>
      <c r="I775" s="54">
        <f>STOCK[[#This Row],[Precio Venta Ideal (x1.5)]]</f>
        <v>10.5</v>
      </c>
      <c r="J775" s="71">
        <v>1</v>
      </c>
      <c r="K775" s="71">
        <f>SUMIFS(VENTAS[Cantidad],VENTAS[Código del producto Vendido],STOCK[[#This Row],[Code]])</f>
        <v>1</v>
      </c>
      <c r="L775" s="71">
        <f>STOCK[[#This Row],[Entradas]]-STOCK[[#This Row],[Salidas]]</f>
        <v>0</v>
      </c>
      <c r="M775" s="54">
        <f>STOCK[[#This Row],[Precio Final]]*10%</f>
        <v>0.8</v>
      </c>
      <c r="N775" s="54">
        <v>0</v>
      </c>
      <c r="O775" s="54">
        <v>0</v>
      </c>
      <c r="P775" s="54">
        <v>4.7</v>
      </c>
      <c r="Q775" s="71">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53" t="s">
        <v>1545</v>
      </c>
      <c r="F776" s="53" t="s">
        <v>394</v>
      </c>
      <c r="G776" s="53" t="s">
        <v>36</v>
      </c>
      <c r="H776" s="53">
        <f>STOCK[[#This Row],[Precio Final]]</f>
        <v>5</v>
      </c>
      <c r="I776" s="53">
        <f>STOCK[[#This Row],[Precio Venta Ideal (x1.5)]]</f>
        <v>7.08</v>
      </c>
      <c r="J776" s="70">
        <v>1</v>
      </c>
      <c r="K776" s="70">
        <f>SUMIFS(VENTAS[Cantidad],VENTAS[Código del producto Vendido],STOCK[[#This Row],[Code]])</f>
        <v>1</v>
      </c>
      <c r="L776" s="70">
        <f>STOCK[[#This Row],[Entradas]]-STOCK[[#This Row],[Salidas]]</f>
        <v>0</v>
      </c>
      <c r="M776" s="53">
        <f>STOCK[[#This Row],[Precio Final]]*10%</f>
        <v>0.5</v>
      </c>
      <c r="N776" s="53">
        <v>0</v>
      </c>
      <c r="O776" s="53">
        <v>0</v>
      </c>
      <c r="P776" s="53">
        <v>2.72</v>
      </c>
      <c r="Q776" s="70">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54" t="s">
        <v>1541</v>
      </c>
      <c r="F777" s="54" t="s">
        <v>394</v>
      </c>
      <c r="G777" s="54" t="s">
        <v>36</v>
      </c>
      <c r="H777" s="54">
        <f>STOCK[[#This Row],[Precio Final]]</f>
        <v>7</v>
      </c>
      <c r="I777" s="54">
        <f>STOCK[[#This Row],[Precio Venta Ideal (x1.5)]]</f>
        <v>10.125</v>
      </c>
      <c r="J777" s="71">
        <v>1</v>
      </c>
      <c r="K777" s="71">
        <f>SUMIFS(VENTAS[Cantidad],VENTAS[Código del producto Vendido],STOCK[[#This Row],[Code]])</f>
        <v>1</v>
      </c>
      <c r="L777" s="71">
        <f>STOCK[[#This Row],[Entradas]]-STOCK[[#This Row],[Salidas]]</f>
        <v>0</v>
      </c>
      <c r="M777" s="54">
        <f>STOCK[[#This Row],[Precio Final]]*10%</f>
        <v>0.7</v>
      </c>
      <c r="N777" s="54">
        <v>0</v>
      </c>
      <c r="O777" s="54">
        <v>0</v>
      </c>
      <c r="P777" s="54">
        <v>4.55</v>
      </c>
      <c r="Q777" s="71">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53" t="s">
        <v>1550</v>
      </c>
      <c r="F778" s="53" t="s">
        <v>766</v>
      </c>
      <c r="G778" s="53" t="s">
        <v>36</v>
      </c>
      <c r="H778" s="53">
        <f>STOCK[[#This Row],[Precio Final]]</f>
        <v>3</v>
      </c>
      <c r="I778" s="53">
        <f>STOCK[[#This Row],[Precio Venta Ideal (x1.5)]]</f>
        <v>5.325</v>
      </c>
      <c r="J778" s="70">
        <v>1</v>
      </c>
      <c r="K778" s="70">
        <f>SUMIFS(VENTAS[Cantidad],VENTAS[Código del producto Vendido],STOCK[[#This Row],[Code]])</f>
        <v>1</v>
      </c>
      <c r="L778" s="70">
        <f>STOCK[[#This Row],[Entradas]]-STOCK[[#This Row],[Salidas]]</f>
        <v>0</v>
      </c>
      <c r="M778" s="53">
        <f>STOCK[[#This Row],[Precio Final]]*10%</f>
        <v>0.3</v>
      </c>
      <c r="N778" s="53">
        <v>0</v>
      </c>
      <c r="O778" s="53">
        <v>0</v>
      </c>
      <c r="P778" s="53">
        <v>1.75</v>
      </c>
      <c r="Q778" s="70">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54" t="s">
        <v>1552</v>
      </c>
      <c r="F779" s="54" t="s">
        <v>540</v>
      </c>
      <c r="G779" s="54" t="s">
        <v>36</v>
      </c>
      <c r="H779" s="54">
        <f>STOCK[[#This Row],[Precio Final]]</f>
        <v>3</v>
      </c>
      <c r="I779" s="54">
        <f>STOCK[[#This Row],[Precio Venta Ideal (x1.5)]]</f>
        <v>5.7</v>
      </c>
      <c r="J779" s="71">
        <v>1</v>
      </c>
      <c r="K779" s="71">
        <f>SUMIFS(VENTAS[Cantidad],VENTAS[Código del producto Vendido],STOCK[[#This Row],[Code]])</f>
        <v>1</v>
      </c>
      <c r="L779" s="71">
        <f>STOCK[[#This Row],[Entradas]]-STOCK[[#This Row],[Salidas]]</f>
        <v>0</v>
      </c>
      <c r="M779" s="54">
        <f>STOCK[[#This Row],[Precio Final]]*10%</f>
        <v>0.3</v>
      </c>
      <c r="N779" s="54">
        <v>0</v>
      </c>
      <c r="O779" s="54">
        <v>0</v>
      </c>
      <c r="P779" s="54">
        <v>2</v>
      </c>
      <c r="Q779" s="71">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53" t="s">
        <v>1555</v>
      </c>
      <c r="F780" s="53" t="s">
        <v>540</v>
      </c>
      <c r="G780" s="53" t="s">
        <v>704</v>
      </c>
      <c r="H780" s="53">
        <f>STOCK[[#This Row],[Precio Final]]</f>
        <v>55</v>
      </c>
      <c r="I780" s="53">
        <f>STOCK[[#This Row],[Precio Venta Ideal (x1.5)]]</f>
        <v>68.25</v>
      </c>
      <c r="J780" s="70">
        <v>1</v>
      </c>
      <c r="K780" s="70">
        <f>SUMIFS(VENTAS[Cantidad],VENTAS[Código del producto Vendido],STOCK[[#This Row],[Code]])</f>
        <v>1</v>
      </c>
      <c r="L780" s="70">
        <f>STOCK[[#This Row],[Entradas]]-STOCK[[#This Row],[Salidas]]</f>
        <v>0</v>
      </c>
      <c r="M780" s="53">
        <f>STOCK[[#This Row],[Precio Final]]*10%</f>
        <v>5.5</v>
      </c>
      <c r="N780" s="53">
        <v>0</v>
      </c>
      <c r="O780" s="53">
        <v>0</v>
      </c>
      <c r="P780" s="53">
        <v>32</v>
      </c>
      <c r="Q780" s="70">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54" t="s">
        <v>1557</v>
      </c>
      <c r="F781" s="54" t="s">
        <v>40</v>
      </c>
      <c r="G781" s="54" t="s">
        <v>704</v>
      </c>
      <c r="H781" s="54">
        <f>STOCK[[#This Row],[Precio Final]]</f>
        <v>90</v>
      </c>
      <c r="I781" s="54">
        <f>STOCK[[#This Row],[Precio Venta Ideal (x1.5)]]</f>
        <v>130.5</v>
      </c>
      <c r="J781" s="71">
        <v>1</v>
      </c>
      <c r="K781" s="71">
        <f>SUMIFS(VENTAS[Cantidad],VENTAS[Código del producto Vendido],STOCK[[#This Row],[Code]])</f>
        <v>1</v>
      </c>
      <c r="L781" s="71">
        <f>STOCK[[#This Row],[Entradas]]-STOCK[[#This Row],[Salidas]]</f>
        <v>0</v>
      </c>
      <c r="M781" s="54">
        <f>STOCK[[#This Row],[Precio Final]]*10%</f>
        <v>9</v>
      </c>
      <c r="N781" s="54">
        <v>0</v>
      </c>
      <c r="O781" s="54">
        <v>0</v>
      </c>
      <c r="P781" s="54">
        <v>63</v>
      </c>
      <c r="Q781" s="71">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53" t="s">
        <v>1559</v>
      </c>
      <c r="F782" s="53" t="s">
        <v>40</v>
      </c>
      <c r="G782" s="53" t="s">
        <v>704</v>
      </c>
      <c r="H782" s="53">
        <f>STOCK[[#This Row],[Precio Final]]</f>
        <v>20</v>
      </c>
      <c r="I782" s="53">
        <f>STOCK[[#This Row],[Precio Venta Ideal (x1.5)]]</f>
        <v>24.675</v>
      </c>
      <c r="J782" s="70">
        <v>1</v>
      </c>
      <c r="K782" s="70">
        <f>SUMIFS(VENTAS[Cantidad],VENTAS[Código del producto Vendido],STOCK[[#This Row],[Code]])</f>
        <v>0</v>
      </c>
      <c r="L782" s="70">
        <f>STOCK[[#This Row],[Entradas]]-STOCK[[#This Row],[Salidas]]</f>
        <v>1</v>
      </c>
      <c r="M782" s="53">
        <f>STOCK[[#This Row],[Precio Final]]*10%</f>
        <v>2</v>
      </c>
      <c r="N782" s="53">
        <v>0</v>
      </c>
      <c r="O782" s="53">
        <v>0</v>
      </c>
      <c r="P782" s="53">
        <v>12.45</v>
      </c>
      <c r="Q782" s="70">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54" t="s">
        <v>1561</v>
      </c>
      <c r="F783" s="54" t="s">
        <v>40</v>
      </c>
      <c r="G783" s="54" t="s">
        <v>704</v>
      </c>
      <c r="H783" s="54">
        <f>STOCK[[#This Row],[Precio Final]]</f>
        <v>50</v>
      </c>
      <c r="I783" s="54">
        <f>STOCK[[#This Row],[Precio Venta Ideal (x1.5)]]</f>
        <v>67.5</v>
      </c>
      <c r="J783" s="71">
        <v>1</v>
      </c>
      <c r="K783" s="71">
        <f>SUMIFS(VENTAS[Cantidad],VENTAS[Código del producto Vendido],STOCK[[#This Row],[Code]])</f>
        <v>0</v>
      </c>
      <c r="L783" s="71">
        <f>STOCK[[#This Row],[Entradas]]-STOCK[[#This Row],[Salidas]]</f>
        <v>1</v>
      </c>
      <c r="M783" s="54">
        <f>STOCK[[#This Row],[Precio Final]]*10%</f>
        <v>5</v>
      </c>
      <c r="N783" s="54">
        <v>0</v>
      </c>
      <c r="O783" s="54">
        <v>0</v>
      </c>
      <c r="P783" s="54">
        <v>35</v>
      </c>
      <c r="Q783" s="71">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53" t="s">
        <v>1563</v>
      </c>
      <c r="F784" s="53" t="s">
        <v>720</v>
      </c>
      <c r="G784" s="53" t="s">
        <v>704</v>
      </c>
      <c r="H784" s="53">
        <f>STOCK[[#This Row],[Precio Final]]</f>
        <v>35</v>
      </c>
      <c r="I784" s="53">
        <f>STOCK[[#This Row],[Precio Venta Ideal (x1.5)]]</f>
        <v>41.25</v>
      </c>
      <c r="J784" s="70">
        <v>1</v>
      </c>
      <c r="K784" s="70">
        <f>SUMIFS(VENTAS[Cantidad],VENTAS[Código del producto Vendido],STOCK[[#This Row],[Code]])</f>
        <v>1</v>
      </c>
      <c r="L784" s="70">
        <f>STOCK[[#This Row],[Entradas]]-STOCK[[#This Row],[Salidas]]</f>
        <v>0</v>
      </c>
      <c r="M784" s="53">
        <f>STOCK[[#This Row],[Precio Final]]*10%</f>
        <v>3.5</v>
      </c>
      <c r="N784" s="53">
        <v>0</v>
      </c>
      <c r="O784" s="53">
        <v>0</v>
      </c>
      <c r="P784" s="53">
        <v>22</v>
      </c>
      <c r="Q784" s="70">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54" t="s">
        <v>1565</v>
      </c>
      <c r="F785" s="54" t="s">
        <v>40</v>
      </c>
      <c r="G785" s="54" t="s">
        <v>704</v>
      </c>
      <c r="H785" s="54">
        <f>STOCK[[#This Row],[Precio Final]]</f>
        <v>50</v>
      </c>
      <c r="I785" s="54">
        <f>STOCK[[#This Row],[Precio Venta Ideal (x1.5)]]</f>
        <v>58.275</v>
      </c>
      <c r="J785" s="71">
        <v>1</v>
      </c>
      <c r="K785" s="71">
        <f>SUMIFS(VENTAS[Cantidad],VENTAS[Código del producto Vendido],STOCK[[#This Row],[Code]])</f>
        <v>0</v>
      </c>
      <c r="L785" s="71">
        <f>STOCK[[#This Row],[Entradas]]-STOCK[[#This Row],[Salidas]]</f>
        <v>1</v>
      </c>
      <c r="M785" s="54">
        <f>STOCK[[#This Row],[Precio Final]]*10%</f>
        <v>5</v>
      </c>
      <c r="N785" s="54">
        <v>0</v>
      </c>
      <c r="O785" s="54">
        <v>0</v>
      </c>
      <c r="P785" s="54">
        <v>26.85</v>
      </c>
      <c r="Q785" s="71">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53" t="s">
        <v>1567</v>
      </c>
      <c r="F786" s="53" t="s">
        <v>40</v>
      </c>
      <c r="G786" s="53" t="s">
        <v>704</v>
      </c>
      <c r="H786" s="53">
        <f>STOCK[[#This Row],[Precio Final]]</f>
        <v>15</v>
      </c>
      <c r="I786" s="53">
        <f>STOCK[[#This Row],[Precio Venta Ideal (x1.5)]]</f>
        <v>18.57</v>
      </c>
      <c r="J786" s="70">
        <v>4</v>
      </c>
      <c r="K786" s="70">
        <f>SUMIFS(VENTAS[Cantidad],VENTAS[Código del producto Vendido],STOCK[[#This Row],[Code]])</f>
        <v>0</v>
      </c>
      <c r="L786" s="70">
        <f>STOCK[[#This Row],[Entradas]]-STOCK[[#This Row],[Salidas]]</f>
        <v>4</v>
      </c>
      <c r="M786" s="53">
        <f>STOCK[[#This Row],[Precio Final]]*10%</f>
        <v>1.5</v>
      </c>
      <c r="N786" s="53">
        <v>0</v>
      </c>
      <c r="O786" s="53">
        <v>0</v>
      </c>
      <c r="P786" s="53">
        <v>8.88</v>
      </c>
      <c r="Q786" s="70">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54" t="s">
        <v>1569</v>
      </c>
      <c r="F787" s="54" t="s">
        <v>62</v>
      </c>
      <c r="G787" s="54" t="s">
        <v>1296</v>
      </c>
      <c r="H787" s="54">
        <f>STOCK[[#This Row],[Precio Final]]</f>
        <v>40</v>
      </c>
      <c r="I787" s="54">
        <f>STOCK[[#This Row],[Precio Venta Ideal (x1.5)]]</f>
        <v>36</v>
      </c>
      <c r="J787" s="71">
        <v>3</v>
      </c>
      <c r="K787" s="71">
        <f>SUMIFS(VENTAS[Cantidad],VENTAS[Código del producto Vendido],STOCK[[#This Row],[Code]])</f>
        <v>2</v>
      </c>
      <c r="L787" s="71">
        <f>STOCK[[#This Row],[Entradas]]-STOCK[[#This Row],[Salidas]]</f>
        <v>1</v>
      </c>
      <c r="M787" s="54">
        <f>STOCK[[#This Row],[Precio Final]]*10%</f>
        <v>4</v>
      </c>
      <c r="N787" s="54">
        <v>0</v>
      </c>
      <c r="O787" s="54">
        <v>0</v>
      </c>
      <c r="P787" s="54">
        <v>15</v>
      </c>
      <c r="Q787" s="71">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53" t="s">
        <v>1572</v>
      </c>
      <c r="F788" s="53" t="s">
        <v>766</v>
      </c>
      <c r="G788" s="53" t="s">
        <v>1296</v>
      </c>
      <c r="H788" s="53">
        <f>STOCK[[#This Row],[Precio Final]]</f>
        <v>25</v>
      </c>
      <c r="I788" s="53">
        <f>STOCK[[#This Row],[Precio Venta Ideal (x1.5)]]</f>
        <v>24.75</v>
      </c>
      <c r="J788" s="70">
        <v>1</v>
      </c>
      <c r="K788" s="70">
        <f>SUMIFS(VENTAS[Cantidad],VENTAS[Código del producto Vendido],STOCK[[#This Row],[Code]])</f>
        <v>1</v>
      </c>
      <c r="L788" s="70">
        <f>STOCK[[#This Row],[Entradas]]-STOCK[[#This Row],[Salidas]]</f>
        <v>0</v>
      </c>
      <c r="M788" s="53">
        <f>STOCK[[#This Row],[Precio Final]]*10%</f>
        <v>2.5</v>
      </c>
      <c r="N788" s="53">
        <v>0</v>
      </c>
      <c r="O788" s="53">
        <v>0</v>
      </c>
      <c r="P788" s="53">
        <v>9</v>
      </c>
      <c r="Q788" s="70">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54" t="s">
        <v>1572</v>
      </c>
      <c r="F789" s="54" t="s">
        <v>1574</v>
      </c>
      <c r="G789" s="54" t="s">
        <v>1296</v>
      </c>
      <c r="H789" s="54">
        <f>STOCK[[#This Row],[Precio Final]]</f>
        <v>25</v>
      </c>
      <c r="I789" s="54">
        <f>STOCK[[#This Row],[Precio Venta Ideal (x1.5)]]</f>
        <v>24.75</v>
      </c>
      <c r="J789" s="71">
        <v>3</v>
      </c>
      <c r="K789" s="71">
        <f>SUMIFS(VENTAS[Cantidad],VENTAS[Código del producto Vendido],STOCK[[#This Row],[Code]])</f>
        <v>3</v>
      </c>
      <c r="L789" s="71">
        <f>STOCK[[#This Row],[Entradas]]-STOCK[[#This Row],[Salidas]]</f>
        <v>0</v>
      </c>
      <c r="M789" s="54">
        <f>STOCK[[#This Row],[Precio Final]]*10%</f>
        <v>2.5</v>
      </c>
      <c r="N789" s="54">
        <v>0</v>
      </c>
      <c r="O789" s="54">
        <v>0</v>
      </c>
      <c r="P789" s="54">
        <v>9</v>
      </c>
      <c r="Q789" s="71">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53" t="s">
        <v>1577</v>
      </c>
      <c r="F790" s="53" t="s">
        <v>1578</v>
      </c>
      <c r="G790" s="53" t="s">
        <v>1296</v>
      </c>
      <c r="H790" s="53">
        <f>STOCK[[#This Row],[Precio Final]]</f>
        <v>18</v>
      </c>
      <c r="I790" s="53">
        <f>STOCK[[#This Row],[Precio Venta Ideal (x1.5)]]</f>
        <v>19.2</v>
      </c>
      <c r="J790" s="70">
        <v>2</v>
      </c>
      <c r="K790" s="70">
        <f>SUMIFS(VENTAS[Cantidad],VENTAS[Código del producto Vendido],STOCK[[#This Row],[Code]])</f>
        <v>2</v>
      </c>
      <c r="L790" s="70">
        <f>STOCK[[#This Row],[Entradas]]-STOCK[[#This Row],[Salidas]]</f>
        <v>0</v>
      </c>
      <c r="M790" s="53">
        <f>STOCK[[#This Row],[Precio Final]]*10%</f>
        <v>1.8</v>
      </c>
      <c r="N790" s="53">
        <v>0</v>
      </c>
      <c r="O790" s="53">
        <v>0</v>
      </c>
      <c r="P790" s="53">
        <v>7</v>
      </c>
      <c r="Q790" s="70">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54" t="s">
        <v>1577</v>
      </c>
      <c r="F791" s="54" t="s">
        <v>1574</v>
      </c>
      <c r="G791" s="54" t="s">
        <v>1296</v>
      </c>
      <c r="H791" s="54">
        <f>STOCK[[#This Row],[Precio Final]]</f>
        <v>18</v>
      </c>
      <c r="I791" s="54">
        <f>STOCK[[#This Row],[Precio Venta Ideal (x1.5)]]</f>
        <v>19.2</v>
      </c>
      <c r="J791" s="71">
        <v>1</v>
      </c>
      <c r="K791" s="71">
        <f>SUMIFS(VENTAS[Cantidad],VENTAS[Código del producto Vendido],STOCK[[#This Row],[Code]])</f>
        <v>1</v>
      </c>
      <c r="L791" s="71">
        <f>STOCK[[#This Row],[Entradas]]-STOCK[[#This Row],[Salidas]]</f>
        <v>0</v>
      </c>
      <c r="M791" s="54">
        <f>STOCK[[#This Row],[Precio Final]]*10%</f>
        <v>1.8</v>
      </c>
      <c r="N791" s="54">
        <v>0</v>
      </c>
      <c r="O791" s="54">
        <v>0</v>
      </c>
      <c r="P791" s="54">
        <v>7</v>
      </c>
      <c r="Q791" s="71">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53" t="s">
        <v>1581</v>
      </c>
      <c r="F792" s="53" t="s">
        <v>1578</v>
      </c>
      <c r="G792" s="53" t="s">
        <v>1296</v>
      </c>
      <c r="H792" s="53">
        <f>STOCK[[#This Row],[Precio Final]]</f>
        <v>50</v>
      </c>
      <c r="I792" s="53">
        <f>STOCK[[#This Row],[Precio Venta Ideal (x1.5)]]</f>
        <v>49.5</v>
      </c>
      <c r="J792" s="70">
        <v>2</v>
      </c>
      <c r="K792" s="70">
        <f>SUMIFS(VENTAS[Cantidad],VENTAS[Código del producto Vendido],STOCK[[#This Row],[Code]])</f>
        <v>2</v>
      </c>
      <c r="L792" s="70">
        <f>STOCK[[#This Row],[Entradas]]-STOCK[[#This Row],[Salidas]]</f>
        <v>0</v>
      </c>
      <c r="M792" s="53">
        <f>STOCK[[#This Row],[Precio Final]]*10%</f>
        <v>5</v>
      </c>
      <c r="N792" s="53">
        <v>0</v>
      </c>
      <c r="O792" s="53">
        <v>0</v>
      </c>
      <c r="P792" s="53">
        <v>18</v>
      </c>
      <c r="Q792" s="70">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54" t="s">
        <v>1583</v>
      </c>
      <c r="F793" s="54" t="s">
        <v>1574</v>
      </c>
      <c r="G793" s="54" t="s">
        <v>1296</v>
      </c>
      <c r="H793" s="54">
        <f>STOCK[[#This Row],[Precio Final]]</f>
        <v>50</v>
      </c>
      <c r="I793" s="54">
        <f>STOCK[[#This Row],[Precio Venta Ideal (x1.5)]]</f>
        <v>49.5</v>
      </c>
      <c r="J793" s="71">
        <v>1</v>
      </c>
      <c r="K793" s="71">
        <f>SUMIFS(VENTAS[Cantidad],VENTAS[Código del producto Vendido],STOCK[[#This Row],[Code]])</f>
        <v>1</v>
      </c>
      <c r="L793" s="71">
        <f>STOCK[[#This Row],[Entradas]]-STOCK[[#This Row],[Salidas]]</f>
        <v>0</v>
      </c>
      <c r="M793" s="54">
        <f>STOCK[[#This Row],[Precio Final]]*10%</f>
        <v>5</v>
      </c>
      <c r="N793" s="54">
        <v>0</v>
      </c>
      <c r="O793" s="54">
        <v>0</v>
      </c>
      <c r="P793" s="54">
        <v>18</v>
      </c>
      <c r="Q793" s="71">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53" t="s">
        <v>1585</v>
      </c>
      <c r="F794" s="53" t="s">
        <v>764</v>
      </c>
      <c r="G794" s="53" t="s">
        <v>1296</v>
      </c>
      <c r="H794" s="53">
        <f>STOCK[[#This Row],[Precio Final]]</f>
        <v>18</v>
      </c>
      <c r="I794" s="53">
        <f>STOCK[[#This Row],[Precio Venta Ideal (x1.5)]]</f>
        <v>19.2</v>
      </c>
      <c r="J794" s="70">
        <v>2</v>
      </c>
      <c r="K794" s="70">
        <f>SUMIFS(VENTAS[Cantidad],VENTAS[Código del producto Vendido],STOCK[[#This Row],[Code]])</f>
        <v>2</v>
      </c>
      <c r="L794" s="70">
        <f>STOCK[[#This Row],[Entradas]]-STOCK[[#This Row],[Salidas]]</f>
        <v>0</v>
      </c>
      <c r="M794" s="53">
        <f>STOCK[[#This Row],[Precio Final]]*10%</f>
        <v>1.8</v>
      </c>
      <c r="N794" s="53">
        <v>0</v>
      </c>
      <c r="O794" s="53">
        <v>0</v>
      </c>
      <c r="P794" s="53">
        <v>7</v>
      </c>
      <c r="Q794" s="70">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54" t="s">
        <v>1585</v>
      </c>
      <c r="F795" s="54" t="s">
        <v>764</v>
      </c>
      <c r="G795" s="54" t="s">
        <v>1296</v>
      </c>
      <c r="H795" s="54">
        <f>STOCK[[#This Row],[Precio Final]]</f>
        <v>18</v>
      </c>
      <c r="I795" s="54">
        <f>STOCK[[#This Row],[Precio Venta Ideal (x1.5)]]</f>
        <v>19.2</v>
      </c>
      <c r="J795" s="71">
        <v>1</v>
      </c>
      <c r="K795" s="71">
        <f>SUMIFS(VENTAS[Cantidad],VENTAS[Código del producto Vendido],STOCK[[#This Row],[Code]])</f>
        <v>1</v>
      </c>
      <c r="L795" s="71">
        <f>STOCK[[#This Row],[Entradas]]-STOCK[[#This Row],[Salidas]]</f>
        <v>0</v>
      </c>
      <c r="M795" s="54">
        <f>STOCK[[#This Row],[Precio Final]]*10%</f>
        <v>1.8</v>
      </c>
      <c r="N795" s="54">
        <v>0</v>
      </c>
      <c r="O795" s="54">
        <v>0</v>
      </c>
      <c r="P795" s="54">
        <v>7</v>
      </c>
      <c r="Q795" s="71">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53" t="s">
        <v>1588</v>
      </c>
      <c r="F796" s="53" t="s">
        <v>1589</v>
      </c>
      <c r="G796" s="53" t="s">
        <v>1296</v>
      </c>
      <c r="H796" s="53">
        <f>STOCK[[#This Row],[Precio Final]]</f>
        <v>15</v>
      </c>
      <c r="I796" s="53">
        <f>STOCK[[#This Row],[Precio Venta Ideal (x1.5)]]</f>
        <v>16.485</v>
      </c>
      <c r="J796" s="70">
        <v>1</v>
      </c>
      <c r="K796" s="70">
        <f>SUMIFS(VENTAS[Cantidad],VENTAS[Código del producto Vendido],STOCK[[#This Row],[Code]])</f>
        <v>0</v>
      </c>
      <c r="L796" s="70">
        <f>STOCK[[#This Row],[Entradas]]-STOCK[[#This Row],[Salidas]]</f>
        <v>1</v>
      </c>
      <c r="M796" s="53">
        <f>STOCK[[#This Row],[Precio Final]]*10%</f>
        <v>1.5</v>
      </c>
      <c r="N796" s="53">
        <v>0</v>
      </c>
      <c r="O796" s="53">
        <v>0</v>
      </c>
      <c r="P796" s="53">
        <v>6.49</v>
      </c>
      <c r="Q796" s="70">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54" t="s">
        <v>1591</v>
      </c>
      <c r="F797" s="54" t="s">
        <v>1592</v>
      </c>
      <c r="G797" s="54" t="s">
        <v>1296</v>
      </c>
      <c r="H797" s="54">
        <f>STOCK[[#This Row],[Precio Final]]</f>
        <v>15</v>
      </c>
      <c r="I797" s="54">
        <f>STOCK[[#This Row],[Precio Venta Ideal (x1.5)]]</f>
        <v>16.485</v>
      </c>
      <c r="J797" s="71">
        <v>2</v>
      </c>
      <c r="K797" s="71">
        <f>SUMIFS(VENTAS[Cantidad],VENTAS[Código del producto Vendido],STOCK[[#This Row],[Code]])</f>
        <v>1</v>
      </c>
      <c r="L797" s="71">
        <f>STOCK[[#This Row],[Entradas]]-STOCK[[#This Row],[Salidas]]</f>
        <v>1</v>
      </c>
      <c r="M797" s="54">
        <f>STOCK[[#This Row],[Precio Final]]*10%</f>
        <v>1.5</v>
      </c>
      <c r="N797" s="54">
        <v>0</v>
      </c>
      <c r="O797" s="54">
        <v>0</v>
      </c>
      <c r="P797" s="54">
        <v>6.49</v>
      </c>
      <c r="Q797" s="71">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53" t="s">
        <v>1591</v>
      </c>
      <c r="F798" s="53" t="s">
        <v>1594</v>
      </c>
      <c r="G798" s="53" t="s">
        <v>1296</v>
      </c>
      <c r="H798" s="53">
        <f>STOCK[[#This Row],[Precio Final]]</f>
        <v>15</v>
      </c>
      <c r="I798" s="53">
        <f>STOCK[[#This Row],[Precio Venta Ideal (x1.5)]]</f>
        <v>16.485</v>
      </c>
      <c r="J798" s="70">
        <v>1</v>
      </c>
      <c r="K798" s="70">
        <f>SUMIFS(VENTAS[Cantidad],VENTAS[Código del producto Vendido],STOCK[[#This Row],[Code]])</f>
        <v>0</v>
      </c>
      <c r="L798" s="70">
        <f>STOCK[[#This Row],[Entradas]]-STOCK[[#This Row],[Salidas]]</f>
        <v>1</v>
      </c>
      <c r="M798" s="53">
        <f>STOCK[[#This Row],[Precio Final]]*10%</f>
        <v>1.5</v>
      </c>
      <c r="N798" s="53">
        <v>0</v>
      </c>
      <c r="O798" s="53">
        <v>0</v>
      </c>
      <c r="P798" s="53">
        <v>6.49</v>
      </c>
      <c r="Q798" s="70">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54" t="s">
        <v>1596</v>
      </c>
      <c r="F799" s="54" t="s">
        <v>766</v>
      </c>
      <c r="G799" s="54" t="s">
        <v>1296</v>
      </c>
      <c r="H799" s="54">
        <f>STOCK[[#This Row],[Precio Final]]</f>
        <v>15</v>
      </c>
      <c r="I799" s="54">
        <f>STOCK[[#This Row],[Precio Venta Ideal (x1.5)]]</f>
        <v>16.485</v>
      </c>
      <c r="J799" s="71">
        <v>2</v>
      </c>
      <c r="K799" s="71">
        <f>SUMIFS(VENTAS[Cantidad],VENTAS[Código del producto Vendido],STOCK[[#This Row],[Code]])</f>
        <v>2</v>
      </c>
      <c r="L799" s="71">
        <f>STOCK[[#This Row],[Entradas]]-STOCK[[#This Row],[Salidas]]</f>
        <v>0</v>
      </c>
      <c r="M799" s="54">
        <f>STOCK[[#This Row],[Precio Final]]*10%</f>
        <v>1.5</v>
      </c>
      <c r="N799" s="54">
        <v>0</v>
      </c>
      <c r="O799" s="54">
        <v>0</v>
      </c>
      <c r="P799" s="54">
        <v>6.49</v>
      </c>
      <c r="Q799" s="71">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53" t="s">
        <v>1598</v>
      </c>
      <c r="F800" s="53" t="s">
        <v>764</v>
      </c>
      <c r="G800" s="53" t="s">
        <v>1296</v>
      </c>
      <c r="H800" s="53">
        <f>STOCK[[#This Row],[Precio Final]]</f>
        <v>15</v>
      </c>
      <c r="I800" s="53">
        <f>STOCK[[#This Row],[Precio Venta Ideal (x1.5)]]</f>
        <v>16.485</v>
      </c>
      <c r="J800" s="70">
        <v>1</v>
      </c>
      <c r="K800" s="70">
        <f>SUMIFS(VENTAS[Cantidad],VENTAS[Código del producto Vendido],STOCK[[#This Row],[Code]])</f>
        <v>1</v>
      </c>
      <c r="L800" s="70">
        <f>STOCK[[#This Row],[Entradas]]-STOCK[[#This Row],[Salidas]]</f>
        <v>0</v>
      </c>
      <c r="M800" s="53">
        <f>STOCK[[#This Row],[Precio Final]]*10%</f>
        <v>1.5</v>
      </c>
      <c r="N800" s="53">
        <v>0</v>
      </c>
      <c r="O800" s="53">
        <v>0</v>
      </c>
      <c r="P800" s="53">
        <v>6.49</v>
      </c>
      <c r="Q800" s="70">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54" t="s">
        <v>1600</v>
      </c>
      <c r="F801" s="54" t="s">
        <v>42</v>
      </c>
      <c r="G801" s="54" t="s">
        <v>1601</v>
      </c>
      <c r="H801" s="54">
        <f>STOCK[[#This Row],[Precio Final]]</f>
        <v>20</v>
      </c>
      <c r="I801" s="54">
        <f>STOCK[[#This Row],[Precio Venta Ideal (x1.5)]]</f>
        <v>20.7</v>
      </c>
      <c r="J801" s="71">
        <v>3</v>
      </c>
      <c r="K801" s="71">
        <f>SUMIFS(VENTAS[Cantidad],VENTAS[Código del producto Vendido],STOCK[[#This Row],[Code]])</f>
        <v>3</v>
      </c>
      <c r="L801" s="71">
        <f>STOCK[[#This Row],[Entradas]]-STOCK[[#This Row],[Salidas]]</f>
        <v>0</v>
      </c>
      <c r="M801" s="54">
        <f>STOCK[[#This Row],[Precio Final]]*10%</f>
        <v>2</v>
      </c>
      <c r="N801" s="54">
        <v>0</v>
      </c>
      <c r="O801" s="54">
        <v>0</v>
      </c>
      <c r="P801" s="54">
        <v>10.3</v>
      </c>
      <c r="Q801" s="71">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53" t="s">
        <v>1604</v>
      </c>
      <c r="F802" s="53" t="s">
        <v>540</v>
      </c>
      <c r="G802" s="53" t="s">
        <v>36</v>
      </c>
      <c r="H802" s="53">
        <f>STOCK[[#This Row],[Precio Final]]</f>
        <v>35</v>
      </c>
      <c r="I802" s="53">
        <f>STOCK[[#This Row],[Precio Venta Ideal (x1.5)]]</f>
        <v>31.29</v>
      </c>
      <c r="J802" s="70">
        <v>1</v>
      </c>
      <c r="K802" s="70">
        <f>SUMIFS(VENTAS[Cantidad],VENTAS[Código del producto Vendido],STOCK[[#This Row],[Code]])</f>
        <v>1</v>
      </c>
      <c r="L802" s="70">
        <f>STOCK[[#This Row],[Entradas]]-STOCK[[#This Row],[Salidas]]</f>
        <v>0</v>
      </c>
      <c r="M802" s="53">
        <f>STOCK[[#This Row],[Precio Final]]*10%</f>
        <v>3.5</v>
      </c>
      <c r="N802" s="53">
        <v>0</v>
      </c>
      <c r="O802" s="53">
        <v>0</v>
      </c>
      <c r="P802" s="53">
        <v>15.86</v>
      </c>
      <c r="Q802" s="70">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54" t="s">
        <v>1604</v>
      </c>
      <c r="F803" s="54" t="s">
        <v>764</v>
      </c>
      <c r="G803" s="54" t="s">
        <v>36</v>
      </c>
      <c r="H803" s="54">
        <f>STOCK[[#This Row],[Precio Final]]</f>
        <v>35</v>
      </c>
      <c r="I803" s="54">
        <f>STOCK[[#This Row],[Precio Venta Ideal (x1.5)]]</f>
        <v>31.29</v>
      </c>
      <c r="J803" s="71">
        <v>1</v>
      </c>
      <c r="K803" s="71">
        <f>SUMIFS(VENTAS[Cantidad],VENTAS[Código del producto Vendido],STOCK[[#This Row],[Code]])</f>
        <v>1</v>
      </c>
      <c r="L803" s="71">
        <f>STOCK[[#This Row],[Entradas]]-STOCK[[#This Row],[Salidas]]</f>
        <v>0</v>
      </c>
      <c r="M803" s="54">
        <f>STOCK[[#This Row],[Precio Final]]*10%</f>
        <v>3.5</v>
      </c>
      <c r="N803" s="54">
        <v>0</v>
      </c>
      <c r="O803" s="54">
        <v>0</v>
      </c>
      <c r="P803" s="54">
        <v>15.86</v>
      </c>
      <c r="Q803" s="71">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53" t="s">
        <v>1607</v>
      </c>
      <c r="F804" s="53" t="s">
        <v>49</v>
      </c>
      <c r="G804" s="53" t="s">
        <v>36</v>
      </c>
      <c r="H804" s="53">
        <f>STOCK[[#This Row],[Precio Final]]</f>
        <v>30</v>
      </c>
      <c r="I804" s="53">
        <f>STOCK[[#This Row],[Precio Venta Ideal (x1.5)]]</f>
        <v>26.76</v>
      </c>
      <c r="J804" s="70">
        <v>2</v>
      </c>
      <c r="K804" s="70">
        <f>SUMIFS(VENTAS[Cantidad],VENTAS[Código del producto Vendido],STOCK[[#This Row],[Code]])</f>
        <v>2</v>
      </c>
      <c r="L804" s="70">
        <f>STOCK[[#This Row],[Entradas]]-STOCK[[#This Row],[Salidas]]</f>
        <v>0</v>
      </c>
      <c r="M804" s="53">
        <f>STOCK[[#This Row],[Precio Final]]*10%</f>
        <v>3</v>
      </c>
      <c r="N804" s="53">
        <v>0</v>
      </c>
      <c r="O804" s="53">
        <v>0</v>
      </c>
      <c r="P804" s="53">
        <v>13.34</v>
      </c>
      <c r="Q804" s="70">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54" t="s">
        <v>1607</v>
      </c>
      <c r="F805" s="54" t="s">
        <v>62</v>
      </c>
      <c r="G805" s="54" t="s">
        <v>36</v>
      </c>
      <c r="H805" s="54">
        <f>STOCK[[#This Row],[Precio Final]]</f>
        <v>30</v>
      </c>
      <c r="I805" s="54">
        <f>STOCK[[#This Row],[Precio Venta Ideal (x1.5)]]</f>
        <v>26.76</v>
      </c>
      <c r="J805" s="71">
        <v>1</v>
      </c>
      <c r="K805" s="71">
        <f>SUMIFS(VENTAS[Cantidad],VENTAS[Código del producto Vendido],STOCK[[#This Row],[Code]])</f>
        <v>1</v>
      </c>
      <c r="L805" s="71">
        <f>STOCK[[#This Row],[Entradas]]-STOCK[[#This Row],[Salidas]]</f>
        <v>0</v>
      </c>
      <c r="M805" s="54">
        <f>STOCK[[#This Row],[Precio Final]]*10%</f>
        <v>3</v>
      </c>
      <c r="N805" s="54">
        <v>0</v>
      </c>
      <c r="O805" s="54">
        <v>0</v>
      </c>
      <c r="P805" s="54">
        <v>13.34</v>
      </c>
      <c r="Q805" s="71">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53" t="s">
        <v>1611</v>
      </c>
      <c r="F806" s="53" t="s">
        <v>83</v>
      </c>
      <c r="G806" s="53" t="s">
        <v>36</v>
      </c>
      <c r="H806" s="53">
        <f>STOCK[[#This Row],[Precio Final]]</f>
        <v>30</v>
      </c>
      <c r="I806" s="53">
        <f>STOCK[[#This Row],[Precio Venta Ideal (x1.5)]]</f>
        <v>26.76</v>
      </c>
      <c r="J806" s="70">
        <v>2</v>
      </c>
      <c r="K806" s="70">
        <f>SUMIFS(VENTAS[Cantidad],VENTAS[Código del producto Vendido],STOCK[[#This Row],[Code]])</f>
        <v>2</v>
      </c>
      <c r="L806" s="70">
        <f>STOCK[[#This Row],[Entradas]]-STOCK[[#This Row],[Salidas]]</f>
        <v>0</v>
      </c>
      <c r="M806" s="53">
        <f>STOCK[[#This Row],[Precio Final]]*10%</f>
        <v>3</v>
      </c>
      <c r="N806" s="53">
        <v>0</v>
      </c>
      <c r="O806" s="53">
        <v>0</v>
      </c>
      <c r="P806" s="53">
        <v>13.34</v>
      </c>
      <c r="Q806" s="70">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54" t="s">
        <v>1613</v>
      </c>
      <c r="F807" s="54" t="s">
        <v>211</v>
      </c>
      <c r="G807" s="54" t="s">
        <v>36</v>
      </c>
      <c r="H807" s="54">
        <f>STOCK[[#This Row],[Precio Final]]</f>
        <v>22</v>
      </c>
      <c r="I807" s="54">
        <f>STOCK[[#This Row],[Precio Venta Ideal (x1.5)]]</f>
        <v>17.91</v>
      </c>
      <c r="J807" s="71">
        <v>4</v>
      </c>
      <c r="K807" s="71">
        <f>SUMIFS(VENTAS[Cantidad],VENTAS[Código del producto Vendido],STOCK[[#This Row],[Code]])</f>
        <v>4</v>
      </c>
      <c r="L807" s="71">
        <f>STOCK[[#This Row],[Entradas]]-STOCK[[#This Row],[Salidas]]</f>
        <v>0</v>
      </c>
      <c r="M807" s="54">
        <f>STOCK[[#This Row],[Precio Final]]*10%</f>
        <v>2.2</v>
      </c>
      <c r="N807" s="54">
        <v>0</v>
      </c>
      <c r="O807" s="54">
        <v>0</v>
      </c>
      <c r="P807" s="54">
        <v>8.24</v>
      </c>
      <c r="Q807" s="71">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53" t="s">
        <v>1613</v>
      </c>
      <c r="F808" s="53" t="s">
        <v>62</v>
      </c>
      <c r="G808" s="53" t="s">
        <v>36</v>
      </c>
      <c r="H808" s="53">
        <f>STOCK[[#This Row],[Precio Final]]</f>
        <v>22</v>
      </c>
      <c r="I808" s="53">
        <f>STOCK[[#This Row],[Precio Venta Ideal (x1.5)]]</f>
        <v>17.91</v>
      </c>
      <c r="J808" s="70">
        <v>4</v>
      </c>
      <c r="K808" s="70">
        <f>SUMIFS(VENTAS[Cantidad],VENTAS[Código del producto Vendido],STOCK[[#This Row],[Code]])</f>
        <v>4</v>
      </c>
      <c r="L808" s="70">
        <f>STOCK[[#This Row],[Entradas]]-STOCK[[#This Row],[Salidas]]</f>
        <v>0</v>
      </c>
      <c r="M808" s="53">
        <f>STOCK[[#This Row],[Precio Final]]*10%</f>
        <v>2.2</v>
      </c>
      <c r="N808" s="53">
        <v>0</v>
      </c>
      <c r="O808" s="53">
        <v>0</v>
      </c>
      <c r="P808" s="53">
        <v>8.24</v>
      </c>
      <c r="Q808" s="70">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54" t="s">
        <v>1613</v>
      </c>
      <c r="F809" s="54" t="s">
        <v>46</v>
      </c>
      <c r="G809" s="54" t="s">
        <v>36</v>
      </c>
      <c r="H809" s="54">
        <f>STOCK[[#This Row],[Precio Final]]</f>
        <v>22</v>
      </c>
      <c r="I809" s="54">
        <f>STOCK[[#This Row],[Precio Venta Ideal (x1.5)]]</f>
        <v>17.91</v>
      </c>
      <c r="J809" s="71">
        <v>2</v>
      </c>
      <c r="K809" s="71">
        <f>SUMIFS(VENTAS[Cantidad],VENTAS[Código del producto Vendido],STOCK[[#This Row],[Code]])</f>
        <v>2</v>
      </c>
      <c r="L809" s="71">
        <f>STOCK[[#This Row],[Entradas]]-STOCK[[#This Row],[Salidas]]</f>
        <v>0</v>
      </c>
      <c r="M809" s="54">
        <f>STOCK[[#This Row],[Precio Final]]*10%</f>
        <v>2.2</v>
      </c>
      <c r="N809" s="54">
        <v>0</v>
      </c>
      <c r="O809" s="54">
        <v>0</v>
      </c>
      <c r="P809" s="54">
        <v>8.24</v>
      </c>
      <c r="Q809" s="71">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53" t="s">
        <v>1617</v>
      </c>
      <c r="F810" s="53" t="s">
        <v>49</v>
      </c>
      <c r="G810" s="53" t="s">
        <v>36</v>
      </c>
      <c r="H810" s="53">
        <f>STOCK[[#This Row],[Precio Final]]</f>
        <v>30</v>
      </c>
      <c r="I810" s="53">
        <f>STOCK[[#This Row],[Precio Venta Ideal (x1.5)]]</f>
        <v>27.135</v>
      </c>
      <c r="J810" s="70">
        <v>1</v>
      </c>
      <c r="K810" s="70">
        <f>SUMIFS(VENTAS[Cantidad],VENTAS[Código del producto Vendido],STOCK[[#This Row],[Code]])</f>
        <v>1</v>
      </c>
      <c r="L810" s="70">
        <f>STOCK[[#This Row],[Entradas]]-STOCK[[#This Row],[Salidas]]</f>
        <v>0</v>
      </c>
      <c r="M810" s="53">
        <f>STOCK[[#This Row],[Precio Final]]*10%</f>
        <v>3</v>
      </c>
      <c r="N810" s="53">
        <v>0</v>
      </c>
      <c r="O810" s="53">
        <v>0</v>
      </c>
      <c r="P810" s="53">
        <v>13.59</v>
      </c>
      <c r="Q810" s="70">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54" t="s">
        <v>1617</v>
      </c>
      <c r="F811" s="54" t="s">
        <v>88</v>
      </c>
      <c r="G811" s="54" t="s">
        <v>36</v>
      </c>
      <c r="H811" s="54">
        <f>STOCK[[#This Row],[Precio Final]]</f>
        <v>30</v>
      </c>
      <c r="I811" s="54">
        <f>STOCK[[#This Row],[Precio Venta Ideal (x1.5)]]</f>
        <v>27.135</v>
      </c>
      <c r="J811" s="71">
        <v>1</v>
      </c>
      <c r="K811" s="71">
        <f>SUMIFS(VENTAS[Cantidad],VENTAS[Código del producto Vendido],STOCK[[#This Row],[Code]])</f>
        <v>1</v>
      </c>
      <c r="L811" s="71">
        <f>STOCK[[#This Row],[Entradas]]-STOCK[[#This Row],[Salidas]]</f>
        <v>0</v>
      </c>
      <c r="M811" s="54">
        <f>STOCK[[#This Row],[Precio Final]]*10%</f>
        <v>3</v>
      </c>
      <c r="N811" s="54">
        <v>0</v>
      </c>
      <c r="O811" s="54">
        <v>0</v>
      </c>
      <c r="P811" s="54">
        <v>13.59</v>
      </c>
      <c r="Q811" s="71">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53" t="s">
        <v>1620</v>
      </c>
      <c r="F812" s="53" t="s">
        <v>211</v>
      </c>
      <c r="G812" s="53" t="s">
        <v>36</v>
      </c>
      <c r="H812" s="53">
        <f>STOCK[[#This Row],[Precio Final]]</f>
        <v>25</v>
      </c>
      <c r="I812" s="53">
        <f>STOCK[[#This Row],[Precio Venta Ideal (x1.5)]]</f>
        <v>22.35</v>
      </c>
      <c r="J812" s="70">
        <v>1</v>
      </c>
      <c r="K812" s="70">
        <f>SUMIFS(VENTAS[Cantidad],VENTAS[Código del producto Vendido],STOCK[[#This Row],[Code]])</f>
        <v>1</v>
      </c>
      <c r="L812" s="70">
        <f>STOCK[[#This Row],[Entradas]]-STOCK[[#This Row],[Salidas]]</f>
        <v>0</v>
      </c>
      <c r="M812" s="53">
        <f>STOCK[[#This Row],[Precio Final]]*10%</f>
        <v>2.5</v>
      </c>
      <c r="N812" s="53">
        <v>0</v>
      </c>
      <c r="O812" s="53">
        <v>0</v>
      </c>
      <c r="P812" s="53">
        <v>10.9</v>
      </c>
      <c r="Q812" s="70">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54" t="s">
        <v>1620</v>
      </c>
      <c r="F813" s="54" t="s">
        <v>88</v>
      </c>
      <c r="G813" s="54" t="s">
        <v>36</v>
      </c>
      <c r="H813" s="54">
        <f>STOCK[[#This Row],[Precio Final]]</f>
        <v>35</v>
      </c>
      <c r="I813" s="54">
        <f>STOCK[[#This Row],[Precio Venta Ideal (x1.5)]]</f>
        <v>23.85</v>
      </c>
      <c r="J813" s="71">
        <v>2</v>
      </c>
      <c r="K813" s="71">
        <f>SUMIFS(VENTAS[Cantidad],VENTAS[Código del producto Vendido],STOCK[[#This Row],[Code]])</f>
        <v>2</v>
      </c>
      <c r="L813" s="71">
        <f>STOCK[[#This Row],[Entradas]]-STOCK[[#This Row],[Salidas]]</f>
        <v>0</v>
      </c>
      <c r="M813" s="54">
        <f>STOCK[[#This Row],[Precio Final]]*10%</f>
        <v>3.5</v>
      </c>
      <c r="N813" s="54">
        <v>0</v>
      </c>
      <c r="O813" s="54">
        <v>0</v>
      </c>
      <c r="P813" s="54">
        <v>10.9</v>
      </c>
      <c r="Q813" s="71">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53" t="s">
        <v>1620</v>
      </c>
      <c r="F814" s="53" t="s">
        <v>46</v>
      </c>
      <c r="G814" s="53" t="s">
        <v>36</v>
      </c>
      <c r="H814" s="53">
        <f>STOCK[[#This Row],[Precio Final]]</f>
        <v>25</v>
      </c>
      <c r="I814" s="53">
        <f>STOCK[[#This Row],[Precio Venta Ideal (x1.5)]]</f>
        <v>22.35</v>
      </c>
      <c r="J814" s="70">
        <v>1</v>
      </c>
      <c r="K814" s="70">
        <f>SUMIFS(VENTAS[Cantidad],VENTAS[Código del producto Vendido],STOCK[[#This Row],[Code]])</f>
        <v>1</v>
      </c>
      <c r="L814" s="70">
        <f>STOCK[[#This Row],[Entradas]]-STOCK[[#This Row],[Salidas]]</f>
        <v>0</v>
      </c>
      <c r="M814" s="53">
        <f>STOCK[[#This Row],[Precio Final]]*10%</f>
        <v>2.5</v>
      </c>
      <c r="N814" s="53">
        <v>0</v>
      </c>
      <c r="O814" s="53">
        <v>0</v>
      </c>
      <c r="P814" s="53">
        <v>10.9</v>
      </c>
      <c r="Q814" s="70">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54" t="s">
        <v>1604</v>
      </c>
      <c r="F815" s="54" t="s">
        <v>540</v>
      </c>
      <c r="G815" s="54" t="s">
        <v>36</v>
      </c>
      <c r="H815" s="54">
        <f>STOCK[[#This Row],[Precio Final]]</f>
        <v>40</v>
      </c>
      <c r="I815" s="54">
        <f>STOCK[[#This Row],[Precio Venta Ideal (x1.5)]]</f>
        <v>37.29</v>
      </c>
      <c r="J815" s="71">
        <v>1</v>
      </c>
      <c r="K815" s="71">
        <f>SUMIFS(VENTAS[Cantidad],VENTAS[Código del producto Vendido],STOCK[[#This Row],[Code]])</f>
        <v>1</v>
      </c>
      <c r="L815" s="71">
        <f>STOCK[[#This Row],[Entradas]]-STOCK[[#This Row],[Salidas]]</f>
        <v>0</v>
      </c>
      <c r="M815" s="54">
        <f>STOCK[[#This Row],[Precio Final]]*10%</f>
        <v>4</v>
      </c>
      <c r="N815" s="54">
        <v>0</v>
      </c>
      <c r="O815" s="54">
        <v>0</v>
      </c>
      <c r="P815" s="54">
        <v>15.86</v>
      </c>
      <c r="Q815" s="71">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53" t="s">
        <v>1625</v>
      </c>
      <c r="F816" s="53" t="s">
        <v>62</v>
      </c>
      <c r="G816" s="53" t="s">
        <v>36</v>
      </c>
      <c r="H816" s="53">
        <f>STOCK[[#This Row],[Precio Final]]</f>
        <v>27</v>
      </c>
      <c r="I816" s="53">
        <f>STOCK[[#This Row],[Precio Venta Ideal (x1.5)]]</f>
        <v>25.005</v>
      </c>
      <c r="J816" s="70">
        <v>2</v>
      </c>
      <c r="K816" s="70">
        <f>SUMIFS(VENTAS[Cantidad],VENTAS[Código del producto Vendido],STOCK[[#This Row],[Code]])</f>
        <v>2</v>
      </c>
      <c r="L816" s="70">
        <f>STOCK[[#This Row],[Entradas]]-STOCK[[#This Row],[Salidas]]</f>
        <v>0</v>
      </c>
      <c r="M816" s="53">
        <f>STOCK[[#This Row],[Precio Final]]*10%</f>
        <v>2.7</v>
      </c>
      <c r="N816" s="53">
        <v>0</v>
      </c>
      <c r="O816" s="53">
        <v>0</v>
      </c>
      <c r="P816" s="53">
        <v>12.47</v>
      </c>
      <c r="Q816" s="70">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54" t="s">
        <v>1625</v>
      </c>
      <c r="F817" s="54" t="s">
        <v>211</v>
      </c>
      <c r="G817" s="54" t="s">
        <v>36</v>
      </c>
      <c r="H817" s="54">
        <f>STOCK[[#This Row],[Precio Final]]</f>
        <v>27</v>
      </c>
      <c r="I817" s="54">
        <f>STOCK[[#This Row],[Precio Venta Ideal (x1.5)]]</f>
        <v>25.005</v>
      </c>
      <c r="J817" s="71">
        <v>3</v>
      </c>
      <c r="K817" s="71">
        <f>SUMIFS(VENTAS[Cantidad],VENTAS[Código del producto Vendido],STOCK[[#This Row],[Code]])</f>
        <v>3</v>
      </c>
      <c r="L817" s="71">
        <f>STOCK[[#This Row],[Entradas]]-STOCK[[#This Row],[Salidas]]</f>
        <v>0</v>
      </c>
      <c r="M817" s="54">
        <f>STOCK[[#This Row],[Precio Final]]*10%</f>
        <v>2.7</v>
      </c>
      <c r="N817" s="54">
        <v>0</v>
      </c>
      <c r="O817" s="54">
        <v>0</v>
      </c>
      <c r="P817" s="54">
        <v>12.47</v>
      </c>
      <c r="Q817" s="71">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53" t="s">
        <v>1625</v>
      </c>
      <c r="F818" s="53" t="s">
        <v>205</v>
      </c>
      <c r="G818" s="53" t="s">
        <v>36</v>
      </c>
      <c r="H818" s="53">
        <f>STOCK[[#This Row],[Precio Final]]</f>
        <v>27</v>
      </c>
      <c r="I818" s="53">
        <f>STOCK[[#This Row],[Precio Venta Ideal (x1.5)]]</f>
        <v>25.005</v>
      </c>
      <c r="J818" s="70">
        <v>1</v>
      </c>
      <c r="K818" s="70">
        <f>SUMIFS(VENTAS[Cantidad],VENTAS[Código del producto Vendido],STOCK[[#This Row],[Code]])</f>
        <v>1</v>
      </c>
      <c r="L818" s="70">
        <f>STOCK[[#This Row],[Entradas]]-STOCK[[#This Row],[Salidas]]</f>
        <v>0</v>
      </c>
      <c r="M818" s="53">
        <f>STOCK[[#This Row],[Precio Final]]*10%</f>
        <v>2.7</v>
      </c>
      <c r="N818" s="53">
        <v>0</v>
      </c>
      <c r="O818" s="53">
        <v>0</v>
      </c>
      <c r="P818" s="53">
        <v>12.47</v>
      </c>
      <c r="Q818" s="70">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54" t="s">
        <v>1629</v>
      </c>
      <c r="F819" s="54" t="s">
        <v>1630</v>
      </c>
      <c r="G819" s="54" t="s">
        <v>36</v>
      </c>
      <c r="H819" s="54">
        <f>STOCK[[#This Row],[Precio Final]]</f>
        <v>30</v>
      </c>
      <c r="I819" s="54">
        <f>STOCK[[#This Row],[Precio Venta Ideal (x1.5)]]</f>
        <v>25.995</v>
      </c>
      <c r="J819" s="71">
        <v>1</v>
      </c>
      <c r="K819" s="71">
        <f>SUMIFS(VENTAS[Cantidad],VENTAS[Código del producto Vendido],STOCK[[#This Row],[Code]])</f>
        <v>1</v>
      </c>
      <c r="L819" s="71">
        <f>STOCK[[#This Row],[Entradas]]-STOCK[[#This Row],[Salidas]]</f>
        <v>0</v>
      </c>
      <c r="M819" s="54">
        <f>STOCK[[#This Row],[Precio Final]]*10%</f>
        <v>3</v>
      </c>
      <c r="N819" s="54">
        <v>0</v>
      </c>
      <c r="O819" s="54">
        <v>0</v>
      </c>
      <c r="P819" s="54">
        <v>12.83</v>
      </c>
      <c r="Q819" s="71">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53" t="s">
        <v>1632</v>
      </c>
      <c r="F820" s="53" t="s">
        <v>62</v>
      </c>
      <c r="G820" s="53" t="s">
        <v>36</v>
      </c>
      <c r="H820" s="53">
        <f>STOCK[[#This Row],[Precio Final]]</f>
        <v>30</v>
      </c>
      <c r="I820" s="53">
        <f>STOCK[[#This Row],[Precio Venta Ideal (x1.5)]]</f>
        <v>25.995</v>
      </c>
      <c r="J820" s="70">
        <v>1</v>
      </c>
      <c r="K820" s="70">
        <f>SUMIFS(VENTAS[Cantidad],VENTAS[Código del producto Vendido],STOCK[[#This Row],[Code]])</f>
        <v>1</v>
      </c>
      <c r="L820" s="70">
        <f>STOCK[[#This Row],[Entradas]]-STOCK[[#This Row],[Salidas]]</f>
        <v>0</v>
      </c>
      <c r="M820" s="53">
        <f>STOCK[[#This Row],[Precio Final]]*10%</f>
        <v>3</v>
      </c>
      <c r="N820" s="53">
        <v>0</v>
      </c>
      <c r="O820" s="53">
        <v>0</v>
      </c>
      <c r="P820" s="53">
        <v>12.83</v>
      </c>
      <c r="Q820" s="70">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54" t="s">
        <v>1634</v>
      </c>
      <c r="F821" s="54" t="s">
        <v>40</v>
      </c>
      <c r="G821" s="54" t="s">
        <v>36</v>
      </c>
      <c r="H821" s="54">
        <f>STOCK[[#This Row],[Precio Final]]</f>
        <v>25</v>
      </c>
      <c r="I821" s="54">
        <f>STOCK[[#This Row],[Precio Venta Ideal (x1.5)]]</f>
        <v>20.4</v>
      </c>
      <c r="J821" s="71">
        <v>1</v>
      </c>
      <c r="K821" s="71">
        <f>SUMIFS(VENTAS[Cantidad],VENTAS[Código del producto Vendido],STOCK[[#This Row],[Code]])</f>
        <v>1</v>
      </c>
      <c r="L821" s="71">
        <f>STOCK[[#This Row],[Entradas]]-STOCK[[#This Row],[Salidas]]</f>
        <v>0</v>
      </c>
      <c r="M821" s="54">
        <f>STOCK[[#This Row],[Precio Final]]*10%</f>
        <v>2.5</v>
      </c>
      <c r="N821" s="54">
        <v>0</v>
      </c>
      <c r="O821" s="54">
        <v>0</v>
      </c>
      <c r="P821" s="54">
        <v>9.6</v>
      </c>
      <c r="Q821" s="71">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53" t="s">
        <v>1636</v>
      </c>
      <c r="F822" s="53" t="s">
        <v>205</v>
      </c>
      <c r="G822" s="53" t="s">
        <v>36</v>
      </c>
      <c r="H822" s="53">
        <f>STOCK[[#This Row],[Precio Final]]</f>
        <v>25</v>
      </c>
      <c r="I822" s="53">
        <f>STOCK[[#This Row],[Precio Venta Ideal (x1.5)]]</f>
        <v>20.4</v>
      </c>
      <c r="J822" s="70">
        <v>2</v>
      </c>
      <c r="K822" s="70">
        <f>SUMIFS(VENTAS[Cantidad],VENTAS[Código del producto Vendido],STOCK[[#This Row],[Code]])</f>
        <v>2</v>
      </c>
      <c r="L822" s="70">
        <f>STOCK[[#This Row],[Entradas]]-STOCK[[#This Row],[Salidas]]</f>
        <v>0</v>
      </c>
      <c r="M822" s="53">
        <f>STOCK[[#This Row],[Precio Final]]*10%</f>
        <v>2.5</v>
      </c>
      <c r="N822" s="53">
        <v>0</v>
      </c>
      <c r="O822" s="53">
        <v>0</v>
      </c>
      <c r="P822" s="53">
        <v>9.6</v>
      </c>
      <c r="Q822" s="70">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54" t="s">
        <v>1634</v>
      </c>
      <c r="F823" s="54" t="s">
        <v>211</v>
      </c>
      <c r="G823" s="54" t="s">
        <v>36</v>
      </c>
      <c r="H823" s="54">
        <f>STOCK[[#This Row],[Precio Final]]</f>
        <v>25</v>
      </c>
      <c r="I823" s="54">
        <f>STOCK[[#This Row],[Precio Venta Ideal (x1.5)]]</f>
        <v>20.4</v>
      </c>
      <c r="J823" s="71">
        <v>1</v>
      </c>
      <c r="K823" s="71">
        <f>SUMIFS(VENTAS[Cantidad],VENTAS[Código del producto Vendido],STOCK[[#This Row],[Code]])</f>
        <v>1</v>
      </c>
      <c r="L823" s="71">
        <f>STOCK[[#This Row],[Entradas]]-STOCK[[#This Row],[Salidas]]</f>
        <v>0</v>
      </c>
      <c r="M823" s="54">
        <f>STOCK[[#This Row],[Precio Final]]*10%</f>
        <v>2.5</v>
      </c>
      <c r="N823" s="54">
        <v>0</v>
      </c>
      <c r="O823" s="54">
        <v>0</v>
      </c>
      <c r="P823" s="54">
        <v>9.6</v>
      </c>
      <c r="Q823" s="71">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53" t="s">
        <v>1639</v>
      </c>
      <c r="F824" s="53" t="s">
        <v>88</v>
      </c>
      <c r="G824" s="53" t="s">
        <v>36</v>
      </c>
      <c r="H824" s="53">
        <f>STOCK[[#This Row],[Precio Final]]</f>
        <v>30</v>
      </c>
      <c r="I824" s="53">
        <f>STOCK[[#This Row],[Precio Venta Ideal (x1.5)]]</f>
        <v>21.15</v>
      </c>
      <c r="J824" s="70">
        <v>1</v>
      </c>
      <c r="K824" s="70">
        <f>SUMIFS(VENTAS[Cantidad],VENTAS[Código del producto Vendido],STOCK[[#This Row],[Code]])</f>
        <v>1</v>
      </c>
      <c r="L824" s="70">
        <f>STOCK[[#This Row],[Entradas]]-STOCK[[#This Row],[Salidas]]</f>
        <v>0</v>
      </c>
      <c r="M824" s="53">
        <f>STOCK[[#This Row],[Precio Final]]*10%</f>
        <v>3</v>
      </c>
      <c r="N824" s="53">
        <v>0</v>
      </c>
      <c r="O824" s="53">
        <v>0</v>
      </c>
      <c r="P824" s="53">
        <v>9.6</v>
      </c>
      <c r="Q824" s="70">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54" t="s">
        <v>1641</v>
      </c>
      <c r="F825" s="54" t="s">
        <v>46</v>
      </c>
      <c r="G825" s="54" t="s">
        <v>36</v>
      </c>
      <c r="H825" s="54">
        <f>STOCK[[#This Row],[Precio Final]]</f>
        <v>12</v>
      </c>
      <c r="I825" s="54">
        <f>STOCK[[#This Row],[Precio Venta Ideal (x1.5)]]</f>
        <v>10.35</v>
      </c>
      <c r="J825" s="71">
        <v>1</v>
      </c>
      <c r="K825" s="71">
        <f>SUMIFS(VENTAS[Cantidad],VENTAS[Código del producto Vendido],STOCK[[#This Row],[Code]])</f>
        <v>1</v>
      </c>
      <c r="L825" s="71">
        <f>STOCK[[#This Row],[Entradas]]-STOCK[[#This Row],[Salidas]]</f>
        <v>0</v>
      </c>
      <c r="M825" s="54">
        <f>STOCK[[#This Row],[Precio Final]]*10%</f>
        <v>1.2</v>
      </c>
      <c r="N825" s="54">
        <v>0</v>
      </c>
      <c r="O825" s="54">
        <v>0</v>
      </c>
      <c r="P825" s="54">
        <v>4.2</v>
      </c>
      <c r="Q825" s="71">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53" t="s">
        <v>1641</v>
      </c>
      <c r="F826" s="53" t="s">
        <v>62</v>
      </c>
      <c r="G826" s="53" t="s">
        <v>36</v>
      </c>
      <c r="H826" s="53">
        <f>STOCK[[#This Row],[Precio Final]]</f>
        <v>12</v>
      </c>
      <c r="I826" s="53">
        <f>STOCK[[#This Row],[Precio Venta Ideal (x1.5)]]</f>
        <v>10.35</v>
      </c>
      <c r="J826" s="70">
        <v>1</v>
      </c>
      <c r="K826" s="70">
        <f>SUMIFS(VENTAS[Cantidad],VENTAS[Código del producto Vendido],STOCK[[#This Row],[Code]])</f>
        <v>1</v>
      </c>
      <c r="L826" s="70">
        <f>STOCK[[#This Row],[Entradas]]-STOCK[[#This Row],[Salidas]]</f>
        <v>0</v>
      </c>
      <c r="M826" s="53">
        <f>STOCK[[#This Row],[Precio Final]]*10%</f>
        <v>1.2</v>
      </c>
      <c r="N826" s="53">
        <v>0</v>
      </c>
      <c r="O826" s="53">
        <v>0</v>
      </c>
      <c r="P826" s="53">
        <v>4.2</v>
      </c>
      <c r="Q826" s="70">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54" t="s">
        <v>1644</v>
      </c>
      <c r="F827" s="54" t="s">
        <v>46</v>
      </c>
      <c r="G827" s="54" t="s">
        <v>36</v>
      </c>
      <c r="H827" s="54">
        <f>STOCK[[#This Row],[Precio Final]]</f>
        <v>20</v>
      </c>
      <c r="I827" s="54">
        <f>STOCK[[#This Row],[Precio Venta Ideal (x1.5)]]</f>
        <v>15.99</v>
      </c>
      <c r="J827" s="71">
        <v>1</v>
      </c>
      <c r="K827" s="71">
        <f>SUMIFS(VENTAS[Cantidad],VENTAS[Código del producto Vendido],STOCK[[#This Row],[Code]])</f>
        <v>1</v>
      </c>
      <c r="L827" s="71">
        <f>STOCK[[#This Row],[Entradas]]-STOCK[[#This Row],[Salidas]]</f>
        <v>0</v>
      </c>
      <c r="M827" s="54">
        <f>STOCK[[#This Row],[Precio Final]]*10%</f>
        <v>2</v>
      </c>
      <c r="N827" s="54">
        <v>0</v>
      </c>
      <c r="O827" s="54">
        <v>0</v>
      </c>
      <c r="P827" s="54">
        <v>7.16</v>
      </c>
      <c r="Q827" s="71">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53" t="s">
        <v>1646</v>
      </c>
      <c r="F828" s="53" t="s">
        <v>62</v>
      </c>
      <c r="G828" s="53" t="s">
        <v>36</v>
      </c>
      <c r="H828" s="53">
        <f>STOCK[[#This Row],[Precio Final]]</f>
        <v>20</v>
      </c>
      <c r="I828" s="53">
        <f>STOCK[[#This Row],[Precio Venta Ideal (x1.5)]]</f>
        <v>15.99</v>
      </c>
      <c r="J828" s="70">
        <v>1</v>
      </c>
      <c r="K828" s="70">
        <f>SUMIFS(VENTAS[Cantidad],VENTAS[Código del producto Vendido],STOCK[[#This Row],[Code]])</f>
        <v>0</v>
      </c>
      <c r="L828" s="70">
        <f>STOCK[[#This Row],[Entradas]]-STOCK[[#This Row],[Salidas]]</f>
        <v>1</v>
      </c>
      <c r="M828" s="53">
        <f>STOCK[[#This Row],[Precio Final]]*10%</f>
        <v>2</v>
      </c>
      <c r="N828" s="53">
        <v>0</v>
      </c>
      <c r="O828" s="53">
        <v>0</v>
      </c>
      <c r="P828" s="53">
        <v>7.16</v>
      </c>
      <c r="Q828" s="70">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54" t="s">
        <v>1648</v>
      </c>
      <c r="F829" s="54" t="s">
        <v>211</v>
      </c>
      <c r="G829" s="54" t="s">
        <v>36</v>
      </c>
      <c r="H829" s="54">
        <f>STOCK[[#This Row],[Precio Final]]</f>
        <v>30</v>
      </c>
      <c r="I829" s="54">
        <f>STOCK[[#This Row],[Precio Venta Ideal (x1.5)]]</f>
        <v>31.305</v>
      </c>
      <c r="J829" s="71">
        <v>1</v>
      </c>
      <c r="K829" s="71">
        <f>SUMIFS(VENTAS[Cantidad],VENTAS[Código del producto Vendido],STOCK[[#This Row],[Code]])</f>
        <v>1</v>
      </c>
      <c r="L829" s="71">
        <f>STOCK[[#This Row],[Entradas]]-STOCK[[#This Row],[Salidas]]</f>
        <v>0</v>
      </c>
      <c r="M829" s="54">
        <f>STOCK[[#This Row],[Precio Final]]*10%</f>
        <v>3</v>
      </c>
      <c r="N829" s="54">
        <v>0</v>
      </c>
      <c r="O829" s="54">
        <v>0</v>
      </c>
      <c r="P829" s="54">
        <v>16.37</v>
      </c>
      <c r="Q829" s="71">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53" t="s">
        <v>1648</v>
      </c>
      <c r="F830" s="53" t="s">
        <v>62</v>
      </c>
      <c r="G830" s="53" t="s">
        <v>36</v>
      </c>
      <c r="H830" s="53">
        <f>STOCK[[#This Row],[Precio Final]]</f>
        <v>30</v>
      </c>
      <c r="I830" s="53">
        <f>STOCK[[#This Row],[Precio Venta Ideal (x1.5)]]</f>
        <v>31.305</v>
      </c>
      <c r="J830" s="70">
        <v>1</v>
      </c>
      <c r="K830" s="70">
        <f>SUMIFS(VENTAS[Cantidad],VENTAS[Código del producto Vendido],STOCK[[#This Row],[Code]])</f>
        <v>1</v>
      </c>
      <c r="L830" s="70">
        <f>STOCK[[#This Row],[Entradas]]-STOCK[[#This Row],[Salidas]]</f>
        <v>0</v>
      </c>
      <c r="M830" s="53">
        <f>STOCK[[#This Row],[Precio Final]]*10%</f>
        <v>3</v>
      </c>
      <c r="N830" s="53">
        <v>0</v>
      </c>
      <c r="O830" s="53">
        <v>0</v>
      </c>
      <c r="P830" s="53">
        <v>16.37</v>
      </c>
      <c r="Q830" s="70">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54" t="s">
        <v>1651</v>
      </c>
      <c r="F831" s="54" t="s">
        <v>1468</v>
      </c>
      <c r="G831" s="54" t="s">
        <v>1601</v>
      </c>
      <c r="H831" s="54">
        <f>STOCK[[#This Row],[Precio Final]]</f>
        <v>25</v>
      </c>
      <c r="I831" s="54">
        <f>STOCK[[#This Row],[Precio Venta Ideal (x1.5)]]</f>
        <v>21.09</v>
      </c>
      <c r="J831" s="71">
        <v>1</v>
      </c>
      <c r="K831" s="71">
        <f>SUMIFS(VENTAS[Cantidad],VENTAS[Código del producto Vendido],STOCK[[#This Row],[Code]])</f>
        <v>1</v>
      </c>
      <c r="L831" s="71">
        <f>STOCK[[#This Row],[Entradas]]-STOCK[[#This Row],[Salidas]]</f>
        <v>0</v>
      </c>
      <c r="M831" s="54">
        <f>STOCK[[#This Row],[Precio Final]]*10%</f>
        <v>2.5</v>
      </c>
      <c r="N831" s="54">
        <v>0</v>
      </c>
      <c r="O831" s="54">
        <v>0</v>
      </c>
      <c r="P831" s="54">
        <v>10.06</v>
      </c>
      <c r="Q831" s="71">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53" t="s">
        <v>1653</v>
      </c>
      <c r="F832" s="53" t="s">
        <v>88</v>
      </c>
      <c r="G832" s="53" t="s">
        <v>1601</v>
      </c>
      <c r="H832" s="53">
        <f>STOCK[[#This Row],[Precio Final]]</f>
        <v>20</v>
      </c>
      <c r="I832" s="53">
        <f>STOCK[[#This Row],[Precio Venta Ideal (x1.5)]]</f>
        <v>20.34</v>
      </c>
      <c r="J832" s="70">
        <v>1</v>
      </c>
      <c r="K832" s="70">
        <f>SUMIFS(VENTAS[Cantidad],VENTAS[Código del producto Vendido],STOCK[[#This Row],[Code]])</f>
        <v>1</v>
      </c>
      <c r="L832" s="70">
        <f>STOCK[[#This Row],[Entradas]]-STOCK[[#This Row],[Salidas]]</f>
        <v>0</v>
      </c>
      <c r="M832" s="53">
        <f>STOCK[[#This Row],[Precio Final]]*10%</f>
        <v>2</v>
      </c>
      <c r="N832" s="53">
        <v>0</v>
      </c>
      <c r="O832" s="53">
        <v>0</v>
      </c>
      <c r="P832" s="53">
        <v>10.06</v>
      </c>
      <c r="Q832" s="70">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54" t="s">
        <v>1655</v>
      </c>
      <c r="F833" s="54" t="s">
        <v>62</v>
      </c>
      <c r="G833" s="54" t="s">
        <v>1601</v>
      </c>
      <c r="H833" s="54">
        <f>STOCK[[#This Row],[Precio Final]]</f>
        <v>28</v>
      </c>
      <c r="I833" s="54">
        <f>STOCK[[#This Row],[Precio Venta Ideal (x1.5)]]</f>
        <v>26.775</v>
      </c>
      <c r="J833" s="71">
        <v>1</v>
      </c>
      <c r="K833" s="71">
        <f>SUMIFS(VENTAS[Cantidad],VENTAS[Código del producto Vendido],STOCK[[#This Row],[Code]])</f>
        <v>1</v>
      </c>
      <c r="L833" s="71">
        <f>STOCK[[#This Row],[Entradas]]-STOCK[[#This Row],[Salidas]]</f>
        <v>0</v>
      </c>
      <c r="M833" s="54">
        <f>STOCK[[#This Row],[Precio Final]]*10%</f>
        <v>2.8</v>
      </c>
      <c r="N833" s="54">
        <v>0</v>
      </c>
      <c r="O833" s="54">
        <v>0</v>
      </c>
      <c r="P833" s="54">
        <v>13.55</v>
      </c>
      <c r="Q833" s="71">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53" t="s">
        <v>1657</v>
      </c>
      <c r="F834" s="53" t="s">
        <v>211</v>
      </c>
      <c r="G834" s="53" t="s">
        <v>1601</v>
      </c>
      <c r="H834" s="53">
        <f>STOCK[[#This Row],[Precio Final]]</f>
        <v>28</v>
      </c>
      <c r="I834" s="53">
        <f>STOCK[[#This Row],[Precio Venta Ideal (x1.5)]]</f>
        <v>26.775</v>
      </c>
      <c r="J834" s="70">
        <v>1</v>
      </c>
      <c r="K834" s="70">
        <f>SUMIFS(VENTAS[Cantidad],VENTAS[Código del producto Vendido],STOCK[[#This Row],[Code]])</f>
        <v>1</v>
      </c>
      <c r="L834" s="70">
        <f>STOCK[[#This Row],[Entradas]]-STOCK[[#This Row],[Salidas]]</f>
        <v>0</v>
      </c>
      <c r="M834" s="53">
        <f>STOCK[[#This Row],[Precio Final]]*10%</f>
        <v>2.8</v>
      </c>
      <c r="N834" s="53">
        <v>0</v>
      </c>
      <c r="O834" s="53">
        <v>0</v>
      </c>
      <c r="P834" s="53">
        <v>13.55</v>
      </c>
      <c r="Q834" s="70">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54" t="s">
        <v>1659</v>
      </c>
      <c r="F835" s="54" t="s">
        <v>40</v>
      </c>
      <c r="G835" s="54" t="s">
        <v>1601</v>
      </c>
      <c r="H835" s="54">
        <f>STOCK[[#This Row],[Precio Final]]</f>
        <v>15</v>
      </c>
      <c r="I835" s="54">
        <f>STOCK[[#This Row],[Precio Venta Ideal (x1.5)]]</f>
        <v>10.92</v>
      </c>
      <c r="J835" s="71">
        <v>1</v>
      </c>
      <c r="K835" s="71">
        <f>SUMIFS(VENTAS[Cantidad],VENTAS[Código del producto Vendido],STOCK[[#This Row],[Code]])</f>
        <v>1</v>
      </c>
      <c r="L835" s="71">
        <f>STOCK[[#This Row],[Entradas]]-STOCK[[#This Row],[Salidas]]</f>
        <v>0</v>
      </c>
      <c r="M835" s="54">
        <f>STOCK[[#This Row],[Precio Final]]*10%</f>
        <v>1.5</v>
      </c>
      <c r="N835" s="54">
        <v>0</v>
      </c>
      <c r="O835" s="54">
        <v>0</v>
      </c>
      <c r="P835" s="54">
        <v>4.28</v>
      </c>
      <c r="Q835" s="71">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53" t="s">
        <v>1659</v>
      </c>
      <c r="F836" s="53" t="s">
        <v>49</v>
      </c>
      <c r="G836" s="53" t="s">
        <v>1601</v>
      </c>
      <c r="H836" s="53">
        <f>STOCK[[#This Row],[Precio Final]]</f>
        <v>15</v>
      </c>
      <c r="I836" s="53">
        <f>STOCK[[#This Row],[Precio Venta Ideal (x1.5)]]</f>
        <v>10.92</v>
      </c>
      <c r="J836" s="70">
        <v>1</v>
      </c>
      <c r="K836" s="70">
        <f>SUMIFS(VENTAS[Cantidad],VENTAS[Código del producto Vendido],STOCK[[#This Row],[Code]])</f>
        <v>1</v>
      </c>
      <c r="L836" s="70">
        <f>STOCK[[#This Row],[Entradas]]-STOCK[[#This Row],[Salidas]]</f>
        <v>0</v>
      </c>
      <c r="M836" s="53">
        <f>STOCK[[#This Row],[Precio Final]]*10%</f>
        <v>1.5</v>
      </c>
      <c r="N836" s="53">
        <v>0</v>
      </c>
      <c r="O836" s="53">
        <v>0</v>
      </c>
      <c r="P836" s="53">
        <v>4.28</v>
      </c>
      <c r="Q836" s="70">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54" t="s">
        <v>1659</v>
      </c>
      <c r="F837" s="54" t="s">
        <v>62</v>
      </c>
      <c r="G837" s="54" t="s">
        <v>1601</v>
      </c>
      <c r="H837" s="54">
        <f>STOCK[[#This Row],[Precio Final]]</f>
        <v>15</v>
      </c>
      <c r="I837" s="54">
        <f>STOCK[[#This Row],[Precio Venta Ideal (x1.5)]]</f>
        <v>10.92</v>
      </c>
      <c r="J837" s="71">
        <v>1</v>
      </c>
      <c r="K837" s="71">
        <f>SUMIFS(VENTAS[Cantidad],VENTAS[Código del producto Vendido],STOCK[[#This Row],[Code]])</f>
        <v>1</v>
      </c>
      <c r="L837" s="71">
        <f>STOCK[[#This Row],[Entradas]]-STOCK[[#This Row],[Salidas]]</f>
        <v>0</v>
      </c>
      <c r="M837" s="54">
        <f>STOCK[[#This Row],[Precio Final]]*10%</f>
        <v>1.5</v>
      </c>
      <c r="N837" s="54">
        <v>0</v>
      </c>
      <c r="O837" s="54">
        <v>0</v>
      </c>
      <c r="P837" s="54">
        <v>4.28</v>
      </c>
      <c r="Q837" s="71">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53" t="s">
        <v>1663</v>
      </c>
      <c r="F838" s="53" t="s">
        <v>62</v>
      </c>
      <c r="G838" s="53" t="s">
        <v>1601</v>
      </c>
      <c r="H838" s="53">
        <f>STOCK[[#This Row],[Precio Final]]</f>
        <v>12</v>
      </c>
      <c r="I838" s="53">
        <f>STOCK[[#This Row],[Precio Venta Ideal (x1.5)]]</f>
        <v>11.355</v>
      </c>
      <c r="J838" s="70">
        <v>1</v>
      </c>
      <c r="K838" s="70">
        <f>SUMIFS(VENTAS[Cantidad],VENTAS[Código del producto Vendido],STOCK[[#This Row],[Code]])</f>
        <v>1</v>
      </c>
      <c r="L838" s="70">
        <f>STOCK[[#This Row],[Entradas]]-STOCK[[#This Row],[Salidas]]</f>
        <v>0</v>
      </c>
      <c r="M838" s="53">
        <f>STOCK[[#This Row],[Precio Final]]*10%</f>
        <v>1.2</v>
      </c>
      <c r="N838" s="53">
        <v>0</v>
      </c>
      <c r="O838" s="53">
        <v>0</v>
      </c>
      <c r="P838" s="53">
        <v>4.87</v>
      </c>
      <c r="Q838" s="70">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54" t="s">
        <v>1665</v>
      </c>
      <c r="F839" s="54" t="s">
        <v>49</v>
      </c>
      <c r="G839" s="54" t="s">
        <v>1601</v>
      </c>
      <c r="H839" s="54">
        <f>STOCK[[#This Row],[Precio Final]]</f>
        <v>12</v>
      </c>
      <c r="I839" s="54">
        <f>STOCK[[#This Row],[Precio Venta Ideal (x1.5)]]</f>
        <v>11.355</v>
      </c>
      <c r="J839" s="71">
        <v>1</v>
      </c>
      <c r="K839" s="71">
        <f>SUMIFS(VENTAS[Cantidad],VENTAS[Código del producto Vendido],STOCK[[#This Row],[Code]])</f>
        <v>1</v>
      </c>
      <c r="L839" s="71">
        <f>STOCK[[#This Row],[Entradas]]-STOCK[[#This Row],[Salidas]]</f>
        <v>0</v>
      </c>
      <c r="M839" s="54">
        <f>STOCK[[#This Row],[Precio Final]]*10%</f>
        <v>1.2</v>
      </c>
      <c r="N839" s="54">
        <v>0</v>
      </c>
      <c r="O839" s="54">
        <v>0</v>
      </c>
      <c r="P839" s="54">
        <v>4.87</v>
      </c>
      <c r="Q839" s="71">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53" t="s">
        <v>1667</v>
      </c>
      <c r="F840" s="53" t="s">
        <v>49</v>
      </c>
      <c r="G840" s="53" t="s">
        <v>1601</v>
      </c>
      <c r="H840" s="53">
        <f>STOCK[[#This Row],[Precio Final]]</f>
        <v>28</v>
      </c>
      <c r="I840" s="53">
        <f>STOCK[[#This Row],[Precio Venta Ideal (x1.5)]]</f>
        <v>32.25</v>
      </c>
      <c r="J840" s="70">
        <v>1</v>
      </c>
      <c r="K840" s="70">
        <f>SUMIFS(VENTAS[Cantidad],VENTAS[Código del producto Vendido],STOCK[[#This Row],[Code]])</f>
        <v>1</v>
      </c>
      <c r="L840" s="70">
        <f>STOCK[[#This Row],[Entradas]]-STOCK[[#This Row],[Salidas]]</f>
        <v>0</v>
      </c>
      <c r="M840" s="53">
        <f>STOCK[[#This Row],[Precio Final]]*10%</f>
        <v>2.8</v>
      </c>
      <c r="N840" s="53">
        <v>0</v>
      </c>
      <c r="O840" s="53">
        <v>0</v>
      </c>
      <c r="P840" s="53">
        <v>17.2</v>
      </c>
      <c r="Q840" s="70">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54" t="s">
        <v>1669</v>
      </c>
      <c r="F841" s="54" t="s">
        <v>42</v>
      </c>
      <c r="G841" s="54" t="s">
        <v>1601</v>
      </c>
      <c r="H841" s="54">
        <f>STOCK[[#This Row],[Precio Final]]</f>
        <v>23</v>
      </c>
      <c r="I841" s="54">
        <f>STOCK[[#This Row],[Precio Venta Ideal (x1.5)]]</f>
        <v>25.425</v>
      </c>
      <c r="J841" s="71">
        <v>1</v>
      </c>
      <c r="K841" s="71">
        <f>SUMIFS(VENTAS[Cantidad],VENTAS[Código del producto Vendido],STOCK[[#This Row],[Code]])</f>
        <v>1</v>
      </c>
      <c r="L841" s="71">
        <f>STOCK[[#This Row],[Entradas]]-STOCK[[#This Row],[Salidas]]</f>
        <v>0</v>
      </c>
      <c r="M841" s="54">
        <f>STOCK[[#This Row],[Precio Final]]*10%</f>
        <v>2.3</v>
      </c>
      <c r="N841" s="54">
        <v>0</v>
      </c>
      <c r="O841" s="54">
        <v>0</v>
      </c>
      <c r="P841" s="54">
        <v>13.15</v>
      </c>
      <c r="Q841" s="71">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53" t="s">
        <v>1671</v>
      </c>
      <c r="F842" s="53" t="s">
        <v>40</v>
      </c>
      <c r="G842" s="53" t="s">
        <v>1601</v>
      </c>
      <c r="H842" s="53">
        <f>STOCK[[#This Row],[Precio Final]]</f>
        <v>25</v>
      </c>
      <c r="I842" s="53">
        <f>STOCK[[#This Row],[Precio Venta Ideal (x1.5)]]</f>
        <v>24.705</v>
      </c>
      <c r="J842" s="70">
        <v>1</v>
      </c>
      <c r="K842" s="70">
        <f>SUMIFS(VENTAS[Cantidad],VENTAS[Código del producto Vendido],STOCK[[#This Row],[Code]])</f>
        <v>1</v>
      </c>
      <c r="L842" s="70">
        <f>STOCK[[#This Row],[Entradas]]-STOCK[[#This Row],[Salidas]]</f>
        <v>0</v>
      </c>
      <c r="M842" s="53">
        <f>STOCK[[#This Row],[Precio Final]]*10%</f>
        <v>2.5</v>
      </c>
      <c r="N842" s="53">
        <v>0</v>
      </c>
      <c r="O842" s="53">
        <v>0</v>
      </c>
      <c r="P842" s="53">
        <v>12.47</v>
      </c>
      <c r="Q842" s="70">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54" t="s">
        <v>1671</v>
      </c>
      <c r="F843" s="54" t="s">
        <v>49</v>
      </c>
      <c r="G843" s="54" t="s">
        <v>1601</v>
      </c>
      <c r="H843" s="54">
        <f>STOCK[[#This Row],[Precio Final]]</f>
        <v>28</v>
      </c>
      <c r="I843" s="54">
        <f>STOCK[[#This Row],[Precio Venta Ideal (x1.5)]]</f>
        <v>25.155</v>
      </c>
      <c r="J843" s="71">
        <v>2</v>
      </c>
      <c r="K843" s="71">
        <f>SUMIFS(VENTAS[Cantidad],VENTAS[Código del producto Vendido],STOCK[[#This Row],[Code]])</f>
        <v>2</v>
      </c>
      <c r="L843" s="71">
        <f>STOCK[[#This Row],[Entradas]]-STOCK[[#This Row],[Salidas]]</f>
        <v>0</v>
      </c>
      <c r="M843" s="54">
        <f>STOCK[[#This Row],[Precio Final]]*10%</f>
        <v>2.8</v>
      </c>
      <c r="N843" s="54">
        <v>0</v>
      </c>
      <c r="O843" s="54">
        <v>0</v>
      </c>
      <c r="P843" s="54">
        <v>12.47</v>
      </c>
      <c r="Q843" s="71">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53" t="s">
        <v>1674</v>
      </c>
      <c r="F844" s="53" t="s">
        <v>187</v>
      </c>
      <c r="G844" s="53" t="s">
        <v>1601</v>
      </c>
      <c r="H844" s="53">
        <f>STOCK[[#This Row],[Precio Final]]</f>
        <v>28</v>
      </c>
      <c r="I844" s="53">
        <f>STOCK[[#This Row],[Precio Venta Ideal (x1.5)]]</f>
        <v>29.25</v>
      </c>
      <c r="J844" s="70">
        <v>1</v>
      </c>
      <c r="K844" s="70">
        <f>SUMIFS(VENTAS[Cantidad],VENTAS[Código del producto Vendido],STOCK[[#This Row],[Code]])</f>
        <v>1</v>
      </c>
      <c r="L844" s="70">
        <f>STOCK[[#This Row],[Entradas]]-STOCK[[#This Row],[Salidas]]</f>
        <v>0</v>
      </c>
      <c r="M844" s="53">
        <f>STOCK[[#This Row],[Precio Final]]*10%</f>
        <v>2.8</v>
      </c>
      <c r="N844" s="53">
        <v>0</v>
      </c>
      <c r="O844" s="53">
        <v>0</v>
      </c>
      <c r="P844" s="53">
        <v>15.2</v>
      </c>
      <c r="Q844" s="70">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54" t="s">
        <v>1676</v>
      </c>
      <c r="F845" s="54" t="s">
        <v>49</v>
      </c>
      <c r="G845" s="54" t="s">
        <v>1601</v>
      </c>
      <c r="H845" s="54">
        <f>STOCK[[#This Row],[Precio Final]]</f>
        <v>28</v>
      </c>
      <c r="I845" s="54">
        <f>STOCK[[#This Row],[Precio Venta Ideal (x1.5)]]</f>
        <v>29.25</v>
      </c>
      <c r="J845" s="71">
        <v>1</v>
      </c>
      <c r="K845" s="71">
        <f>SUMIFS(VENTAS[Cantidad],VENTAS[Código del producto Vendido],STOCK[[#This Row],[Code]])</f>
        <v>1</v>
      </c>
      <c r="L845" s="71">
        <f>STOCK[[#This Row],[Entradas]]-STOCK[[#This Row],[Salidas]]</f>
        <v>0</v>
      </c>
      <c r="M845" s="54">
        <f>STOCK[[#This Row],[Precio Final]]*10%</f>
        <v>2.8</v>
      </c>
      <c r="N845" s="54">
        <v>0</v>
      </c>
      <c r="O845" s="54">
        <v>0</v>
      </c>
      <c r="P845" s="54">
        <v>15.2</v>
      </c>
      <c r="Q845" s="71">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53" t="s">
        <v>1483</v>
      </c>
      <c r="F846" s="53" t="s">
        <v>1678</v>
      </c>
      <c r="G846" s="53" t="s">
        <v>1601</v>
      </c>
      <c r="H846" s="53">
        <f>STOCK[[#This Row],[Precio Final]]</f>
        <v>45</v>
      </c>
      <c r="I846" s="53">
        <f>STOCK[[#This Row],[Precio Venta Ideal (x1.5)]]</f>
        <v>40.38</v>
      </c>
      <c r="J846" s="70">
        <v>2</v>
      </c>
      <c r="K846" s="70">
        <f>SUMIFS(VENTAS[Cantidad],VENTAS[Código del producto Vendido],STOCK[[#This Row],[Code]])</f>
        <v>2</v>
      </c>
      <c r="L846" s="70">
        <f>STOCK[[#This Row],[Entradas]]-STOCK[[#This Row],[Salidas]]</f>
        <v>0</v>
      </c>
      <c r="M846" s="53">
        <f>STOCK[[#This Row],[Precio Final]]*10%</f>
        <v>4.5</v>
      </c>
      <c r="N846" s="53">
        <v>0</v>
      </c>
      <c r="O846" s="53">
        <v>0</v>
      </c>
      <c r="P846" s="53">
        <v>20.92</v>
      </c>
      <c r="Q846" s="70">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54" t="s">
        <v>1483</v>
      </c>
      <c r="F847" s="54" t="s">
        <v>1680</v>
      </c>
      <c r="G847" s="54" t="s">
        <v>1601</v>
      </c>
      <c r="H847" s="54">
        <f>STOCK[[#This Row],[Precio Final]]</f>
        <v>45</v>
      </c>
      <c r="I847" s="54">
        <f>STOCK[[#This Row],[Precio Venta Ideal (x1.5)]]</f>
        <v>40.38</v>
      </c>
      <c r="J847" s="71">
        <v>2</v>
      </c>
      <c r="K847" s="71">
        <f>SUMIFS(VENTAS[Cantidad],VENTAS[Código del producto Vendido],STOCK[[#This Row],[Code]])</f>
        <v>2</v>
      </c>
      <c r="L847" s="71">
        <f>STOCK[[#This Row],[Entradas]]-STOCK[[#This Row],[Salidas]]</f>
        <v>0</v>
      </c>
      <c r="M847" s="54">
        <f>STOCK[[#This Row],[Precio Final]]*10%</f>
        <v>4.5</v>
      </c>
      <c r="N847" s="54">
        <v>0</v>
      </c>
      <c r="O847" s="54">
        <v>0</v>
      </c>
      <c r="P847" s="54">
        <v>20.92</v>
      </c>
      <c r="Q847" s="71">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53" t="s">
        <v>1682</v>
      </c>
      <c r="F848" s="53" t="s">
        <v>1683</v>
      </c>
      <c r="G848" s="53" t="s">
        <v>1601</v>
      </c>
      <c r="H848" s="53">
        <f>STOCK[[#This Row],[Precio Final]]</f>
        <v>20</v>
      </c>
      <c r="I848" s="53">
        <f>STOCK[[#This Row],[Precio Venta Ideal (x1.5)]]</f>
        <v>20.34</v>
      </c>
      <c r="J848" s="70">
        <v>1</v>
      </c>
      <c r="K848" s="70">
        <f>SUMIFS(VENTAS[Cantidad],VENTAS[Código del producto Vendido],STOCK[[#This Row],[Code]])</f>
        <v>1</v>
      </c>
      <c r="L848" s="70">
        <f>STOCK[[#This Row],[Entradas]]-STOCK[[#This Row],[Salidas]]</f>
        <v>0</v>
      </c>
      <c r="M848" s="53">
        <f>STOCK[[#This Row],[Precio Final]]*10%</f>
        <v>2</v>
      </c>
      <c r="N848" s="53">
        <v>0</v>
      </c>
      <c r="O848" s="53">
        <v>0</v>
      </c>
      <c r="P848" s="53">
        <v>10.06</v>
      </c>
      <c r="Q848" s="70">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54" t="s">
        <v>1685</v>
      </c>
      <c r="F849" s="54" t="s">
        <v>42</v>
      </c>
      <c r="G849" s="54" t="s">
        <v>1601</v>
      </c>
      <c r="H849" s="54">
        <f>STOCK[[#This Row],[Precio Final]]</f>
        <v>28</v>
      </c>
      <c r="I849" s="54">
        <f>STOCK[[#This Row],[Precio Venta Ideal (x1.5)]]</f>
        <v>30.075</v>
      </c>
      <c r="J849" s="71">
        <v>2</v>
      </c>
      <c r="K849" s="71">
        <f>SUMIFS(VENTAS[Cantidad],VENTAS[Código del producto Vendido],STOCK[[#This Row],[Code]])</f>
        <v>2</v>
      </c>
      <c r="L849" s="71">
        <f>STOCK[[#This Row],[Entradas]]-STOCK[[#This Row],[Salidas]]</f>
        <v>0</v>
      </c>
      <c r="M849" s="54">
        <f>STOCK[[#This Row],[Precio Final]]*10%</f>
        <v>2.8</v>
      </c>
      <c r="N849" s="54">
        <v>0</v>
      </c>
      <c r="O849" s="54">
        <v>0</v>
      </c>
      <c r="P849" s="54">
        <v>15.75</v>
      </c>
      <c r="Q849" s="71">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53" t="s">
        <v>1687</v>
      </c>
      <c r="F850" s="53" t="s">
        <v>62</v>
      </c>
      <c r="G850" s="53" t="s">
        <v>1601</v>
      </c>
      <c r="H850" s="53">
        <f>STOCK[[#This Row],[Precio Final]]</f>
        <v>30</v>
      </c>
      <c r="I850" s="53">
        <f>STOCK[[#This Row],[Precio Venta Ideal (x1.5)]]</f>
        <v>31.2</v>
      </c>
      <c r="J850" s="70">
        <v>1</v>
      </c>
      <c r="K850" s="70">
        <f>SUMIFS(VENTAS[Cantidad],VENTAS[Código del producto Vendido],STOCK[[#This Row],[Code]])</f>
        <v>1</v>
      </c>
      <c r="L850" s="70">
        <f>STOCK[[#This Row],[Entradas]]-STOCK[[#This Row],[Salidas]]</f>
        <v>0</v>
      </c>
      <c r="M850" s="53">
        <f>STOCK[[#This Row],[Precio Final]]*10%</f>
        <v>3</v>
      </c>
      <c r="N850" s="53">
        <v>0</v>
      </c>
      <c r="O850" s="53">
        <v>0</v>
      </c>
      <c r="P850" s="53">
        <v>16.3</v>
      </c>
      <c r="Q850" s="70">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54" t="s">
        <v>1690</v>
      </c>
      <c r="F851" s="54" t="s">
        <v>1691</v>
      </c>
      <c r="G851" s="54" t="s">
        <v>36</v>
      </c>
      <c r="H851" s="54">
        <f>STOCK[[#This Row],[Precio Final]]</f>
        <v>30</v>
      </c>
      <c r="I851" s="54">
        <f>STOCK[[#This Row],[Precio Venta Ideal (x1.5)]]</f>
        <v>31.2</v>
      </c>
      <c r="J851" s="71">
        <v>1</v>
      </c>
      <c r="K851" s="71">
        <f>SUMIFS(VENTAS[Cantidad],VENTAS[Código del producto Vendido],STOCK[[#This Row],[Code]])</f>
        <v>1</v>
      </c>
      <c r="L851" s="71">
        <f>STOCK[[#This Row],[Entradas]]-STOCK[[#This Row],[Salidas]]</f>
        <v>0</v>
      </c>
      <c r="M851" s="54">
        <f>STOCK[[#This Row],[Precio Final]]*10%</f>
        <v>3</v>
      </c>
      <c r="N851" s="54">
        <v>0</v>
      </c>
      <c r="O851" s="54">
        <v>0</v>
      </c>
      <c r="P851" s="54">
        <v>16.3</v>
      </c>
      <c r="Q851" s="71">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53" t="s">
        <v>1693</v>
      </c>
      <c r="F852" s="53" t="s">
        <v>40</v>
      </c>
      <c r="G852" s="53" t="s">
        <v>704</v>
      </c>
      <c r="H852" s="53">
        <f>STOCK[[#This Row],[Precio Final]]</f>
        <v>12</v>
      </c>
      <c r="I852" s="53">
        <f>STOCK[[#This Row],[Precio Venta Ideal (x1.5)]]</f>
        <v>15.3</v>
      </c>
      <c r="J852" s="70">
        <v>4</v>
      </c>
      <c r="K852" s="70">
        <f>SUMIFS(VENTAS[Cantidad],VENTAS[Código del producto Vendido],STOCK[[#This Row],[Code]])</f>
        <v>0</v>
      </c>
      <c r="L852" s="70">
        <f>STOCK[[#This Row],[Entradas]]-STOCK[[#This Row],[Salidas]]</f>
        <v>4</v>
      </c>
      <c r="M852" s="53">
        <f>STOCK[[#This Row],[Precio Final]]*10%</f>
        <v>1.2</v>
      </c>
      <c r="N852" s="53">
        <v>0</v>
      </c>
      <c r="O852" s="53">
        <v>0</v>
      </c>
      <c r="P852" s="53">
        <v>7.5</v>
      </c>
      <c r="Q852" s="70">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54" t="s">
        <v>1695</v>
      </c>
      <c r="F853" s="54" t="s">
        <v>62</v>
      </c>
      <c r="G853" s="54" t="s">
        <v>1296</v>
      </c>
      <c r="H853" s="54">
        <f>STOCK[[#This Row],[Precio Final]]</f>
        <v>36</v>
      </c>
      <c r="I853" s="54">
        <f>STOCK[[#This Row],[Precio Venta Ideal (x1.5)]]</f>
        <v>41.4</v>
      </c>
      <c r="J853" s="71">
        <v>2</v>
      </c>
      <c r="K853" s="71">
        <f>SUMIFS(VENTAS[Cantidad],VENTAS[Código del producto Vendido],STOCK[[#This Row],[Code]])</f>
        <v>1</v>
      </c>
      <c r="L853" s="71">
        <f>STOCK[[#This Row],[Entradas]]-STOCK[[#This Row],[Salidas]]</f>
        <v>1</v>
      </c>
      <c r="M853" s="54">
        <f>STOCK[[#This Row],[Precio Final]]*10%</f>
        <v>3.6</v>
      </c>
      <c r="N853" s="54">
        <v>0</v>
      </c>
      <c r="O853" s="54">
        <v>0</v>
      </c>
      <c r="P853" s="54">
        <v>20</v>
      </c>
      <c r="Q853" s="71">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53" t="s">
        <v>1697</v>
      </c>
      <c r="F854" s="53" t="s">
        <v>49</v>
      </c>
      <c r="G854" s="53" t="s">
        <v>1296</v>
      </c>
      <c r="H854" s="53">
        <f>STOCK[[#This Row],[Precio Final]]</f>
        <v>30</v>
      </c>
      <c r="I854" s="53">
        <f>STOCK[[#This Row],[Precio Venta Ideal (x1.5)]]</f>
        <v>35.25</v>
      </c>
      <c r="J854" s="70">
        <v>3</v>
      </c>
      <c r="K854" s="70">
        <f>SUMIFS(VENTAS[Cantidad],VENTAS[Código del producto Vendido],STOCK[[#This Row],[Code]])</f>
        <v>2</v>
      </c>
      <c r="L854" s="70">
        <f>STOCK[[#This Row],[Entradas]]-STOCK[[#This Row],[Salidas]]</f>
        <v>1</v>
      </c>
      <c r="M854" s="53">
        <f>STOCK[[#This Row],[Precio Final]]*10%</f>
        <v>3</v>
      </c>
      <c r="N854" s="53">
        <v>0</v>
      </c>
      <c r="O854" s="53">
        <v>0</v>
      </c>
      <c r="P854" s="53">
        <v>15.5</v>
      </c>
      <c r="Q854" s="70">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54" t="s">
        <v>1697</v>
      </c>
      <c r="F855" s="54" t="s">
        <v>62</v>
      </c>
      <c r="G855" s="54" t="s">
        <v>1296</v>
      </c>
      <c r="H855" s="54">
        <f>STOCK[[#This Row],[Precio Final]]</f>
        <v>30</v>
      </c>
      <c r="I855" s="54">
        <f>STOCK[[#This Row],[Precio Venta Ideal (x1.5)]]</f>
        <v>35.25</v>
      </c>
      <c r="J855" s="71">
        <v>1</v>
      </c>
      <c r="K855" s="71">
        <f>SUMIFS(VENTAS[Cantidad],VENTAS[Código del producto Vendido],STOCK[[#This Row],[Code]])</f>
        <v>1</v>
      </c>
      <c r="L855" s="71">
        <f>STOCK[[#This Row],[Entradas]]-STOCK[[#This Row],[Salidas]]</f>
        <v>0</v>
      </c>
      <c r="M855" s="54">
        <f>STOCK[[#This Row],[Precio Final]]*10%</f>
        <v>3</v>
      </c>
      <c r="N855" s="54">
        <v>0</v>
      </c>
      <c r="O855" s="54">
        <v>0</v>
      </c>
      <c r="P855" s="54">
        <v>15.5</v>
      </c>
      <c r="Q855" s="71">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53" t="s">
        <v>1700</v>
      </c>
      <c r="F856" s="53" t="s">
        <v>49</v>
      </c>
      <c r="G856" s="53" t="s">
        <v>1296</v>
      </c>
      <c r="H856" s="53">
        <f>STOCK[[#This Row],[Precio Final]]</f>
        <v>20</v>
      </c>
      <c r="I856" s="53">
        <f>STOCK[[#This Row],[Precio Venta Ideal (x1.5)]]</f>
        <v>19.5</v>
      </c>
      <c r="J856" s="70">
        <v>3</v>
      </c>
      <c r="K856" s="70">
        <f>SUMIFS(VENTAS[Cantidad],VENTAS[Código del producto Vendido],STOCK[[#This Row],[Code]])</f>
        <v>0</v>
      </c>
      <c r="L856" s="70">
        <f>STOCK[[#This Row],[Entradas]]-STOCK[[#This Row],[Salidas]]</f>
        <v>3</v>
      </c>
      <c r="M856" s="53">
        <f>STOCK[[#This Row],[Precio Final]]*10%</f>
        <v>2</v>
      </c>
      <c r="N856" s="53">
        <v>0</v>
      </c>
      <c r="O856" s="53">
        <v>0</v>
      </c>
      <c r="P856" s="53">
        <v>6</v>
      </c>
      <c r="Q856" s="70">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54" t="s">
        <v>1702</v>
      </c>
      <c r="F857" s="54" t="s">
        <v>62</v>
      </c>
      <c r="G857" s="54" t="s">
        <v>36</v>
      </c>
      <c r="H857" s="54">
        <f>STOCK[[#This Row],[Precio Final]]</f>
        <v>25</v>
      </c>
      <c r="I857" s="54">
        <f>STOCK[[#This Row],[Precio Venta Ideal (x1.5)]]</f>
        <v>20.85</v>
      </c>
      <c r="J857" s="71">
        <v>1</v>
      </c>
      <c r="K857" s="71">
        <f>SUMIFS(VENTAS[Cantidad],VENTAS[Código del producto Vendido],STOCK[[#This Row],[Code]])</f>
        <v>1</v>
      </c>
      <c r="L857" s="71">
        <f>STOCK[[#This Row],[Entradas]]-STOCK[[#This Row],[Salidas]]</f>
        <v>0</v>
      </c>
      <c r="M857" s="54">
        <f>STOCK[[#This Row],[Precio Final]]*10%</f>
        <v>2.5</v>
      </c>
      <c r="N857" s="54">
        <v>0</v>
      </c>
      <c r="O857" s="54">
        <v>0</v>
      </c>
      <c r="P857" s="54">
        <v>9.9</v>
      </c>
      <c r="Q857" s="71">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53" t="s">
        <v>1702</v>
      </c>
      <c r="F858" s="53" t="s">
        <v>49</v>
      </c>
      <c r="G858" s="53" t="s">
        <v>36</v>
      </c>
      <c r="H858" s="53">
        <f>STOCK[[#This Row],[Precio Final]]</f>
        <v>30</v>
      </c>
      <c r="I858" s="53">
        <f>STOCK[[#This Row],[Precio Venta Ideal (x1.5)]]</f>
        <v>21.6</v>
      </c>
      <c r="J858" s="70">
        <v>2</v>
      </c>
      <c r="K858" s="70">
        <f>SUMIFS(VENTAS[Cantidad],VENTAS[Código del producto Vendido],STOCK[[#This Row],[Code]])</f>
        <v>2</v>
      </c>
      <c r="L858" s="70">
        <f>STOCK[[#This Row],[Entradas]]-STOCK[[#This Row],[Salidas]]</f>
        <v>0</v>
      </c>
      <c r="M858" s="53">
        <f>STOCK[[#This Row],[Precio Final]]*10%</f>
        <v>3</v>
      </c>
      <c r="N858" s="53">
        <v>0</v>
      </c>
      <c r="O858" s="53">
        <v>0</v>
      </c>
      <c r="P858" s="53">
        <v>9.9</v>
      </c>
      <c r="Q858" s="70">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54" t="s">
        <v>1702</v>
      </c>
      <c r="F859" s="54" t="s">
        <v>46</v>
      </c>
      <c r="G859" s="54" t="s">
        <v>36</v>
      </c>
      <c r="H859" s="54">
        <f>STOCK[[#This Row],[Precio Final]]</f>
        <v>30</v>
      </c>
      <c r="I859" s="54">
        <f>STOCK[[#This Row],[Precio Venta Ideal (x1.5)]]</f>
        <v>21.6</v>
      </c>
      <c r="J859" s="71">
        <v>1</v>
      </c>
      <c r="K859" s="71">
        <f>SUMIFS(VENTAS[Cantidad],VENTAS[Código del producto Vendido],STOCK[[#This Row],[Code]])</f>
        <v>0</v>
      </c>
      <c r="L859" s="71">
        <f>STOCK[[#This Row],[Entradas]]-STOCK[[#This Row],[Salidas]]</f>
        <v>1</v>
      </c>
      <c r="M859" s="54">
        <f>STOCK[[#This Row],[Precio Final]]*10%</f>
        <v>3</v>
      </c>
      <c r="N859" s="54">
        <v>0</v>
      </c>
      <c r="O859" s="54">
        <v>0</v>
      </c>
      <c r="P859" s="54">
        <v>9.9</v>
      </c>
      <c r="Q859" s="71">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53" t="s">
        <v>1706</v>
      </c>
      <c r="F860" s="53" t="s">
        <v>62</v>
      </c>
      <c r="G860" s="53" t="s">
        <v>36</v>
      </c>
      <c r="H860" s="53">
        <f>STOCK[[#This Row],[Precio Final]]</f>
        <v>20</v>
      </c>
      <c r="I860" s="53">
        <f>STOCK[[#This Row],[Precio Venta Ideal (x1.5)]]</f>
        <v>17.955</v>
      </c>
      <c r="J860" s="70">
        <v>2</v>
      </c>
      <c r="K860" s="70">
        <f>SUMIFS(VENTAS[Cantidad],VENTAS[Código del producto Vendido],STOCK[[#This Row],[Code]])</f>
        <v>2</v>
      </c>
      <c r="L860" s="70">
        <f>STOCK[[#This Row],[Entradas]]-STOCK[[#This Row],[Salidas]]</f>
        <v>0</v>
      </c>
      <c r="M860" s="53">
        <f>STOCK[[#This Row],[Precio Final]]*10%</f>
        <v>2</v>
      </c>
      <c r="N860" s="53">
        <v>0</v>
      </c>
      <c r="O860" s="53">
        <v>0</v>
      </c>
      <c r="P860" s="53">
        <v>8.47</v>
      </c>
      <c r="Q860" s="70">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54" t="s">
        <v>1706</v>
      </c>
      <c r="F861" s="54" t="s">
        <v>49</v>
      </c>
      <c r="G861" s="54" t="s">
        <v>36</v>
      </c>
      <c r="H861" s="54">
        <f>STOCK[[#This Row],[Precio Final]]</f>
        <v>20</v>
      </c>
      <c r="I861" s="54">
        <f>STOCK[[#This Row],[Precio Venta Ideal (x1.5)]]</f>
        <v>17.955</v>
      </c>
      <c r="J861" s="71">
        <v>2</v>
      </c>
      <c r="K861" s="71">
        <f>SUMIFS(VENTAS[Cantidad],VENTAS[Código del producto Vendido],STOCK[[#This Row],[Code]])</f>
        <v>1</v>
      </c>
      <c r="L861" s="71">
        <f>STOCK[[#This Row],[Entradas]]-STOCK[[#This Row],[Salidas]]</f>
        <v>1</v>
      </c>
      <c r="M861" s="54">
        <f>STOCK[[#This Row],[Precio Final]]*10%</f>
        <v>2</v>
      </c>
      <c r="N861" s="54">
        <v>0</v>
      </c>
      <c r="O861" s="54">
        <v>0</v>
      </c>
      <c r="P861" s="54">
        <v>8.47</v>
      </c>
      <c r="Q861" s="71">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53" t="s">
        <v>1709</v>
      </c>
      <c r="F862" s="53" t="s">
        <v>1710</v>
      </c>
      <c r="G862" s="53" t="s">
        <v>36</v>
      </c>
      <c r="H862" s="53">
        <f>STOCK[[#This Row],[Precio Final]]</f>
        <v>25</v>
      </c>
      <c r="I862" s="53">
        <f>STOCK[[#This Row],[Precio Venta Ideal (x1.5)]]</f>
        <v>30.9</v>
      </c>
      <c r="J862" s="70">
        <v>3</v>
      </c>
      <c r="K862" s="70">
        <f>SUMIFS(VENTAS[Cantidad],VENTAS[Código del producto Vendido],STOCK[[#This Row],[Code]])</f>
        <v>3</v>
      </c>
      <c r="L862" s="70">
        <f>STOCK[[#This Row],[Entradas]]-STOCK[[#This Row],[Salidas]]</f>
        <v>0</v>
      </c>
      <c r="M862" s="53">
        <f>STOCK[[#This Row],[Precio Final]]*10%</f>
        <v>2.5</v>
      </c>
      <c r="N862" s="53">
        <v>0</v>
      </c>
      <c r="O862" s="53">
        <v>0</v>
      </c>
      <c r="P862" s="53">
        <v>16.6</v>
      </c>
      <c r="Q862" s="70">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54" t="s">
        <v>1712</v>
      </c>
      <c r="F863" s="54" t="s">
        <v>1713</v>
      </c>
      <c r="G863" s="54" t="s">
        <v>36</v>
      </c>
      <c r="H863" s="54">
        <f>STOCK[[#This Row],[Precio Final]]</f>
        <v>13</v>
      </c>
      <c r="I863" s="54">
        <f>STOCK[[#This Row],[Precio Venta Ideal (x1.5)]]</f>
        <v>19.95</v>
      </c>
      <c r="J863" s="71">
        <v>3</v>
      </c>
      <c r="K863" s="71">
        <f>SUMIFS(VENTAS[Cantidad],VENTAS[Código del producto Vendido],STOCK[[#This Row],[Code]])</f>
        <v>3</v>
      </c>
      <c r="L863" s="71">
        <f>STOCK[[#This Row],[Entradas]]-STOCK[[#This Row],[Salidas]]</f>
        <v>0</v>
      </c>
      <c r="M863" s="54">
        <f>STOCK[[#This Row],[Precio Final]]*10%</f>
        <v>1.3</v>
      </c>
      <c r="N863" s="54">
        <v>0</v>
      </c>
      <c r="O863" s="54">
        <v>0</v>
      </c>
      <c r="P863" s="54">
        <v>10</v>
      </c>
      <c r="Q863" s="71">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53" t="s">
        <v>1712</v>
      </c>
      <c r="F864" s="53" t="s">
        <v>1276</v>
      </c>
      <c r="G864" s="53" t="s">
        <v>36</v>
      </c>
      <c r="H864" s="53">
        <f>STOCK[[#This Row],[Precio Final]]</f>
        <v>13</v>
      </c>
      <c r="I864" s="53">
        <f>STOCK[[#This Row],[Precio Venta Ideal (x1.5)]]</f>
        <v>19.95</v>
      </c>
      <c r="J864" s="70">
        <v>3</v>
      </c>
      <c r="K864" s="70">
        <f>SUMIFS(VENTAS[Cantidad],VENTAS[Código del producto Vendido],STOCK[[#This Row],[Code]])</f>
        <v>3</v>
      </c>
      <c r="L864" s="70">
        <f>STOCK[[#This Row],[Entradas]]-STOCK[[#This Row],[Salidas]]</f>
        <v>0</v>
      </c>
      <c r="M864" s="53">
        <f>STOCK[[#This Row],[Precio Final]]*10%</f>
        <v>1.3</v>
      </c>
      <c r="N864" s="53">
        <v>0</v>
      </c>
      <c r="O864" s="53">
        <v>0</v>
      </c>
      <c r="P864" s="53">
        <v>10</v>
      </c>
      <c r="Q864" s="70">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54" t="s">
        <v>1717</v>
      </c>
      <c r="F865" s="54" t="s">
        <v>49</v>
      </c>
      <c r="G865" s="54" t="s">
        <v>704</v>
      </c>
      <c r="H865" s="54">
        <f>STOCK[[#This Row],[Precio Final]]</f>
        <v>30</v>
      </c>
      <c r="I865" s="54">
        <f>STOCK[[#This Row],[Precio Venta Ideal (x1.5)]]</f>
        <v>24</v>
      </c>
      <c r="J865" s="71">
        <v>1</v>
      </c>
      <c r="K865" s="71">
        <f>SUMIFS(VENTAS[Cantidad],VENTAS[Código del producto Vendido],STOCK[[#This Row],[Code]])</f>
        <v>0</v>
      </c>
      <c r="L865" s="71">
        <f>STOCK[[#This Row],[Entradas]]-STOCK[[#This Row],[Salidas]]</f>
        <v>1</v>
      </c>
      <c r="M865" s="54">
        <f>STOCK[[#This Row],[Precio Final]]*10%</f>
        <v>3</v>
      </c>
      <c r="N865" s="54">
        <v>0</v>
      </c>
      <c r="O865" s="54">
        <v>0</v>
      </c>
      <c r="P865" s="54">
        <v>10</v>
      </c>
      <c r="Q865" s="71">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53" t="s">
        <v>1719</v>
      </c>
      <c r="F866" s="53" t="s">
        <v>720</v>
      </c>
      <c r="G866" s="53" t="s">
        <v>704</v>
      </c>
      <c r="H866" s="53">
        <f>STOCK[[#This Row],[Precio Final]]</f>
        <v>28</v>
      </c>
      <c r="I866" s="53">
        <f>STOCK[[#This Row],[Precio Venta Ideal (x1.5)]]</f>
        <v>31.2</v>
      </c>
      <c r="J866" s="70">
        <v>1</v>
      </c>
      <c r="K866" s="70">
        <f>SUMIFS(VENTAS[Cantidad],VENTAS[Código del producto Vendido],STOCK[[#This Row],[Code]])</f>
        <v>1</v>
      </c>
      <c r="L866" s="70">
        <f>STOCK[[#This Row],[Entradas]]-STOCK[[#This Row],[Salidas]]</f>
        <v>0</v>
      </c>
      <c r="M866" s="53">
        <f>STOCK[[#This Row],[Precio Final]]*10%</f>
        <v>2.8</v>
      </c>
      <c r="N866" s="53">
        <v>0</v>
      </c>
      <c r="O866" s="53">
        <v>0</v>
      </c>
      <c r="P866" s="53">
        <v>15</v>
      </c>
      <c r="Q866" s="70">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54" t="s">
        <v>1721</v>
      </c>
      <c r="F867" s="54" t="s">
        <v>444</v>
      </c>
      <c r="G867" s="54" t="s">
        <v>704</v>
      </c>
      <c r="H867" s="54">
        <f>STOCK[[#This Row],[Precio Final]]</f>
        <v>25</v>
      </c>
      <c r="I867" s="54">
        <f>STOCK[[#This Row],[Precio Venta Ideal (x1.5)]]</f>
        <v>23.25</v>
      </c>
      <c r="J867" s="71">
        <v>1</v>
      </c>
      <c r="K867" s="71">
        <f>SUMIFS(VENTAS[Cantidad],VENTAS[Código del producto Vendido],STOCK[[#This Row],[Code]])</f>
        <v>0</v>
      </c>
      <c r="L867" s="71">
        <f>STOCK[[#This Row],[Entradas]]-STOCK[[#This Row],[Salidas]]</f>
        <v>1</v>
      </c>
      <c r="M867" s="54">
        <f>STOCK[[#This Row],[Precio Final]]*10%</f>
        <v>2.5</v>
      </c>
      <c r="N867" s="54">
        <v>0</v>
      </c>
      <c r="O867" s="54">
        <v>0</v>
      </c>
      <c r="P867" s="54">
        <v>10</v>
      </c>
      <c r="Q867" s="71">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53" t="s">
        <v>1723</v>
      </c>
      <c r="F868" s="53" t="s">
        <v>444</v>
      </c>
      <c r="G868" s="53" t="s">
        <v>704</v>
      </c>
      <c r="H868" s="53">
        <f>STOCK[[#This Row],[Precio Final]]</f>
        <v>25</v>
      </c>
      <c r="I868" s="53">
        <f>STOCK[[#This Row],[Precio Venta Ideal (x1.5)]]</f>
        <v>23.25</v>
      </c>
      <c r="J868" s="70">
        <v>2</v>
      </c>
      <c r="K868" s="70">
        <f>SUMIFS(VENTAS[Cantidad],VENTAS[Código del producto Vendido],STOCK[[#This Row],[Code]])</f>
        <v>1</v>
      </c>
      <c r="L868" s="70">
        <f>STOCK[[#This Row],[Entradas]]-STOCK[[#This Row],[Salidas]]</f>
        <v>1</v>
      </c>
      <c r="M868" s="53">
        <f>STOCK[[#This Row],[Precio Final]]*10%</f>
        <v>2.5</v>
      </c>
      <c r="N868" s="53">
        <v>0</v>
      </c>
      <c r="O868" s="53">
        <v>0</v>
      </c>
      <c r="P868" s="53">
        <v>10</v>
      </c>
      <c r="Q868" s="70">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54" t="s">
        <v>1725</v>
      </c>
      <c r="F869" s="54" t="s">
        <v>49</v>
      </c>
      <c r="G869" s="54" t="s">
        <v>1296</v>
      </c>
      <c r="H869" s="54">
        <f>STOCK[[#This Row],[Precio Final]]</f>
        <v>19</v>
      </c>
      <c r="I869" s="54">
        <f>STOCK[[#This Row],[Precio Venta Ideal (x1.5)]]</f>
        <v>19.35</v>
      </c>
      <c r="J869" s="71">
        <v>1</v>
      </c>
      <c r="K869" s="71">
        <f>SUMIFS(VENTAS[Cantidad],VENTAS[Código del producto Vendido],STOCK[[#This Row],[Code]])</f>
        <v>1</v>
      </c>
      <c r="L869" s="71">
        <f>STOCK[[#This Row],[Entradas]]-STOCK[[#This Row],[Salidas]]</f>
        <v>0</v>
      </c>
      <c r="M869" s="54">
        <f>STOCK[[#This Row],[Precio Final]]*10%</f>
        <v>1.9</v>
      </c>
      <c r="N869" s="54">
        <v>0</v>
      </c>
      <c r="O869" s="54">
        <v>0</v>
      </c>
      <c r="P869" s="54">
        <v>8</v>
      </c>
      <c r="Q869" s="71">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53" t="s">
        <v>1727</v>
      </c>
      <c r="F870" s="53" t="s">
        <v>49</v>
      </c>
      <c r="G870" s="53" t="s">
        <v>36</v>
      </c>
      <c r="H870" s="53">
        <f>STOCK[[#This Row],[Precio Final]]</f>
        <v>18</v>
      </c>
      <c r="I870" s="53">
        <f>STOCK[[#This Row],[Precio Venta Ideal (x1.5)]]</f>
        <v>19.2</v>
      </c>
      <c r="J870" s="70">
        <v>1</v>
      </c>
      <c r="K870" s="70">
        <f>SUMIFS(VENTAS[Cantidad],VENTAS[Código del producto Vendido],STOCK[[#This Row],[Code]])</f>
        <v>0</v>
      </c>
      <c r="L870" s="70">
        <f>STOCK[[#This Row],[Entradas]]-STOCK[[#This Row],[Salidas]]</f>
        <v>1</v>
      </c>
      <c r="M870" s="53">
        <f>STOCK[[#This Row],[Precio Final]]*10%</f>
        <v>1.8</v>
      </c>
      <c r="N870" s="53">
        <v>0</v>
      </c>
      <c r="O870" s="53">
        <v>0</v>
      </c>
      <c r="P870" s="53">
        <v>6</v>
      </c>
      <c r="Q870" s="70">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54" t="s">
        <v>1525</v>
      </c>
      <c r="F871" s="54" t="s">
        <v>1442</v>
      </c>
      <c r="G871" s="54" t="s">
        <v>36</v>
      </c>
      <c r="H871" s="54">
        <f>STOCK[[#This Row],[Precio Final]]</f>
        <v>40</v>
      </c>
      <c r="I871" s="54">
        <f>STOCK[[#This Row],[Precio Venta Ideal (x1.5)]]</f>
        <v>47.25</v>
      </c>
      <c r="J871" s="71">
        <v>1</v>
      </c>
      <c r="K871" s="71">
        <f>SUMIFS(VENTAS[Cantidad],VENTAS[Código del producto Vendido],STOCK[[#This Row],[Code]])</f>
        <v>1</v>
      </c>
      <c r="L871" s="71">
        <f>STOCK[[#This Row],[Entradas]]-STOCK[[#This Row],[Salidas]]</f>
        <v>0</v>
      </c>
      <c r="M871" s="54">
        <f>STOCK[[#This Row],[Precio Final]]*10%</f>
        <v>4</v>
      </c>
      <c r="N871" s="54">
        <v>0</v>
      </c>
      <c r="O871" s="54">
        <v>0</v>
      </c>
      <c r="P871" s="54">
        <v>26</v>
      </c>
      <c r="Q871" s="71">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53" t="s">
        <v>1731</v>
      </c>
      <c r="F872" s="53" t="s">
        <v>1710</v>
      </c>
      <c r="G872" s="53" t="s">
        <v>36</v>
      </c>
      <c r="H872" s="53">
        <f>STOCK[[#This Row],[Precio Final]]</f>
        <v>25</v>
      </c>
      <c r="I872" s="53">
        <f>STOCK[[#This Row],[Precio Venta Ideal (x1.5)]]</f>
        <v>30.6617647058823</v>
      </c>
      <c r="J872" s="70">
        <v>2</v>
      </c>
      <c r="K872" s="70">
        <f>SUMIFS(VENTAS[Cantidad],VENTAS[Código del producto Vendido],STOCK[[#This Row],[Code]])</f>
        <v>2</v>
      </c>
      <c r="L872" s="70">
        <f>STOCK[[#This Row],[Entradas]]-STOCK[[#This Row],[Salidas]]</f>
        <v>0</v>
      </c>
      <c r="M872" s="53">
        <f>STOCK[[#This Row],[Precio Final]]*10%</f>
        <v>2.5</v>
      </c>
      <c r="N872" s="53">
        <v>237</v>
      </c>
      <c r="O872" s="53">
        <v>17</v>
      </c>
      <c r="P872" s="53">
        <v>13.9411764705882</v>
      </c>
      <c r="Q872" s="70">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54" t="s">
        <v>1731</v>
      </c>
      <c r="F873" s="54" t="s">
        <v>1734</v>
      </c>
      <c r="G873" s="54" t="s">
        <v>36</v>
      </c>
      <c r="H873" s="54">
        <f>STOCK[[#This Row],[Precio Final]]</f>
        <v>25</v>
      </c>
      <c r="I873" s="54">
        <f>STOCK[[#This Row],[Precio Venta Ideal (x1.5)]]</f>
        <v>30.6617647058823</v>
      </c>
      <c r="J873" s="71">
        <v>2</v>
      </c>
      <c r="K873" s="71">
        <f>SUMIFS(VENTAS[Cantidad],VENTAS[Código del producto Vendido],STOCK[[#This Row],[Code]])</f>
        <v>2</v>
      </c>
      <c r="L873" s="71">
        <f>STOCK[[#This Row],[Entradas]]-STOCK[[#This Row],[Salidas]]</f>
        <v>0</v>
      </c>
      <c r="M873" s="54">
        <f>STOCK[[#This Row],[Precio Final]]*10%</f>
        <v>2.5</v>
      </c>
      <c r="N873" s="54">
        <v>237</v>
      </c>
      <c r="O873" s="54">
        <v>17</v>
      </c>
      <c r="P873" s="54">
        <v>13.9411764705882</v>
      </c>
      <c r="Q873" s="71">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53" t="s">
        <v>1736</v>
      </c>
      <c r="F874" s="53" t="s">
        <v>62</v>
      </c>
      <c r="G874" s="53" t="s">
        <v>36</v>
      </c>
      <c r="H874" s="53">
        <f>STOCK[[#This Row],[Precio Final]]</f>
        <v>25</v>
      </c>
      <c r="I874" s="53">
        <f>STOCK[[#This Row],[Precio Venta Ideal (x1.5)]]</f>
        <v>30.6617647058823</v>
      </c>
      <c r="J874" s="70">
        <v>3</v>
      </c>
      <c r="K874" s="70">
        <f>SUMIFS(VENTAS[Cantidad],VENTAS[Código del producto Vendido],STOCK[[#This Row],[Code]])</f>
        <v>3</v>
      </c>
      <c r="L874" s="70">
        <f>STOCK[[#This Row],[Entradas]]-STOCK[[#This Row],[Salidas]]</f>
        <v>0</v>
      </c>
      <c r="M874" s="53">
        <f>STOCK[[#This Row],[Precio Final]]*10%</f>
        <v>2.5</v>
      </c>
      <c r="N874" s="53">
        <v>237</v>
      </c>
      <c r="O874" s="53">
        <v>17</v>
      </c>
      <c r="P874" s="53">
        <v>13.9411764705882</v>
      </c>
      <c r="Q874" s="70">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54" t="s">
        <v>1736</v>
      </c>
      <c r="F875" s="54" t="s">
        <v>49</v>
      </c>
      <c r="G875" s="54" t="s">
        <v>36</v>
      </c>
      <c r="H875" s="54">
        <f>STOCK[[#This Row],[Precio Final]]</f>
        <v>25</v>
      </c>
      <c r="I875" s="54">
        <f>STOCK[[#This Row],[Precio Venta Ideal (x1.5)]]</f>
        <v>30.6617647058823</v>
      </c>
      <c r="J875" s="71">
        <v>2</v>
      </c>
      <c r="K875" s="71">
        <f>SUMIFS(VENTAS[Cantidad],VENTAS[Código del producto Vendido],STOCK[[#This Row],[Code]])</f>
        <v>2</v>
      </c>
      <c r="L875" s="71">
        <f>STOCK[[#This Row],[Entradas]]-STOCK[[#This Row],[Salidas]]</f>
        <v>0</v>
      </c>
      <c r="M875" s="54">
        <f>STOCK[[#This Row],[Precio Final]]*10%</f>
        <v>2.5</v>
      </c>
      <c r="N875" s="54">
        <v>237</v>
      </c>
      <c r="O875" s="54">
        <v>17</v>
      </c>
      <c r="P875" s="54">
        <v>13.9411764705882</v>
      </c>
      <c r="Q875" s="71">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53" t="s">
        <v>1739</v>
      </c>
      <c r="F876" s="53" t="s">
        <v>62</v>
      </c>
      <c r="G876" s="53" t="s">
        <v>36</v>
      </c>
      <c r="H876" s="53">
        <f>STOCK[[#This Row],[Precio Final]]</f>
        <v>25</v>
      </c>
      <c r="I876" s="53">
        <f>STOCK[[#This Row],[Precio Venta Ideal (x1.5)]]</f>
        <v>30.6617647058823</v>
      </c>
      <c r="J876" s="70">
        <v>2</v>
      </c>
      <c r="K876" s="70">
        <f>SUMIFS(VENTAS[Cantidad],VENTAS[Código del producto Vendido],STOCK[[#This Row],[Code]])</f>
        <v>2</v>
      </c>
      <c r="L876" s="70">
        <f>STOCK[[#This Row],[Entradas]]-STOCK[[#This Row],[Salidas]]</f>
        <v>0</v>
      </c>
      <c r="M876" s="53">
        <f>STOCK[[#This Row],[Precio Final]]*10%</f>
        <v>2.5</v>
      </c>
      <c r="N876" s="53">
        <v>237</v>
      </c>
      <c r="O876" s="53">
        <v>17</v>
      </c>
      <c r="P876" s="53">
        <v>13.9411764705882</v>
      </c>
      <c r="Q876" s="70">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54" t="s">
        <v>1739</v>
      </c>
      <c r="F877" s="54" t="s">
        <v>258</v>
      </c>
      <c r="G877" s="54" t="s">
        <v>36</v>
      </c>
      <c r="H877" s="54">
        <f>STOCK[[#This Row],[Precio Final]]</f>
        <v>25</v>
      </c>
      <c r="I877" s="54">
        <f>STOCK[[#This Row],[Precio Venta Ideal (x1.5)]]</f>
        <v>30.6617647058823</v>
      </c>
      <c r="J877" s="71">
        <v>2</v>
      </c>
      <c r="K877" s="71">
        <f>SUMIFS(VENTAS[Cantidad],VENTAS[Código del producto Vendido],STOCK[[#This Row],[Code]])</f>
        <v>2</v>
      </c>
      <c r="L877" s="71">
        <f>STOCK[[#This Row],[Entradas]]-STOCK[[#This Row],[Salidas]]</f>
        <v>0</v>
      </c>
      <c r="M877" s="54">
        <f>STOCK[[#This Row],[Precio Final]]*10%</f>
        <v>2.5</v>
      </c>
      <c r="N877" s="54">
        <v>237</v>
      </c>
      <c r="O877" s="54">
        <v>17</v>
      </c>
      <c r="P877" s="54">
        <v>13.9411764705882</v>
      </c>
      <c r="Q877" s="71">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53" t="s">
        <v>1744</v>
      </c>
      <c r="F878" s="53" t="s">
        <v>62</v>
      </c>
      <c r="G878" s="53" t="s">
        <v>1601</v>
      </c>
      <c r="H878" s="53">
        <f>STOCK[[#This Row],[Precio Final]]</f>
        <v>22</v>
      </c>
      <c r="I878" s="53">
        <f>STOCK[[#This Row],[Precio Venta Ideal (x1.5)]]</f>
        <v>23.3294117647059</v>
      </c>
      <c r="J878" s="70">
        <v>4</v>
      </c>
      <c r="K878" s="70">
        <f>SUMIFS(VENTAS[Cantidad],VENTAS[Código del producto Vendido],STOCK[[#This Row],[Code]])</f>
        <v>2</v>
      </c>
      <c r="L878" s="70">
        <f>STOCK[[#This Row],[Entradas]]-STOCK[[#This Row],[Salidas]]</f>
        <v>2</v>
      </c>
      <c r="M878" s="53">
        <f>STOCK[[#This Row],[Precio Final]]*10%</f>
        <v>2.2</v>
      </c>
      <c r="N878" s="53">
        <v>159</v>
      </c>
      <c r="O878" s="53">
        <v>17</v>
      </c>
      <c r="P878" s="53">
        <v>9.35294117647059</v>
      </c>
      <c r="Q878" s="70">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54" t="s">
        <v>1744</v>
      </c>
      <c r="F879" s="54" t="s">
        <v>211</v>
      </c>
      <c r="G879" s="54" t="s">
        <v>36</v>
      </c>
      <c r="H879" s="54">
        <f>STOCK[[#This Row],[Precio Final]]</f>
        <v>22</v>
      </c>
      <c r="I879" s="54">
        <f>STOCK[[#This Row],[Precio Venta Ideal (x1.5)]]</f>
        <v>23.3294117647059</v>
      </c>
      <c r="J879" s="71">
        <v>2</v>
      </c>
      <c r="K879" s="71">
        <f>SUMIFS(VENTAS[Cantidad],VENTAS[Código del producto Vendido],STOCK[[#This Row],[Code]])</f>
        <v>2</v>
      </c>
      <c r="L879" s="71">
        <f>STOCK[[#This Row],[Entradas]]-STOCK[[#This Row],[Salidas]]</f>
        <v>0</v>
      </c>
      <c r="M879" s="54">
        <f>STOCK[[#This Row],[Precio Final]]*10%</f>
        <v>2.2</v>
      </c>
      <c r="N879" s="54">
        <v>159</v>
      </c>
      <c r="O879" s="54">
        <v>17</v>
      </c>
      <c r="P879" s="54">
        <v>9.35294117647059</v>
      </c>
      <c r="Q879" s="71">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53" t="s">
        <v>1747</v>
      </c>
      <c r="F880" s="53" t="s">
        <v>1047</v>
      </c>
      <c r="G880" s="53" t="s">
        <v>36</v>
      </c>
      <c r="H880" s="53">
        <f>STOCK[[#This Row],[Precio Final]]</f>
        <v>20</v>
      </c>
      <c r="I880" s="53">
        <f>STOCK[[#This Row],[Precio Venta Ideal (x1.5)]]</f>
        <v>17.3823529411765</v>
      </c>
      <c r="J880" s="70">
        <v>1</v>
      </c>
      <c r="K880" s="70">
        <f>SUMIFS(VENTAS[Cantidad],VENTAS[Código del producto Vendido],STOCK[[#This Row],[Code]])</f>
        <v>1</v>
      </c>
      <c r="L880" s="70">
        <f>STOCK[[#This Row],[Entradas]]-STOCK[[#This Row],[Salidas]]</f>
        <v>0</v>
      </c>
      <c r="M880" s="53">
        <f>STOCK[[#This Row],[Precio Final]]*10%</f>
        <v>2</v>
      </c>
      <c r="N880" s="53">
        <v>112</v>
      </c>
      <c r="O880" s="53">
        <v>17</v>
      </c>
      <c r="P880" s="53">
        <v>6.58823529411765</v>
      </c>
      <c r="Q880" s="70">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54" t="s">
        <v>1749</v>
      </c>
      <c r="F881" s="54" t="s">
        <v>42</v>
      </c>
      <c r="G881" s="54" t="s">
        <v>704</v>
      </c>
      <c r="H881" s="54">
        <f>STOCK[[#This Row],[Precio Final]]</f>
        <v>35</v>
      </c>
      <c r="I881" s="54">
        <f>STOCK[[#This Row],[Precio Venta Ideal (x1.5)]]</f>
        <v>48.75</v>
      </c>
      <c r="J881" s="71">
        <v>1</v>
      </c>
      <c r="K881" s="71">
        <f>SUMIFS(VENTAS[Cantidad],VENTAS[Código del producto Vendido],STOCK[[#This Row],[Code]])</f>
        <v>1</v>
      </c>
      <c r="L881" s="71">
        <f>STOCK[[#This Row],[Entradas]]-STOCK[[#This Row],[Salidas]]</f>
        <v>0</v>
      </c>
      <c r="M881" s="54">
        <f>STOCK[[#This Row],[Precio Final]]*10%</f>
        <v>3.5</v>
      </c>
      <c r="N881" s="54">
        <v>159</v>
      </c>
      <c r="O881" s="54">
        <v>17</v>
      </c>
      <c r="P881" s="54">
        <v>25</v>
      </c>
      <c r="Q881" s="71">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53" t="s">
        <v>1752</v>
      </c>
      <c r="F882" s="53" t="s">
        <v>1753</v>
      </c>
      <c r="G882" s="53" t="s">
        <v>1601</v>
      </c>
      <c r="H882" s="53">
        <f>STOCK[[#This Row],[Precio Final]]</f>
        <v>25</v>
      </c>
      <c r="I882" s="53">
        <f>STOCK[[#This Row],[Precio Venta Ideal (x1.5)]]</f>
        <v>22.3676470588236</v>
      </c>
      <c r="J882" s="70">
        <v>4</v>
      </c>
      <c r="K882" s="70">
        <f>SUMIFS(VENTAS[Cantidad],VENTAS[Código del producto Vendido],STOCK[[#This Row],[Code]])</f>
        <v>4</v>
      </c>
      <c r="L882" s="70">
        <f>STOCK[[#This Row],[Entradas]]-STOCK[[#This Row],[Salidas]]</f>
        <v>0</v>
      </c>
      <c r="M882" s="53">
        <f>STOCK[[#This Row],[Precio Final]]*10%</f>
        <v>2.5</v>
      </c>
      <c r="N882" s="53">
        <v>211</v>
      </c>
      <c r="O882" s="53">
        <v>17</v>
      </c>
      <c r="P882" s="53">
        <v>12.4117647058824</v>
      </c>
      <c r="Q882" s="70">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54" t="s">
        <v>1744</v>
      </c>
      <c r="F883" s="54" t="s">
        <v>42</v>
      </c>
      <c r="G883" s="54" t="s">
        <v>36</v>
      </c>
      <c r="H883" s="54">
        <f>STOCK[[#This Row],[Precio Final]]</f>
        <v>22</v>
      </c>
      <c r="I883" s="54">
        <f>STOCK[[#This Row],[Precio Venta Ideal (x1.5)]]</f>
        <v>23.3294117647059</v>
      </c>
      <c r="J883" s="71">
        <v>3</v>
      </c>
      <c r="K883" s="71">
        <f>SUMIFS(VENTAS[Cantidad],VENTAS[Código del producto Vendido],STOCK[[#This Row],[Code]])</f>
        <v>0</v>
      </c>
      <c r="L883" s="71">
        <f>STOCK[[#This Row],[Entradas]]-STOCK[[#This Row],[Salidas]]</f>
        <v>3</v>
      </c>
      <c r="M883" s="54">
        <f>STOCK[[#This Row],[Precio Final]]*10%</f>
        <v>2.2</v>
      </c>
      <c r="N883" s="54">
        <v>159</v>
      </c>
      <c r="O883" s="54">
        <v>17</v>
      </c>
      <c r="P883" s="54">
        <v>9.35294117647059</v>
      </c>
      <c r="Q883" s="71">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53" t="s">
        <v>1757</v>
      </c>
      <c r="F884" s="53" t="s">
        <v>1758</v>
      </c>
      <c r="G884" s="53" t="s">
        <v>36</v>
      </c>
      <c r="H884" s="53">
        <f>STOCK[[#This Row],[Precio Final]]</f>
        <v>30</v>
      </c>
      <c r="I884" s="53">
        <f>STOCK[[#This Row],[Precio Venta Ideal (x1.5)]]</f>
        <v>41.2058823529412</v>
      </c>
      <c r="J884" s="70">
        <v>3</v>
      </c>
      <c r="K884" s="70">
        <f>SUMIFS(VENTAS[Cantidad],VENTAS[Código del producto Vendido],STOCK[[#This Row],[Code]])</f>
        <v>3</v>
      </c>
      <c r="L884" s="70">
        <f>STOCK[[#This Row],[Entradas]]-STOCK[[#This Row],[Salidas]]</f>
        <v>0</v>
      </c>
      <c r="M884" s="53">
        <f>STOCK[[#This Row],[Precio Final]]*10%</f>
        <v>3</v>
      </c>
      <c r="N884" s="53">
        <v>348</v>
      </c>
      <c r="O884" s="53">
        <v>17</v>
      </c>
      <c r="P884" s="53">
        <v>20.4705882352941</v>
      </c>
      <c r="Q884" s="70">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54" t="s">
        <v>1757</v>
      </c>
      <c r="F885" s="54" t="s">
        <v>1760</v>
      </c>
      <c r="G885" s="54" t="s">
        <v>1601</v>
      </c>
      <c r="H885" s="54">
        <f>STOCK[[#This Row],[Precio Final]]</f>
        <v>30</v>
      </c>
      <c r="I885" s="54">
        <f>STOCK[[#This Row],[Precio Venta Ideal (x1.5)]]</f>
        <v>42.7058823529412</v>
      </c>
      <c r="J885" s="71">
        <v>3</v>
      </c>
      <c r="K885" s="71">
        <f>SUMIFS(VENTAS[Cantidad],VENTAS[Código del producto Vendido],STOCK[[#This Row],[Code]])</f>
        <v>3</v>
      </c>
      <c r="L885" s="71">
        <f>STOCK[[#This Row],[Entradas]]-STOCK[[#This Row],[Salidas]]</f>
        <v>0</v>
      </c>
      <c r="M885" s="54">
        <f>STOCK[[#This Row],[Precio Final]]*10%</f>
        <v>3</v>
      </c>
      <c r="N885" s="54">
        <v>348</v>
      </c>
      <c r="O885" s="54">
        <v>17</v>
      </c>
      <c r="P885" s="54">
        <v>20.4705882352941</v>
      </c>
      <c r="Q885" s="71">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53" t="s">
        <v>1757</v>
      </c>
      <c r="F886" s="53" t="s">
        <v>764</v>
      </c>
      <c r="G886" s="53" t="s">
        <v>1601</v>
      </c>
      <c r="H886" s="53">
        <f>STOCK[[#This Row],[Precio Final]]</f>
        <v>32</v>
      </c>
      <c r="I886" s="53">
        <f>STOCK[[#This Row],[Precio Venta Ideal (x1.5)]]</f>
        <v>43.0058823529411</v>
      </c>
      <c r="J886" s="70">
        <v>4</v>
      </c>
      <c r="K886" s="70">
        <f>SUMIFS(VENTAS[Cantidad],VENTAS[Código del producto Vendido],STOCK[[#This Row],[Code]])</f>
        <v>4</v>
      </c>
      <c r="L886" s="70">
        <f>STOCK[[#This Row],[Entradas]]-STOCK[[#This Row],[Salidas]]</f>
        <v>0</v>
      </c>
      <c r="M886" s="53">
        <f>STOCK[[#This Row],[Precio Final]]*10%</f>
        <v>3.2</v>
      </c>
      <c r="N886" s="53">
        <v>348</v>
      </c>
      <c r="O886" s="53">
        <v>17</v>
      </c>
      <c r="P886" s="53">
        <v>20.4705882352941</v>
      </c>
      <c r="Q886" s="70">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54" t="s">
        <v>1757</v>
      </c>
      <c r="F887" s="54" t="s">
        <v>1678</v>
      </c>
      <c r="G887" s="54" t="s">
        <v>1601</v>
      </c>
      <c r="H887" s="54">
        <f>STOCK[[#This Row],[Precio Final]]</f>
        <v>30</v>
      </c>
      <c r="I887" s="54">
        <f>STOCK[[#This Row],[Precio Venta Ideal (x1.5)]]</f>
        <v>42.7058823529412</v>
      </c>
      <c r="J887" s="71">
        <v>3</v>
      </c>
      <c r="K887" s="71">
        <f>SUMIFS(VENTAS[Cantidad],VENTAS[Código del producto Vendido],STOCK[[#This Row],[Code]])</f>
        <v>3</v>
      </c>
      <c r="L887" s="71">
        <f>STOCK[[#This Row],[Entradas]]-STOCK[[#This Row],[Salidas]]</f>
        <v>0</v>
      </c>
      <c r="M887" s="54">
        <f>STOCK[[#This Row],[Precio Final]]*10%</f>
        <v>3</v>
      </c>
      <c r="N887" s="54">
        <v>348</v>
      </c>
      <c r="O887" s="54">
        <v>17</v>
      </c>
      <c r="P887" s="54">
        <v>20.4705882352941</v>
      </c>
      <c r="Q887" s="71">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53" t="s">
        <v>1765</v>
      </c>
      <c r="F888" s="53" t="s">
        <v>525</v>
      </c>
      <c r="G888" s="53" t="s">
        <v>1601</v>
      </c>
      <c r="H888" s="53">
        <f>STOCK[[#This Row],[Precio Final]]</f>
        <v>1.2</v>
      </c>
      <c r="I888" s="53">
        <f>STOCK[[#This Row],[Precio Venta Ideal (x1.5)]]</f>
        <v>0.634411764705882</v>
      </c>
      <c r="J888" s="70">
        <v>10</v>
      </c>
      <c r="K888" s="70">
        <f>SUMIFS(VENTAS[Cantidad],VENTAS[Código del producto Vendido],STOCK[[#This Row],[Code]])</f>
        <v>0</v>
      </c>
      <c r="L888" s="70">
        <f>STOCK[[#This Row],[Entradas]]-STOCK[[#This Row],[Salidas]]</f>
        <v>10</v>
      </c>
      <c r="M888" s="53">
        <f>STOCK[[#This Row],[Precio Final]]*10%</f>
        <v>0.12</v>
      </c>
      <c r="N888" s="53">
        <v>4.3</v>
      </c>
      <c r="O888" s="53">
        <v>17</v>
      </c>
      <c r="P888" s="53">
        <v>0.252941176470588</v>
      </c>
      <c r="Q888" s="70">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54" t="s">
        <v>1767</v>
      </c>
      <c r="F889" s="54" t="s">
        <v>525</v>
      </c>
      <c r="G889" s="54" t="s">
        <v>1601</v>
      </c>
      <c r="H889" s="54">
        <f>STOCK[[#This Row],[Precio Final]]</f>
        <v>1.2</v>
      </c>
      <c r="I889" s="54">
        <f>STOCK[[#This Row],[Precio Venta Ideal (x1.5)]]</f>
        <v>0.634411764705882</v>
      </c>
      <c r="J889" s="71">
        <v>10</v>
      </c>
      <c r="K889" s="71">
        <f>SUMIFS(VENTAS[Cantidad],VENTAS[Código del producto Vendido],STOCK[[#This Row],[Code]])</f>
        <v>0</v>
      </c>
      <c r="L889" s="71">
        <f>STOCK[[#This Row],[Entradas]]-STOCK[[#This Row],[Salidas]]</f>
        <v>10</v>
      </c>
      <c r="M889" s="54">
        <f>STOCK[[#This Row],[Precio Final]]*10%</f>
        <v>0.12</v>
      </c>
      <c r="N889" s="54">
        <v>4.3</v>
      </c>
      <c r="O889" s="54">
        <v>17</v>
      </c>
      <c r="P889" s="54">
        <v>0.252941176470588</v>
      </c>
      <c r="Q889" s="71">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53" t="s">
        <v>1770</v>
      </c>
      <c r="F890" s="53" t="s">
        <v>525</v>
      </c>
      <c r="G890" s="53" t="s">
        <v>1601</v>
      </c>
      <c r="H890" s="53">
        <f>STOCK[[#This Row],[Precio Final]]</f>
        <v>1</v>
      </c>
      <c r="I890" s="53">
        <f>STOCK[[#This Row],[Precio Venta Ideal (x1.5)]]</f>
        <v>0.794117647058823</v>
      </c>
      <c r="J890" s="70">
        <v>20</v>
      </c>
      <c r="K890" s="70">
        <f>SUMIFS(VENTAS[Cantidad],VENTAS[Código del producto Vendido],STOCK[[#This Row],[Code]])</f>
        <v>16</v>
      </c>
      <c r="L890" s="70">
        <f>STOCK[[#This Row],[Entradas]]-STOCK[[#This Row],[Salidas]]</f>
        <v>4</v>
      </c>
      <c r="M890" s="53">
        <f>STOCK[[#This Row],[Precio Final]]*10%</f>
        <v>0.1</v>
      </c>
      <c r="N890" s="53">
        <v>6.45</v>
      </c>
      <c r="O890" s="53">
        <v>17</v>
      </c>
      <c r="P890" s="53">
        <v>0.379411764705882</v>
      </c>
      <c r="Q890" s="70">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54" t="s">
        <v>1744</v>
      </c>
      <c r="F891" s="54" t="s">
        <v>46</v>
      </c>
      <c r="G891" s="54" t="s">
        <v>1601</v>
      </c>
      <c r="H891" s="54">
        <f>STOCK[[#This Row],[Precio Final]]</f>
        <v>22</v>
      </c>
      <c r="I891" s="54">
        <f>STOCK[[#This Row],[Precio Venta Ideal (x1.5)]]</f>
        <v>23.3294117647059</v>
      </c>
      <c r="J891" s="71">
        <v>3</v>
      </c>
      <c r="K891" s="71">
        <f>SUMIFS(VENTAS[Cantidad],VENTAS[Código del producto Vendido],STOCK[[#This Row],[Code]])</f>
        <v>2</v>
      </c>
      <c r="L891" s="71">
        <f>STOCK[[#This Row],[Entradas]]-STOCK[[#This Row],[Salidas]]</f>
        <v>1</v>
      </c>
      <c r="M891" s="54">
        <f>STOCK[[#This Row],[Precio Final]]*10%</f>
        <v>2.2</v>
      </c>
      <c r="N891" s="54">
        <v>159</v>
      </c>
      <c r="O891" s="54">
        <v>17</v>
      </c>
      <c r="P891" s="54">
        <v>9.35294117647059</v>
      </c>
      <c r="Q891" s="71">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53" t="s">
        <v>1774</v>
      </c>
      <c r="F892" s="53" t="s">
        <v>40</v>
      </c>
      <c r="G892" s="53" t="s">
        <v>1601</v>
      </c>
      <c r="H892" s="53">
        <f>STOCK[[#This Row],[Precio Final]]</f>
        <v>20</v>
      </c>
      <c r="I892" s="53">
        <f>STOCK[[#This Row],[Precio Venta Ideal (x1.5)]]</f>
        <v>21.5294117647059</v>
      </c>
      <c r="J892" s="70">
        <v>1</v>
      </c>
      <c r="K892" s="70">
        <f>SUMIFS(VENTAS[Cantidad],VENTAS[Código del producto Vendido],STOCK[[#This Row],[Code]])</f>
        <v>0</v>
      </c>
      <c r="L892" s="70">
        <f>STOCK[[#This Row],[Entradas]]-STOCK[[#This Row],[Salidas]]</f>
        <v>1</v>
      </c>
      <c r="M892" s="53">
        <f>STOCK[[#This Row],[Precio Final]]*10%</f>
        <v>2</v>
      </c>
      <c r="N892" s="53">
        <v>142</v>
      </c>
      <c r="O892" s="53">
        <v>17</v>
      </c>
      <c r="P892" s="53">
        <v>8.35294117647059</v>
      </c>
      <c r="Q892" s="70">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53" t="s">
        <v>1774</v>
      </c>
      <c r="F893" s="54" t="s">
        <v>62</v>
      </c>
      <c r="G893" s="54" t="s">
        <v>1601</v>
      </c>
      <c r="H893" s="54">
        <f>STOCK[[#This Row],[Precio Final]]</f>
        <v>20</v>
      </c>
      <c r="I893" s="54">
        <f>STOCK[[#This Row],[Precio Venta Ideal (x1.5)]]</f>
        <v>21.5294117647059</v>
      </c>
      <c r="J893" s="71">
        <v>1</v>
      </c>
      <c r="K893" s="71">
        <f>SUMIFS(VENTAS[Cantidad],VENTAS[Código del producto Vendido],STOCK[[#This Row],[Code]])</f>
        <v>0</v>
      </c>
      <c r="L893" s="71">
        <f>STOCK[[#This Row],[Entradas]]-STOCK[[#This Row],[Salidas]]</f>
        <v>1</v>
      </c>
      <c r="M893" s="54">
        <f>STOCK[[#This Row],[Precio Final]]*10%</f>
        <v>2</v>
      </c>
      <c r="N893" s="54">
        <v>142</v>
      </c>
      <c r="O893" s="54">
        <v>17</v>
      </c>
      <c r="P893" s="54">
        <v>8.35294117647059</v>
      </c>
      <c r="Q893" s="71">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53" t="s">
        <v>1774</v>
      </c>
      <c r="F894" s="53" t="s">
        <v>49</v>
      </c>
      <c r="G894" s="53" t="s">
        <v>1601</v>
      </c>
      <c r="H894" s="53">
        <f>STOCK[[#This Row],[Precio Final]]</f>
        <v>20</v>
      </c>
      <c r="I894" s="53">
        <f>STOCK[[#This Row],[Precio Venta Ideal (x1.5)]]</f>
        <v>21.5294117647059</v>
      </c>
      <c r="J894" s="70">
        <v>1</v>
      </c>
      <c r="K894" s="70">
        <f>SUMIFS(VENTAS[Cantidad],VENTAS[Código del producto Vendido],STOCK[[#This Row],[Code]])</f>
        <v>0</v>
      </c>
      <c r="L894" s="70">
        <f>STOCK[[#This Row],[Entradas]]-STOCK[[#This Row],[Salidas]]</f>
        <v>1</v>
      </c>
      <c r="M894" s="53">
        <f>STOCK[[#This Row],[Precio Final]]*10%</f>
        <v>2</v>
      </c>
      <c r="N894" s="53">
        <v>142</v>
      </c>
      <c r="O894" s="53">
        <v>17</v>
      </c>
      <c r="P894" s="53">
        <v>8.35294117647059</v>
      </c>
      <c r="Q894" s="70">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54" t="s">
        <v>1778</v>
      </c>
      <c r="F895" s="54" t="s">
        <v>205</v>
      </c>
      <c r="G895" s="54" t="s">
        <v>1601</v>
      </c>
      <c r="H895" s="54">
        <f>STOCK[[#This Row],[Precio Final]]</f>
        <v>20</v>
      </c>
      <c r="I895" s="54">
        <f>STOCK[[#This Row],[Precio Venta Ideal (x1.5)]]</f>
        <v>21.5294117647059</v>
      </c>
      <c r="J895" s="71">
        <v>1</v>
      </c>
      <c r="K895" s="71">
        <f>SUMIFS(VENTAS[Cantidad],VENTAS[Código del producto Vendido],STOCK[[#This Row],[Code]])</f>
        <v>1</v>
      </c>
      <c r="L895" s="71">
        <f>STOCK[[#This Row],[Entradas]]-STOCK[[#This Row],[Salidas]]</f>
        <v>0</v>
      </c>
      <c r="M895" s="54">
        <f>STOCK[[#This Row],[Precio Final]]*10%</f>
        <v>2</v>
      </c>
      <c r="N895" s="54">
        <v>142</v>
      </c>
      <c r="O895" s="54">
        <v>17</v>
      </c>
      <c r="P895" s="54">
        <v>8.35294117647059</v>
      </c>
      <c r="Q895" s="71">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53" t="s">
        <v>1780</v>
      </c>
      <c r="F896" s="53" t="s">
        <v>211</v>
      </c>
      <c r="G896" s="53" t="s">
        <v>1601</v>
      </c>
      <c r="H896" s="53">
        <f>STOCK[[#This Row],[Precio Final]]</f>
        <v>20</v>
      </c>
      <c r="I896" s="53">
        <f>STOCK[[#This Row],[Precio Venta Ideal (x1.5)]]</f>
        <v>21.5294117647059</v>
      </c>
      <c r="J896" s="70">
        <v>2</v>
      </c>
      <c r="K896" s="70">
        <f>SUMIFS(VENTAS[Cantidad],VENTAS[Código del producto Vendido],STOCK[[#This Row],[Code]])</f>
        <v>2</v>
      </c>
      <c r="L896" s="70">
        <f>STOCK[[#This Row],[Entradas]]-STOCK[[#This Row],[Salidas]]</f>
        <v>0</v>
      </c>
      <c r="M896" s="53">
        <f>STOCK[[#This Row],[Precio Final]]*10%</f>
        <v>2</v>
      </c>
      <c r="N896" s="53">
        <v>142</v>
      </c>
      <c r="O896" s="53">
        <v>17</v>
      </c>
      <c r="P896" s="53">
        <v>8.35294117647059</v>
      </c>
      <c r="Q896" s="70">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54" t="s">
        <v>1780</v>
      </c>
      <c r="F897" s="54" t="s">
        <v>49</v>
      </c>
      <c r="G897" s="54" t="s">
        <v>1601</v>
      </c>
      <c r="H897" s="54">
        <f>STOCK[[#This Row],[Precio Final]]</f>
        <v>20</v>
      </c>
      <c r="I897" s="54">
        <f>STOCK[[#This Row],[Precio Venta Ideal (x1.5)]]</f>
        <v>21.5294117647059</v>
      </c>
      <c r="J897" s="71">
        <v>2</v>
      </c>
      <c r="K897" s="71">
        <f>SUMIFS(VENTAS[Cantidad],VENTAS[Código del producto Vendido],STOCK[[#This Row],[Code]])</f>
        <v>1</v>
      </c>
      <c r="L897" s="71">
        <f>STOCK[[#This Row],[Entradas]]-STOCK[[#This Row],[Salidas]]</f>
        <v>1</v>
      </c>
      <c r="M897" s="54">
        <f>STOCK[[#This Row],[Precio Final]]*10%</f>
        <v>2</v>
      </c>
      <c r="N897" s="54">
        <v>142</v>
      </c>
      <c r="O897" s="54">
        <v>17</v>
      </c>
      <c r="P897" s="54">
        <v>8.35294117647059</v>
      </c>
      <c r="Q897" s="71">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53" t="s">
        <v>1784</v>
      </c>
      <c r="F898" s="53" t="s">
        <v>525</v>
      </c>
      <c r="G898" s="53" t="s">
        <v>36</v>
      </c>
      <c r="H898" s="53">
        <f>STOCK[[#This Row],[Precio Final]]</f>
        <v>10</v>
      </c>
      <c r="I898" s="53">
        <f>STOCK[[#This Row],[Precio Venta Ideal (x1.5)]]</f>
        <v>7.23529411764707</v>
      </c>
      <c r="J898" s="70">
        <v>2</v>
      </c>
      <c r="K898" s="70">
        <f>SUMIFS(VENTAS[Cantidad],VENTAS[Código del producto Vendido],STOCK[[#This Row],[Code]])</f>
        <v>2</v>
      </c>
      <c r="L898" s="70">
        <f>STOCK[[#This Row],[Entradas]]-STOCK[[#This Row],[Salidas]]</f>
        <v>0</v>
      </c>
      <c r="M898" s="53">
        <f>STOCK[[#This Row],[Precio Final]]*10%</f>
        <v>1</v>
      </c>
      <c r="N898" s="53">
        <v>48</v>
      </c>
      <c r="O898" s="53">
        <v>17</v>
      </c>
      <c r="P898" s="53">
        <v>2.82352941176471</v>
      </c>
      <c r="Q898" s="70">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54" t="s">
        <v>1747</v>
      </c>
      <c r="F899" s="54" t="s">
        <v>49</v>
      </c>
      <c r="G899" s="54" t="s">
        <v>36</v>
      </c>
      <c r="H899" s="54">
        <f>STOCK[[#This Row],[Precio Final]]</f>
        <v>20</v>
      </c>
      <c r="I899" s="54">
        <f>STOCK[[#This Row],[Precio Venta Ideal (x1.5)]]</f>
        <v>17.3823529411765</v>
      </c>
      <c r="J899" s="71">
        <v>1</v>
      </c>
      <c r="K899" s="71">
        <f>SUMIFS(VENTAS[Cantidad],VENTAS[Código del producto Vendido],STOCK[[#This Row],[Code]])</f>
        <v>1</v>
      </c>
      <c r="L899" s="71">
        <f>STOCK[[#This Row],[Entradas]]-STOCK[[#This Row],[Salidas]]</f>
        <v>0</v>
      </c>
      <c r="M899" s="54">
        <f>STOCK[[#This Row],[Precio Final]]*10%</f>
        <v>2</v>
      </c>
      <c r="N899" s="54">
        <v>112</v>
      </c>
      <c r="O899" s="54">
        <v>17</v>
      </c>
      <c r="P899" s="54">
        <v>6.58823529411765</v>
      </c>
      <c r="Q899" s="71">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53" t="s">
        <v>1787</v>
      </c>
      <c r="F900" s="53" t="s">
        <v>46</v>
      </c>
      <c r="G900" s="53" t="s">
        <v>36</v>
      </c>
      <c r="H900" s="53">
        <f>STOCK[[#This Row],[Precio Final]]</f>
        <v>20</v>
      </c>
      <c r="I900" s="53">
        <f>STOCK[[#This Row],[Precio Venta Ideal (x1.5)]]</f>
        <v>17.3823529411765</v>
      </c>
      <c r="J900" s="70">
        <v>1</v>
      </c>
      <c r="K900" s="70">
        <f>SUMIFS(VENTAS[Cantidad],VENTAS[Código del producto Vendido],STOCK[[#This Row],[Code]])</f>
        <v>1</v>
      </c>
      <c r="L900" s="70">
        <f>STOCK[[#This Row],[Entradas]]-STOCK[[#This Row],[Salidas]]</f>
        <v>0</v>
      </c>
      <c r="M900" s="53">
        <f>STOCK[[#This Row],[Precio Final]]*10%</f>
        <v>2</v>
      </c>
      <c r="N900" s="53">
        <v>112</v>
      </c>
      <c r="O900" s="53">
        <v>17</v>
      </c>
      <c r="P900" s="53">
        <v>6.58823529411765</v>
      </c>
      <c r="Q900" s="70">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54" t="s">
        <v>1790</v>
      </c>
      <c r="F901" s="54" t="s">
        <v>1791</v>
      </c>
      <c r="G901" s="54" t="s">
        <v>36</v>
      </c>
      <c r="H901" s="54">
        <f>STOCK[[#This Row],[Precio Final]]</f>
        <v>8</v>
      </c>
      <c r="I901" s="54">
        <f>STOCK[[#This Row],[Precio Venta Ideal (x1.5)]]</f>
        <v>7.55294117647059</v>
      </c>
      <c r="J901" s="71">
        <v>2</v>
      </c>
      <c r="K901" s="71">
        <f>SUMIFS(VENTAS[Cantidad],VENTAS[Código del producto Vendido],STOCK[[#This Row],[Code]])</f>
        <v>2</v>
      </c>
      <c r="L901" s="71">
        <f>STOCK[[#This Row],[Entradas]]-STOCK[[#This Row],[Salidas]]</f>
        <v>0</v>
      </c>
      <c r="M901" s="54">
        <f>STOCK[[#This Row],[Precio Final]]*10%</f>
        <v>0.8</v>
      </c>
      <c r="N901" s="54">
        <v>55</v>
      </c>
      <c r="O901" s="54">
        <v>17</v>
      </c>
      <c r="P901" s="54">
        <v>3.23529411764706</v>
      </c>
      <c r="Q901" s="71">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53" t="s">
        <v>1793</v>
      </c>
      <c r="F902" s="53" t="s">
        <v>525</v>
      </c>
      <c r="G902" s="53" t="s">
        <v>36</v>
      </c>
      <c r="H902" s="53">
        <f>STOCK[[#This Row],[Precio Final]]</f>
        <v>8</v>
      </c>
      <c r="I902" s="53">
        <f>STOCK[[#This Row],[Precio Venta Ideal (x1.5)]]</f>
        <v>6.84705882352941</v>
      </c>
      <c r="J902" s="70">
        <v>1</v>
      </c>
      <c r="K902" s="70">
        <f>SUMIFS(VENTAS[Cantidad],VENTAS[Código del producto Vendido],STOCK[[#This Row],[Code]])</f>
        <v>1</v>
      </c>
      <c r="L902" s="70">
        <f>STOCK[[#This Row],[Entradas]]-STOCK[[#This Row],[Salidas]]</f>
        <v>0</v>
      </c>
      <c r="M902" s="53">
        <f>STOCK[[#This Row],[Precio Final]]*10%</f>
        <v>0.8</v>
      </c>
      <c r="N902" s="53">
        <v>47</v>
      </c>
      <c r="O902" s="53">
        <v>17</v>
      </c>
      <c r="P902" s="53">
        <v>2.76470588235294</v>
      </c>
      <c r="Q902" s="70">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4"/>
      <c r="C903" s="54" t="s">
        <v>32</v>
      </c>
      <c r="D903" s="54" t="s">
        <v>1795</v>
      </c>
      <c r="E903" s="54" t="s">
        <v>1796</v>
      </c>
      <c r="F903" s="54" t="s">
        <v>1797</v>
      </c>
      <c r="G903" s="54" t="s">
        <v>36</v>
      </c>
      <c r="H903" s="54">
        <f>STOCK[[#This Row],[Precio Final]]</f>
        <v>2</v>
      </c>
      <c r="I903" s="54">
        <f>STOCK[[#This Row],[Precio Venta Ideal (x1.5)]]</f>
        <v>2.38676470588235</v>
      </c>
      <c r="J903" s="71">
        <v>3</v>
      </c>
      <c r="K903" s="71">
        <f>SUMIFS(VENTAS[Cantidad],VENTAS[Código del producto Vendido],STOCK[[#This Row],[Code]])</f>
        <v>3</v>
      </c>
      <c r="L903" s="71">
        <f>STOCK[[#This Row],[Entradas]]-STOCK[[#This Row],[Salidas]]</f>
        <v>0</v>
      </c>
      <c r="M903" s="54">
        <f>STOCK[[#This Row],[Precio Final]]*10%</f>
        <v>0.2</v>
      </c>
      <c r="N903" s="54">
        <v>16</v>
      </c>
      <c r="O903" s="54">
        <v>17</v>
      </c>
      <c r="P903" s="54">
        <v>0.941176470588235</v>
      </c>
      <c r="Q903" s="71">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53" t="s">
        <v>1796</v>
      </c>
      <c r="F904" s="53" t="s">
        <v>525</v>
      </c>
      <c r="G904" s="53" t="s">
        <v>36</v>
      </c>
      <c r="H904" s="53">
        <f>STOCK[[#This Row],[Precio Final]]</f>
        <v>2</v>
      </c>
      <c r="I904" s="53">
        <f>STOCK[[#This Row],[Precio Venta Ideal (x1.5)]]</f>
        <v>2.38676470588235</v>
      </c>
      <c r="J904" s="70">
        <v>3</v>
      </c>
      <c r="K904" s="70">
        <f>SUMIFS(VENTAS[Cantidad],VENTAS[Código del producto Vendido],STOCK[[#This Row],[Code]])</f>
        <v>2</v>
      </c>
      <c r="L904" s="70">
        <f>STOCK[[#This Row],[Entradas]]-STOCK[[#This Row],[Salidas]]</f>
        <v>1</v>
      </c>
      <c r="M904" s="53">
        <f>STOCK[[#This Row],[Precio Final]]*10%</f>
        <v>0.2</v>
      </c>
      <c r="N904" s="53">
        <v>16</v>
      </c>
      <c r="O904" s="53">
        <v>17</v>
      </c>
      <c r="P904" s="53">
        <v>0.941176470588235</v>
      </c>
      <c r="Q904" s="70">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54" t="s">
        <v>1796</v>
      </c>
      <c r="F905" s="54" t="s">
        <v>1801</v>
      </c>
      <c r="G905" s="54" t="s">
        <v>36</v>
      </c>
      <c r="H905" s="54">
        <f>STOCK[[#This Row],[Precio Final]]</f>
        <v>2</v>
      </c>
      <c r="I905" s="54">
        <f>STOCK[[#This Row],[Precio Venta Ideal (x1.5)]]</f>
        <v>2.38676470588235</v>
      </c>
      <c r="J905" s="71">
        <v>3</v>
      </c>
      <c r="K905" s="71">
        <f>SUMIFS(VENTAS[Cantidad],VENTAS[Código del producto Vendido],STOCK[[#This Row],[Code]])</f>
        <v>3</v>
      </c>
      <c r="L905" s="71">
        <f>STOCK[[#This Row],[Entradas]]-STOCK[[#This Row],[Salidas]]</f>
        <v>0</v>
      </c>
      <c r="M905" s="54">
        <f>STOCK[[#This Row],[Precio Final]]*10%</f>
        <v>0.2</v>
      </c>
      <c r="N905" s="54">
        <v>16</v>
      </c>
      <c r="O905" s="54">
        <v>17</v>
      </c>
      <c r="P905" s="54">
        <v>0.941176470588235</v>
      </c>
      <c r="Q905" s="71">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53" t="s">
        <v>1803</v>
      </c>
      <c r="F906" s="53" t="s">
        <v>62</v>
      </c>
      <c r="G906" s="53" t="s">
        <v>36</v>
      </c>
      <c r="H906" s="53">
        <f>STOCK[[#This Row],[Precio Final]]</f>
        <v>25</v>
      </c>
      <c r="I906" s="53">
        <f>STOCK[[#This Row],[Precio Venta Ideal (x1.5)]]</f>
        <v>23.1617647058824</v>
      </c>
      <c r="J906" s="70">
        <v>2</v>
      </c>
      <c r="K906" s="70">
        <f>SUMIFS(VENTAS[Cantidad],VENTAS[Código del producto Vendido],STOCK[[#This Row],[Code]])</f>
        <v>3</v>
      </c>
      <c r="L906" s="70">
        <f>STOCK[[#This Row],[Entradas]]-STOCK[[#This Row],[Salidas]]</f>
        <v>-1</v>
      </c>
      <c r="M906" s="53">
        <f>STOCK[[#This Row],[Precio Final]]*10%</f>
        <v>2.5</v>
      </c>
      <c r="N906" s="53">
        <v>169</v>
      </c>
      <c r="O906" s="53">
        <v>17</v>
      </c>
      <c r="P906" s="53">
        <v>9.94117647058824</v>
      </c>
      <c r="Q906" s="70">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54" t="s">
        <v>1805</v>
      </c>
      <c r="F907" s="54" t="s">
        <v>1806</v>
      </c>
      <c r="G907" s="54" t="s">
        <v>36</v>
      </c>
      <c r="H907" s="54">
        <f>STOCK[[#This Row],[Precio Final]]</f>
        <v>35</v>
      </c>
      <c r="I907" s="54">
        <f>STOCK[[#This Row],[Precio Venta Ideal (x1.5)]]</f>
        <v>36.0441176470588</v>
      </c>
      <c r="J907" s="71">
        <v>1</v>
      </c>
      <c r="K907" s="71">
        <f>SUMIFS(VENTAS[Cantidad],VENTAS[Código del producto Vendido],STOCK[[#This Row],[Code]])</f>
        <v>0</v>
      </c>
      <c r="L907" s="71">
        <f>STOCK[[#This Row],[Entradas]]-STOCK[[#This Row],[Salidas]]</f>
        <v>1</v>
      </c>
      <c r="M907" s="54">
        <f>STOCK[[#This Row],[Precio Final]]*10%</f>
        <v>3.5</v>
      </c>
      <c r="N907" s="54">
        <v>264</v>
      </c>
      <c r="O907" s="54">
        <v>17</v>
      </c>
      <c r="P907" s="54">
        <v>15.5294117647059</v>
      </c>
      <c r="Q907" s="71">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5"/>
      <c r="C908" s="53" t="s">
        <v>32</v>
      </c>
      <c r="D908" s="53" t="s">
        <v>1808</v>
      </c>
      <c r="E908" s="53" t="s">
        <v>1809</v>
      </c>
      <c r="F908" s="53" t="s">
        <v>529</v>
      </c>
      <c r="G908" s="53" t="s">
        <v>36</v>
      </c>
      <c r="H908" s="53">
        <f>STOCK[[#This Row],[Precio Final]]</f>
        <v>3</v>
      </c>
      <c r="I908" s="53">
        <f>STOCK[[#This Row],[Precio Venta Ideal (x1.5)]]</f>
        <v>3.05294117647059</v>
      </c>
      <c r="J908" s="70">
        <v>3</v>
      </c>
      <c r="K908" s="70">
        <f>SUMIFS(VENTAS[Cantidad],VENTAS[Código del producto Vendido],STOCK[[#This Row],[Code]])</f>
        <v>3</v>
      </c>
      <c r="L908" s="70">
        <f>STOCK[[#This Row],[Entradas]]-STOCK[[#This Row],[Salidas]]</f>
        <v>0</v>
      </c>
      <c r="M908" s="53">
        <f>STOCK[[#This Row],[Precio Final]]*10%</f>
        <v>0.3</v>
      </c>
      <c r="N908" s="53">
        <v>21</v>
      </c>
      <c r="O908" s="53">
        <v>17</v>
      </c>
      <c r="P908" s="53">
        <v>1.23529411764706</v>
      </c>
      <c r="Q908" s="70">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54" t="s">
        <v>1811</v>
      </c>
      <c r="F909" s="54" t="s">
        <v>529</v>
      </c>
      <c r="G909" s="54" t="s">
        <v>1812</v>
      </c>
      <c r="H909" s="54">
        <f>STOCK[[#This Row],[Precio Final]]</f>
        <v>3</v>
      </c>
      <c r="I909" s="54">
        <f>STOCK[[#This Row],[Precio Venta Ideal (x1.5)]]</f>
        <v>3.31764705882352</v>
      </c>
      <c r="J909" s="71">
        <v>1</v>
      </c>
      <c r="K909" s="71">
        <f>SUMIFS(VENTAS[Cantidad],VENTAS[Código del producto Vendido],STOCK[[#This Row],[Code]])</f>
        <v>1</v>
      </c>
      <c r="L909" s="71">
        <f>STOCK[[#This Row],[Entradas]]-STOCK[[#This Row],[Salidas]]</f>
        <v>0</v>
      </c>
      <c r="M909" s="54">
        <f>STOCK[[#This Row],[Precio Final]]*10%</f>
        <v>0.3</v>
      </c>
      <c r="N909" s="54">
        <v>24</v>
      </c>
      <c r="O909" s="54">
        <v>17</v>
      </c>
      <c r="P909" s="54">
        <v>1.41176470588235</v>
      </c>
      <c r="Q909" s="71">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53" t="s">
        <v>1814</v>
      </c>
      <c r="F910" s="53" t="s">
        <v>1713</v>
      </c>
      <c r="G910" s="53" t="s">
        <v>36</v>
      </c>
      <c r="H910" s="53">
        <f>STOCK[[#This Row],[Precio Final]]</f>
        <v>40</v>
      </c>
      <c r="I910" s="53">
        <f>STOCK[[#This Row],[Precio Venta Ideal (x1.5)]]</f>
        <v>40.4117647058823</v>
      </c>
      <c r="J910" s="70">
        <v>2</v>
      </c>
      <c r="K910" s="70">
        <f>SUMIFS(VENTAS[Cantidad],VENTAS[Código del producto Vendido],STOCK[[#This Row],[Code]])</f>
        <v>2</v>
      </c>
      <c r="L910" s="70">
        <f>STOCK[[#This Row],[Entradas]]-STOCK[[#This Row],[Salidas]]</f>
        <v>0</v>
      </c>
      <c r="M910" s="53">
        <f>STOCK[[#This Row],[Precio Final]]*10%</f>
        <v>4</v>
      </c>
      <c r="N910" s="53">
        <v>305</v>
      </c>
      <c r="O910" s="53">
        <v>17</v>
      </c>
      <c r="P910" s="53">
        <v>17.9411764705882</v>
      </c>
      <c r="Q910" s="70">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54" t="s">
        <v>1817</v>
      </c>
      <c r="F911" s="54" t="s">
        <v>49</v>
      </c>
      <c r="G911" s="54" t="s">
        <v>36</v>
      </c>
      <c r="H911" s="54">
        <f>STOCK[[#This Row],[Precio Final]]</f>
        <v>25</v>
      </c>
      <c r="I911" s="54">
        <f>STOCK[[#This Row],[Precio Venta Ideal (x1.5)]]</f>
        <v>13.8970588235294</v>
      </c>
      <c r="J911" s="71">
        <v>1</v>
      </c>
      <c r="K911" s="71">
        <f>SUMIFS(VENTAS[Cantidad],VENTAS[Código del producto Vendido],STOCK[[#This Row],[Code]])</f>
        <v>0</v>
      </c>
      <c r="L911" s="71">
        <f>STOCK[[#This Row],[Entradas]]-STOCK[[#This Row],[Salidas]]</f>
        <v>1</v>
      </c>
      <c r="M911" s="54">
        <f>STOCK[[#This Row],[Precio Final]]*10%</f>
        <v>2.5</v>
      </c>
      <c r="N911" s="54">
        <v>115</v>
      </c>
      <c r="O911" s="54">
        <v>17</v>
      </c>
      <c r="P911" s="54">
        <v>6.76470588235294</v>
      </c>
      <c r="Q911" s="71">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53" t="s">
        <v>1820</v>
      </c>
      <c r="F912" s="53" t="s">
        <v>1821</v>
      </c>
      <c r="G912" s="53" t="s">
        <v>1296</v>
      </c>
      <c r="H912" s="53">
        <f>STOCK[[#This Row],[Precio Final]]</f>
        <v>22</v>
      </c>
      <c r="I912" s="53">
        <f>STOCK[[#This Row],[Precio Venta Ideal (x1.5)]]</f>
        <v>19.485</v>
      </c>
      <c r="J912" s="70">
        <v>4</v>
      </c>
      <c r="K912" s="70">
        <f>SUMIFS(VENTAS[Cantidad],VENTAS[Código del producto Vendido],STOCK[[#This Row],[Code]])</f>
        <v>4</v>
      </c>
      <c r="L912" s="70">
        <f>STOCK[[#This Row],[Entradas]]-STOCK[[#This Row],[Salidas]]</f>
        <v>0</v>
      </c>
      <c r="M912" s="53">
        <f>STOCK[[#This Row],[Precio Final]]*10%</f>
        <v>2.2</v>
      </c>
      <c r="N912" s="53">
        <v>0</v>
      </c>
      <c r="O912" s="53">
        <v>0</v>
      </c>
      <c r="P912" s="53">
        <v>8.99</v>
      </c>
      <c r="Q912" s="70">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54" t="s">
        <v>1820</v>
      </c>
      <c r="F913" s="54" t="s">
        <v>1824</v>
      </c>
      <c r="G913" s="54" t="s">
        <v>1296</v>
      </c>
      <c r="H913" s="54">
        <f>STOCK[[#This Row],[Precio Final]]</f>
        <v>22</v>
      </c>
      <c r="I913" s="54">
        <f>STOCK[[#This Row],[Precio Venta Ideal (x1.5)]]</f>
        <v>19.485</v>
      </c>
      <c r="J913" s="71">
        <v>1</v>
      </c>
      <c r="K913" s="71">
        <f>SUMIFS(VENTAS[Cantidad],VENTAS[Código del producto Vendido],STOCK[[#This Row],[Code]])</f>
        <v>1</v>
      </c>
      <c r="L913" s="71">
        <f>STOCK[[#This Row],[Entradas]]-STOCK[[#This Row],[Salidas]]</f>
        <v>0</v>
      </c>
      <c r="M913" s="54">
        <f>STOCK[[#This Row],[Precio Final]]*10%</f>
        <v>2.2</v>
      </c>
      <c r="N913" s="54">
        <v>0</v>
      </c>
      <c r="O913" s="54">
        <v>0</v>
      </c>
      <c r="P913" s="54">
        <v>8.99</v>
      </c>
      <c r="Q913" s="71">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53" t="s">
        <v>1820</v>
      </c>
      <c r="F914" s="53" t="s">
        <v>1826</v>
      </c>
      <c r="G914" s="53" t="s">
        <v>1296</v>
      </c>
      <c r="H914" s="53">
        <f>STOCK[[#This Row],[Precio Final]]</f>
        <v>22</v>
      </c>
      <c r="I914" s="53">
        <f>STOCK[[#This Row],[Precio Venta Ideal (x1.5)]]</f>
        <v>19.485</v>
      </c>
      <c r="J914" s="70">
        <v>2</v>
      </c>
      <c r="K914" s="70">
        <f>SUMIFS(VENTAS[Cantidad],VENTAS[Código del producto Vendido],STOCK[[#This Row],[Code]])</f>
        <v>2</v>
      </c>
      <c r="L914" s="70">
        <f>STOCK[[#This Row],[Entradas]]-STOCK[[#This Row],[Salidas]]</f>
        <v>0</v>
      </c>
      <c r="M914" s="53">
        <f>STOCK[[#This Row],[Precio Final]]*10%</f>
        <v>2.2</v>
      </c>
      <c r="N914" s="53">
        <v>0</v>
      </c>
      <c r="O914" s="53">
        <v>0</v>
      </c>
      <c r="P914" s="53">
        <v>8.99</v>
      </c>
      <c r="Q914" s="70">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54" t="s">
        <v>1828</v>
      </c>
      <c r="F915" s="54" t="s">
        <v>525</v>
      </c>
      <c r="G915" s="54" t="s">
        <v>1296</v>
      </c>
      <c r="H915" s="54">
        <f>STOCK[[#This Row],[Precio Final]]</f>
        <v>25</v>
      </c>
      <c r="I915" s="54">
        <f>STOCK[[#This Row],[Precio Venta Ideal (x1.5)]]</f>
        <v>21.435</v>
      </c>
      <c r="J915" s="71">
        <v>2</v>
      </c>
      <c r="K915" s="71">
        <f>SUMIFS(VENTAS[Cantidad],VENTAS[Código del producto Vendido],STOCK[[#This Row],[Code]])</f>
        <v>1</v>
      </c>
      <c r="L915" s="71">
        <f>STOCK[[#This Row],[Entradas]]-STOCK[[#This Row],[Salidas]]</f>
        <v>1</v>
      </c>
      <c r="M915" s="54">
        <f>STOCK[[#This Row],[Precio Final]]*10%</f>
        <v>2.5</v>
      </c>
      <c r="N915" s="54">
        <v>0</v>
      </c>
      <c r="O915" s="54">
        <v>0</v>
      </c>
      <c r="P915" s="54">
        <v>9.99</v>
      </c>
      <c r="Q915" s="71">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53" t="s">
        <v>1831</v>
      </c>
      <c r="F916" s="53" t="s">
        <v>46</v>
      </c>
      <c r="G916" s="53" t="s">
        <v>1296</v>
      </c>
      <c r="H916" s="53">
        <f>STOCK[[#This Row],[Precio Final]]</f>
        <v>30</v>
      </c>
      <c r="I916" s="53">
        <f>STOCK[[#This Row],[Precio Venta Ideal (x1.5)]]</f>
        <v>29.685</v>
      </c>
      <c r="J916" s="70">
        <v>2</v>
      </c>
      <c r="K916" s="70">
        <f>SUMIFS(VENTAS[Cantidad],VENTAS[Código del producto Vendido],STOCK[[#This Row],[Code]])</f>
        <v>1</v>
      </c>
      <c r="L916" s="70">
        <f>STOCK[[#This Row],[Entradas]]-STOCK[[#This Row],[Salidas]]</f>
        <v>1</v>
      </c>
      <c r="M916" s="53">
        <f>STOCK[[#This Row],[Precio Final]]*10%</f>
        <v>3</v>
      </c>
      <c r="N916" s="53">
        <v>0</v>
      </c>
      <c r="O916" s="53">
        <v>0</v>
      </c>
      <c r="P916" s="53">
        <v>14.99</v>
      </c>
      <c r="Q916" s="70">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54" t="s">
        <v>1833</v>
      </c>
      <c r="F917" s="54" t="s">
        <v>62</v>
      </c>
      <c r="G917" s="54" t="s">
        <v>1296</v>
      </c>
      <c r="H917" s="54">
        <f>STOCK[[#This Row],[Precio Final]]</f>
        <v>25</v>
      </c>
      <c r="I917" s="54">
        <f>STOCK[[#This Row],[Precio Venta Ideal (x1.5)]]</f>
        <v>21.435</v>
      </c>
      <c r="J917" s="71">
        <v>1</v>
      </c>
      <c r="K917" s="71">
        <f>SUMIFS(VENTAS[Cantidad],VENTAS[Código del producto Vendido],STOCK[[#This Row],[Code]])</f>
        <v>1</v>
      </c>
      <c r="L917" s="71">
        <f>STOCK[[#This Row],[Entradas]]-STOCK[[#This Row],[Salidas]]</f>
        <v>0</v>
      </c>
      <c r="M917" s="54">
        <f>STOCK[[#This Row],[Precio Final]]*10%</f>
        <v>2.5</v>
      </c>
      <c r="N917" s="54">
        <v>0</v>
      </c>
      <c r="O917" s="54">
        <v>0</v>
      </c>
      <c r="P917" s="54">
        <v>9.99</v>
      </c>
      <c r="Q917" s="71">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53" t="s">
        <v>1833</v>
      </c>
      <c r="F918" s="53" t="s">
        <v>49</v>
      </c>
      <c r="G918" s="53" t="s">
        <v>1296</v>
      </c>
      <c r="H918" s="53">
        <f>STOCK[[#This Row],[Precio Final]]</f>
        <v>25</v>
      </c>
      <c r="I918" s="53">
        <f>STOCK[[#This Row],[Precio Venta Ideal (x1.5)]]</f>
        <v>21.435</v>
      </c>
      <c r="J918" s="70">
        <v>1</v>
      </c>
      <c r="K918" s="70">
        <f>SUMIFS(VENTAS[Cantidad],VENTAS[Código del producto Vendido],STOCK[[#This Row],[Code]])</f>
        <v>1</v>
      </c>
      <c r="L918" s="70">
        <f>STOCK[[#This Row],[Entradas]]-STOCK[[#This Row],[Salidas]]</f>
        <v>0</v>
      </c>
      <c r="M918" s="53">
        <f>STOCK[[#This Row],[Precio Final]]*10%</f>
        <v>2.5</v>
      </c>
      <c r="N918" s="53">
        <v>0</v>
      </c>
      <c r="O918" s="53">
        <v>0</v>
      </c>
      <c r="P918" s="53">
        <v>9.99</v>
      </c>
      <c r="Q918" s="70">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54" t="s">
        <v>1836</v>
      </c>
      <c r="F919" s="54" t="s">
        <v>1837</v>
      </c>
      <c r="G919" s="54" t="s">
        <v>1296</v>
      </c>
      <c r="H919" s="54">
        <f>STOCK[[#This Row],[Precio Final]]</f>
        <v>30</v>
      </c>
      <c r="I919" s="54">
        <f>STOCK[[#This Row],[Precio Venta Ideal (x1.5)]]</f>
        <v>22.185</v>
      </c>
      <c r="J919" s="71">
        <v>3</v>
      </c>
      <c r="K919" s="71">
        <f>SUMIFS(VENTAS[Cantidad],VENTAS[Código del producto Vendido],STOCK[[#This Row],[Code]])</f>
        <v>1</v>
      </c>
      <c r="L919" s="71">
        <f>STOCK[[#This Row],[Entradas]]-STOCK[[#This Row],[Salidas]]</f>
        <v>2</v>
      </c>
      <c r="M919" s="54">
        <f>STOCK[[#This Row],[Precio Final]]*10%</f>
        <v>3</v>
      </c>
      <c r="N919" s="54">
        <v>0</v>
      </c>
      <c r="O919" s="54">
        <v>0</v>
      </c>
      <c r="P919" s="54">
        <v>9.99</v>
      </c>
      <c r="Q919" s="71">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53" t="s">
        <v>1839</v>
      </c>
      <c r="F920" s="53" t="s">
        <v>1840</v>
      </c>
      <c r="G920" s="53" t="s">
        <v>1296</v>
      </c>
      <c r="H920" s="53">
        <f>STOCK[[#This Row],[Precio Final]]</f>
        <v>20</v>
      </c>
      <c r="I920" s="53">
        <f>STOCK[[#This Row],[Precio Venta Ideal (x1.5)]]</f>
        <v>20.685</v>
      </c>
      <c r="J920" s="70">
        <v>2</v>
      </c>
      <c r="K920" s="70">
        <f>SUMIFS(VENTAS[Cantidad],VENTAS[Código del producto Vendido],STOCK[[#This Row],[Code]])</f>
        <v>2</v>
      </c>
      <c r="L920" s="70">
        <f>STOCK[[#This Row],[Entradas]]-STOCK[[#This Row],[Salidas]]</f>
        <v>0</v>
      </c>
      <c r="M920" s="53">
        <f>STOCK[[#This Row],[Precio Final]]*10%</f>
        <v>2</v>
      </c>
      <c r="N920" s="53">
        <v>0</v>
      </c>
      <c r="O920" s="53">
        <v>0</v>
      </c>
      <c r="P920" s="53">
        <v>9.99</v>
      </c>
      <c r="Q920" s="70">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54" t="s">
        <v>1839</v>
      </c>
      <c r="F921" s="54" t="s">
        <v>1842</v>
      </c>
      <c r="G921" s="54" t="s">
        <v>1296</v>
      </c>
      <c r="H921" s="54">
        <f>STOCK[[#This Row],[Precio Final]]</f>
        <v>20</v>
      </c>
      <c r="I921" s="54">
        <f>STOCK[[#This Row],[Precio Venta Ideal (x1.5)]]</f>
        <v>20.685</v>
      </c>
      <c r="J921" s="71">
        <v>2</v>
      </c>
      <c r="K921" s="71">
        <f>SUMIFS(VENTAS[Cantidad],VENTAS[Código del producto Vendido],STOCK[[#This Row],[Code]])</f>
        <v>2</v>
      </c>
      <c r="L921" s="71">
        <f>STOCK[[#This Row],[Entradas]]-STOCK[[#This Row],[Salidas]]</f>
        <v>0</v>
      </c>
      <c r="M921" s="54">
        <f>STOCK[[#This Row],[Precio Final]]*10%</f>
        <v>2</v>
      </c>
      <c r="N921" s="54">
        <v>0</v>
      </c>
      <c r="O921" s="54">
        <v>0</v>
      </c>
      <c r="P921" s="54">
        <v>9.99</v>
      </c>
      <c r="Q921" s="71">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53" t="s">
        <v>1839</v>
      </c>
      <c r="F922" s="53" t="s">
        <v>1844</v>
      </c>
      <c r="G922" s="53" t="s">
        <v>1296</v>
      </c>
      <c r="H922" s="53">
        <f>STOCK[[#This Row],[Precio Final]]</f>
        <v>20</v>
      </c>
      <c r="I922" s="53">
        <f>STOCK[[#This Row],[Precio Venta Ideal (x1.5)]]</f>
        <v>20.685</v>
      </c>
      <c r="J922" s="70">
        <v>1</v>
      </c>
      <c r="K922" s="70">
        <f>SUMIFS(VENTAS[Cantidad],VENTAS[Código del producto Vendido],STOCK[[#This Row],[Code]])</f>
        <v>1</v>
      </c>
      <c r="L922" s="70">
        <f>STOCK[[#This Row],[Entradas]]-STOCK[[#This Row],[Salidas]]</f>
        <v>0</v>
      </c>
      <c r="M922" s="53">
        <f>STOCK[[#This Row],[Precio Final]]*10%</f>
        <v>2</v>
      </c>
      <c r="N922" s="53">
        <v>0</v>
      </c>
      <c r="O922" s="53">
        <v>0</v>
      </c>
      <c r="P922" s="53">
        <v>9.99</v>
      </c>
      <c r="Q922" s="70">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54" t="s">
        <v>1846</v>
      </c>
      <c r="F923" s="54" t="s">
        <v>49</v>
      </c>
      <c r="G923" s="54" t="s">
        <v>1296</v>
      </c>
      <c r="H923" s="54">
        <f>STOCK[[#This Row],[Precio Final]]</f>
        <v>30</v>
      </c>
      <c r="I923" s="54">
        <f>STOCK[[#This Row],[Precio Venta Ideal (x1.5)]]</f>
        <v>25.935</v>
      </c>
      <c r="J923" s="71">
        <v>1</v>
      </c>
      <c r="K923" s="71">
        <f>SUMIFS(VENTAS[Cantidad],VENTAS[Código del producto Vendido],STOCK[[#This Row],[Code]])</f>
        <v>0</v>
      </c>
      <c r="L923" s="71">
        <f>STOCK[[#This Row],[Entradas]]-STOCK[[#This Row],[Salidas]]</f>
        <v>1</v>
      </c>
      <c r="M923" s="54">
        <f>STOCK[[#This Row],[Precio Final]]*10%</f>
        <v>3</v>
      </c>
      <c r="N923" s="54">
        <v>0</v>
      </c>
      <c r="O923" s="54">
        <v>0</v>
      </c>
      <c r="P923" s="54">
        <v>12.49</v>
      </c>
      <c r="Q923" s="71">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53" t="s">
        <v>1848</v>
      </c>
      <c r="F924" s="53" t="s">
        <v>525</v>
      </c>
      <c r="G924" s="53" t="s">
        <v>1296</v>
      </c>
      <c r="H924" s="53">
        <f>STOCK[[#This Row],[Precio Final]]</f>
        <v>25</v>
      </c>
      <c r="I924" s="53">
        <f>STOCK[[#This Row],[Precio Venta Ideal (x1.5)]]</f>
        <v>23.685</v>
      </c>
      <c r="J924" s="70">
        <v>2</v>
      </c>
      <c r="K924" s="70">
        <f>SUMIFS(VENTAS[Cantidad],VENTAS[Código del producto Vendido],STOCK[[#This Row],[Code]])</f>
        <v>1</v>
      </c>
      <c r="L924" s="70">
        <f>STOCK[[#This Row],[Entradas]]-STOCK[[#This Row],[Salidas]]</f>
        <v>1</v>
      </c>
      <c r="M924" s="53">
        <f>STOCK[[#This Row],[Precio Final]]*10%</f>
        <v>2.5</v>
      </c>
      <c r="N924" s="53">
        <v>0</v>
      </c>
      <c r="O924" s="53">
        <v>0</v>
      </c>
      <c r="P924" s="53">
        <v>11.49</v>
      </c>
      <c r="Q924" s="70">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54" t="s">
        <v>1850</v>
      </c>
      <c r="F925" s="54" t="s">
        <v>525</v>
      </c>
      <c r="G925" s="54" t="s">
        <v>1296</v>
      </c>
      <c r="H925" s="54">
        <f>STOCK[[#This Row],[Precio Final]]</f>
        <v>18</v>
      </c>
      <c r="I925" s="54">
        <f>STOCK[[#This Row],[Precio Venta Ideal (x1.5)]]</f>
        <v>18.885</v>
      </c>
      <c r="J925" s="71">
        <v>2</v>
      </c>
      <c r="K925" s="71">
        <f>SUMIFS(VENTAS[Cantidad],VENTAS[Código del producto Vendido],STOCK[[#This Row],[Code]])</f>
        <v>1</v>
      </c>
      <c r="L925" s="71">
        <f>STOCK[[#This Row],[Entradas]]-STOCK[[#This Row],[Salidas]]</f>
        <v>1</v>
      </c>
      <c r="M925" s="54">
        <f>STOCK[[#This Row],[Precio Final]]*10%</f>
        <v>1.8</v>
      </c>
      <c r="N925" s="54">
        <v>0</v>
      </c>
      <c r="O925" s="54">
        <v>0</v>
      </c>
      <c r="P925" s="54">
        <v>8.99</v>
      </c>
      <c r="Q925" s="71">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53" t="s">
        <v>1852</v>
      </c>
      <c r="F926" s="53" t="s">
        <v>525</v>
      </c>
      <c r="G926" s="53" t="s">
        <v>1296</v>
      </c>
      <c r="H926" s="53">
        <f>STOCK[[#This Row],[Precio Final]]</f>
        <v>18</v>
      </c>
      <c r="I926" s="53">
        <f>STOCK[[#This Row],[Precio Venta Ideal (x1.5)]]</f>
        <v>20.385</v>
      </c>
      <c r="J926" s="70">
        <v>2</v>
      </c>
      <c r="K926" s="70">
        <f>SUMIFS(VENTAS[Cantidad],VENTAS[Código del producto Vendido],STOCK[[#This Row],[Code]])</f>
        <v>0</v>
      </c>
      <c r="L926" s="70">
        <f>STOCK[[#This Row],[Entradas]]-STOCK[[#This Row],[Salidas]]</f>
        <v>2</v>
      </c>
      <c r="M926" s="53">
        <f>STOCK[[#This Row],[Precio Final]]*10%</f>
        <v>1.8</v>
      </c>
      <c r="N926" s="53">
        <v>0</v>
      </c>
      <c r="O926" s="53">
        <v>0</v>
      </c>
      <c r="P926" s="53">
        <v>9.99</v>
      </c>
      <c r="Q926" s="70">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54" t="s">
        <v>1854</v>
      </c>
      <c r="F927" s="54" t="s">
        <v>1855</v>
      </c>
      <c r="G927" s="54" t="s">
        <v>1296</v>
      </c>
      <c r="H927" s="54">
        <f>STOCK[[#This Row],[Precio Final]]</f>
        <v>20</v>
      </c>
      <c r="I927" s="54">
        <f>STOCK[[#This Row],[Precio Venta Ideal (x1.5)]]</f>
        <v>19.185</v>
      </c>
      <c r="J927" s="71">
        <v>2</v>
      </c>
      <c r="K927" s="71">
        <f>SUMIFS(VENTAS[Cantidad],VENTAS[Código del producto Vendido],STOCK[[#This Row],[Code]])</f>
        <v>2</v>
      </c>
      <c r="L927" s="71">
        <f>STOCK[[#This Row],[Entradas]]-STOCK[[#This Row],[Salidas]]</f>
        <v>0</v>
      </c>
      <c r="M927" s="54">
        <f>STOCK[[#This Row],[Precio Final]]*10%</f>
        <v>2</v>
      </c>
      <c r="N927" s="54">
        <v>0</v>
      </c>
      <c r="O927" s="54">
        <v>0</v>
      </c>
      <c r="P927" s="54">
        <v>8.99</v>
      </c>
      <c r="Q927" s="71">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53" t="s">
        <v>1857</v>
      </c>
      <c r="F928" s="53" t="s">
        <v>1855</v>
      </c>
      <c r="G928" s="53" t="s">
        <v>1296</v>
      </c>
      <c r="H928" s="53">
        <f>STOCK[[#This Row],[Precio Final]]</f>
        <v>20</v>
      </c>
      <c r="I928" s="53">
        <f>STOCK[[#This Row],[Precio Venta Ideal (x1.5)]]</f>
        <v>19.185</v>
      </c>
      <c r="J928" s="70">
        <v>2</v>
      </c>
      <c r="K928" s="70">
        <f>SUMIFS(VENTAS[Cantidad],VENTAS[Código del producto Vendido],STOCK[[#This Row],[Code]])</f>
        <v>2</v>
      </c>
      <c r="L928" s="70">
        <f>STOCK[[#This Row],[Entradas]]-STOCK[[#This Row],[Salidas]]</f>
        <v>0</v>
      </c>
      <c r="M928" s="53">
        <f>STOCK[[#This Row],[Precio Final]]*10%</f>
        <v>2</v>
      </c>
      <c r="N928" s="53">
        <v>0</v>
      </c>
      <c r="O928" s="53">
        <v>0</v>
      </c>
      <c r="P928" s="53">
        <v>8.99</v>
      </c>
      <c r="Q928" s="70">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54" t="s">
        <v>1859</v>
      </c>
      <c r="F929" s="54" t="s">
        <v>525</v>
      </c>
      <c r="G929" s="54" t="s">
        <v>1296</v>
      </c>
      <c r="H929" s="54">
        <f>STOCK[[#This Row],[Precio Final]]</f>
        <v>20</v>
      </c>
      <c r="I929" s="54">
        <f>STOCK[[#This Row],[Precio Venta Ideal (x1.5)]]</f>
        <v>20.685</v>
      </c>
      <c r="J929" s="71">
        <v>2</v>
      </c>
      <c r="K929" s="71">
        <f>SUMIFS(VENTAS[Cantidad],VENTAS[Código del producto Vendido],STOCK[[#This Row],[Code]])</f>
        <v>1</v>
      </c>
      <c r="L929" s="71">
        <f>STOCK[[#This Row],[Entradas]]-STOCK[[#This Row],[Salidas]]</f>
        <v>1</v>
      </c>
      <c r="M929" s="54">
        <f>STOCK[[#This Row],[Precio Final]]*10%</f>
        <v>2</v>
      </c>
      <c r="N929" s="54">
        <v>0</v>
      </c>
      <c r="O929" s="54">
        <v>0</v>
      </c>
      <c r="P929" s="54">
        <v>9.99</v>
      </c>
      <c r="Q929" s="71">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53" t="s">
        <v>1861</v>
      </c>
      <c r="F930" s="53" t="s">
        <v>1855</v>
      </c>
      <c r="G930" s="53" t="s">
        <v>1296</v>
      </c>
      <c r="H930" s="53">
        <f>STOCK[[#This Row],[Precio Final]]</f>
        <v>25</v>
      </c>
      <c r="I930" s="53">
        <f>STOCK[[#This Row],[Precio Venta Ideal (x1.5)]]</f>
        <v>27.435</v>
      </c>
      <c r="J930" s="70">
        <v>2</v>
      </c>
      <c r="K930" s="70">
        <f>SUMIFS(VENTAS[Cantidad],VENTAS[Código del producto Vendido],STOCK[[#This Row],[Code]])</f>
        <v>2</v>
      </c>
      <c r="L930" s="70">
        <f>STOCK[[#This Row],[Entradas]]-STOCK[[#This Row],[Salidas]]</f>
        <v>0</v>
      </c>
      <c r="M930" s="53">
        <f>STOCK[[#This Row],[Precio Final]]*10%</f>
        <v>2.5</v>
      </c>
      <c r="N930" s="53">
        <v>0</v>
      </c>
      <c r="O930" s="53">
        <v>0</v>
      </c>
      <c r="P930" s="53">
        <v>13.99</v>
      </c>
      <c r="Q930" s="70">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54" t="s">
        <v>1863</v>
      </c>
      <c r="F931" s="54" t="s">
        <v>1855</v>
      </c>
      <c r="G931" s="54" t="s">
        <v>1296</v>
      </c>
      <c r="H931" s="54">
        <f>STOCK[[#This Row],[Precio Final]]</f>
        <v>25</v>
      </c>
      <c r="I931" s="54">
        <f>STOCK[[#This Row],[Precio Venta Ideal (x1.5)]]</f>
        <v>27.435</v>
      </c>
      <c r="J931" s="71">
        <v>2</v>
      </c>
      <c r="K931" s="71">
        <f>SUMIFS(VENTAS[Cantidad],VENTAS[Código del producto Vendido],STOCK[[#This Row],[Code]])</f>
        <v>2</v>
      </c>
      <c r="L931" s="71">
        <f>STOCK[[#This Row],[Entradas]]-STOCK[[#This Row],[Salidas]]</f>
        <v>0</v>
      </c>
      <c r="M931" s="54">
        <f>STOCK[[#This Row],[Precio Final]]*10%</f>
        <v>2.5</v>
      </c>
      <c r="N931" s="54">
        <v>0</v>
      </c>
      <c r="O931" s="54">
        <v>0</v>
      </c>
      <c r="P931" s="54">
        <v>13.99</v>
      </c>
      <c r="Q931" s="71">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53" t="s">
        <v>1865</v>
      </c>
      <c r="F932" s="53" t="s">
        <v>525</v>
      </c>
      <c r="G932" s="53" t="s">
        <v>1296</v>
      </c>
      <c r="H932" s="53">
        <f>STOCK[[#This Row],[Precio Final]]</f>
        <v>20</v>
      </c>
      <c r="I932" s="53">
        <f>STOCK[[#This Row],[Precio Venta Ideal (x1.5)]]</f>
        <v>20.685</v>
      </c>
      <c r="J932" s="70">
        <v>2</v>
      </c>
      <c r="K932" s="70">
        <f>SUMIFS(VENTAS[Cantidad],VENTAS[Código del producto Vendido],STOCK[[#This Row],[Code]])</f>
        <v>0</v>
      </c>
      <c r="L932" s="70">
        <f>STOCK[[#This Row],[Entradas]]-STOCK[[#This Row],[Salidas]]</f>
        <v>2</v>
      </c>
      <c r="M932" s="53">
        <f>STOCK[[#This Row],[Precio Final]]*10%</f>
        <v>2</v>
      </c>
      <c r="N932" s="53">
        <v>0</v>
      </c>
      <c r="O932" s="53">
        <v>0</v>
      </c>
      <c r="P932" s="53">
        <v>9.99</v>
      </c>
      <c r="Q932" s="70">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54" t="s">
        <v>1868</v>
      </c>
      <c r="F933" s="54" t="s">
        <v>40</v>
      </c>
      <c r="G933" s="54" t="s">
        <v>1296</v>
      </c>
      <c r="H933" s="54">
        <f>STOCK[[#This Row],[Precio Final]]</f>
        <v>40</v>
      </c>
      <c r="I933" s="54">
        <f>STOCK[[#This Row],[Precio Venta Ideal (x1.5)]]</f>
        <v>42.435</v>
      </c>
      <c r="J933" s="71">
        <v>1</v>
      </c>
      <c r="K933" s="71">
        <f>SUMIFS(VENTAS[Cantidad],VENTAS[Código del producto Vendido],STOCK[[#This Row],[Code]])</f>
        <v>1</v>
      </c>
      <c r="L933" s="71">
        <f>STOCK[[#This Row],[Entradas]]-STOCK[[#This Row],[Salidas]]</f>
        <v>0</v>
      </c>
      <c r="M933" s="54">
        <f>STOCK[[#This Row],[Precio Final]]*10%</f>
        <v>4</v>
      </c>
      <c r="N933" s="54">
        <v>0</v>
      </c>
      <c r="O933" s="54">
        <v>0</v>
      </c>
      <c r="P933" s="54">
        <v>22.49</v>
      </c>
      <c r="Q933" s="71">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53" t="s">
        <v>1868</v>
      </c>
      <c r="F934" s="53" t="s">
        <v>1870</v>
      </c>
      <c r="G934" s="53" t="s">
        <v>1296</v>
      </c>
      <c r="H934" s="53">
        <f>STOCK[[#This Row],[Precio Final]]</f>
        <v>40</v>
      </c>
      <c r="I934" s="53">
        <f>STOCK[[#This Row],[Precio Venta Ideal (x1.5)]]</f>
        <v>42.435</v>
      </c>
      <c r="J934" s="70">
        <v>1</v>
      </c>
      <c r="K934" s="70">
        <f>SUMIFS(VENTAS[Cantidad],VENTAS[Código del producto Vendido],STOCK[[#This Row],[Code]])</f>
        <v>1</v>
      </c>
      <c r="L934" s="70">
        <f>STOCK[[#This Row],[Entradas]]-STOCK[[#This Row],[Salidas]]</f>
        <v>0</v>
      </c>
      <c r="M934" s="53">
        <f>STOCK[[#This Row],[Precio Final]]*10%</f>
        <v>4</v>
      </c>
      <c r="N934" s="53">
        <v>0</v>
      </c>
      <c r="O934" s="53">
        <v>0</v>
      </c>
      <c r="P934" s="53">
        <v>22.49</v>
      </c>
      <c r="Q934" s="70">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54" t="s">
        <v>1868</v>
      </c>
      <c r="F935" s="54" t="s">
        <v>1844</v>
      </c>
      <c r="G935" s="54" t="s">
        <v>1296</v>
      </c>
      <c r="H935" s="54">
        <f>STOCK[[#This Row],[Precio Final]]</f>
        <v>40</v>
      </c>
      <c r="I935" s="54">
        <f>STOCK[[#This Row],[Precio Venta Ideal (x1.5)]]</f>
        <v>42.435</v>
      </c>
      <c r="J935" s="71">
        <v>1</v>
      </c>
      <c r="K935" s="71">
        <f>SUMIFS(VENTAS[Cantidad],VENTAS[Código del producto Vendido],STOCK[[#This Row],[Code]])</f>
        <v>1</v>
      </c>
      <c r="L935" s="71">
        <f>STOCK[[#This Row],[Entradas]]-STOCK[[#This Row],[Salidas]]</f>
        <v>0</v>
      </c>
      <c r="M935" s="54">
        <f>STOCK[[#This Row],[Precio Final]]*10%</f>
        <v>4</v>
      </c>
      <c r="N935" s="54">
        <v>0</v>
      </c>
      <c r="O935" s="54">
        <v>0</v>
      </c>
      <c r="P935" s="54">
        <v>22.49</v>
      </c>
      <c r="Q935" s="71">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53" t="s">
        <v>1868</v>
      </c>
      <c r="F936" s="53" t="s">
        <v>49</v>
      </c>
      <c r="G936" s="53" t="s">
        <v>1296</v>
      </c>
      <c r="H936" s="53">
        <f>STOCK[[#This Row],[Precio Final]]</f>
        <v>40</v>
      </c>
      <c r="I936" s="53">
        <f>STOCK[[#This Row],[Precio Venta Ideal (x1.5)]]</f>
        <v>42.435</v>
      </c>
      <c r="J936" s="70">
        <v>1</v>
      </c>
      <c r="K936" s="70">
        <f>SUMIFS(VENTAS[Cantidad],VENTAS[Código del producto Vendido],STOCK[[#This Row],[Code]])</f>
        <v>0</v>
      </c>
      <c r="L936" s="70">
        <f>STOCK[[#This Row],[Entradas]]-STOCK[[#This Row],[Salidas]]</f>
        <v>1</v>
      </c>
      <c r="M936" s="53">
        <f>STOCK[[#This Row],[Precio Final]]*10%</f>
        <v>4</v>
      </c>
      <c r="N936" s="53">
        <v>0</v>
      </c>
      <c r="O936" s="53">
        <v>0</v>
      </c>
      <c r="P936" s="53">
        <v>22.49</v>
      </c>
      <c r="Q936" s="70">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54" t="s">
        <v>1875</v>
      </c>
      <c r="F937" s="54" t="s">
        <v>42</v>
      </c>
      <c r="G937" s="54" t="s">
        <v>1876</v>
      </c>
      <c r="H937" s="54">
        <f>STOCK[[#This Row],[Precio Final]]</f>
        <v>30</v>
      </c>
      <c r="I937" s="54">
        <f>STOCK[[#This Row],[Precio Venta Ideal (x1.5)]]</f>
        <v>33.57</v>
      </c>
      <c r="J937" s="71">
        <v>1</v>
      </c>
      <c r="K937" s="71">
        <f>SUMIFS(VENTAS[Cantidad],VENTAS[Código del producto Vendido],STOCK[[#This Row],[Code]])</f>
        <v>0</v>
      </c>
      <c r="L937" s="71">
        <f>STOCK[[#This Row],[Entradas]]-STOCK[[#This Row],[Salidas]]</f>
        <v>1</v>
      </c>
      <c r="M937" s="54">
        <f>STOCK[[#This Row],[Precio Final]]*10%</f>
        <v>3</v>
      </c>
      <c r="N937" s="54">
        <v>0</v>
      </c>
      <c r="O937" s="54">
        <v>0</v>
      </c>
      <c r="P937" s="54">
        <v>17.88</v>
      </c>
      <c r="Q937" s="71">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53" t="s">
        <v>1875</v>
      </c>
      <c r="F938" s="53" t="s">
        <v>49</v>
      </c>
      <c r="G938" s="53" t="s">
        <v>1876</v>
      </c>
      <c r="H938" s="53">
        <f>STOCK[[#This Row],[Precio Final]]</f>
        <v>32</v>
      </c>
      <c r="I938" s="53">
        <f>STOCK[[#This Row],[Precio Venta Ideal (x1.5)]]</f>
        <v>33.87</v>
      </c>
      <c r="J938" s="70">
        <v>1</v>
      </c>
      <c r="K938" s="70">
        <f>SUMIFS(VENTAS[Cantidad],VENTAS[Código del producto Vendido],STOCK[[#This Row],[Code]])</f>
        <v>1</v>
      </c>
      <c r="L938" s="70">
        <f>STOCK[[#This Row],[Entradas]]-STOCK[[#This Row],[Salidas]]</f>
        <v>0</v>
      </c>
      <c r="M938" s="53">
        <f>STOCK[[#This Row],[Precio Final]]*10%</f>
        <v>3.2</v>
      </c>
      <c r="N938" s="53">
        <v>0</v>
      </c>
      <c r="O938" s="53">
        <v>0</v>
      </c>
      <c r="P938" s="53">
        <v>17.88</v>
      </c>
      <c r="Q938" s="70">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54" t="s">
        <v>1875</v>
      </c>
      <c r="F939" s="54" t="s">
        <v>46</v>
      </c>
      <c r="G939" s="54" t="s">
        <v>1876</v>
      </c>
      <c r="H939" s="54">
        <f>STOCK[[#This Row],[Precio Final]]</f>
        <v>30</v>
      </c>
      <c r="I939" s="54">
        <f>STOCK[[#This Row],[Precio Venta Ideal (x1.5)]]</f>
        <v>33.57</v>
      </c>
      <c r="J939" s="71">
        <v>2</v>
      </c>
      <c r="K939" s="71">
        <f>SUMIFS(VENTAS[Cantidad],VENTAS[Código del producto Vendido],STOCK[[#This Row],[Code]])</f>
        <v>0</v>
      </c>
      <c r="L939" s="71">
        <f>STOCK[[#This Row],[Entradas]]-STOCK[[#This Row],[Salidas]]</f>
        <v>2</v>
      </c>
      <c r="M939" s="54">
        <f>STOCK[[#This Row],[Precio Final]]*10%</f>
        <v>3</v>
      </c>
      <c r="N939" s="54">
        <v>0</v>
      </c>
      <c r="O939" s="54">
        <v>0</v>
      </c>
      <c r="P939" s="54">
        <v>17.88</v>
      </c>
      <c r="Q939" s="71">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53" t="s">
        <v>1882</v>
      </c>
      <c r="F940" s="53" t="s">
        <v>1883</v>
      </c>
      <c r="G940" s="53" t="s">
        <v>1876</v>
      </c>
      <c r="H940" s="53">
        <f>STOCK[[#This Row],[Precio Final]]</f>
        <v>35</v>
      </c>
      <c r="I940" s="53">
        <f>STOCK[[#This Row],[Precio Venta Ideal (x1.5)]]</f>
        <v>39.72</v>
      </c>
      <c r="J940" s="70">
        <v>1</v>
      </c>
      <c r="K940" s="70">
        <f>SUMIFS(VENTAS[Cantidad],VENTAS[Código del producto Vendido],STOCK[[#This Row],[Code]])</f>
        <v>1</v>
      </c>
      <c r="L940" s="70">
        <f>STOCK[[#This Row],[Entradas]]-STOCK[[#This Row],[Salidas]]</f>
        <v>0</v>
      </c>
      <c r="M940" s="53">
        <f>STOCK[[#This Row],[Precio Final]]*10%</f>
        <v>3.5</v>
      </c>
      <c r="N940" s="53">
        <v>0</v>
      </c>
      <c r="O940" s="53">
        <v>0</v>
      </c>
      <c r="P940" s="53">
        <v>20.48</v>
      </c>
      <c r="Q940" s="70">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54" t="s">
        <v>1885</v>
      </c>
      <c r="F941" s="54" t="s">
        <v>1883</v>
      </c>
      <c r="G941" s="54" t="s">
        <v>1876</v>
      </c>
      <c r="H941" s="54">
        <f>STOCK[[#This Row],[Precio Final]]</f>
        <v>35</v>
      </c>
      <c r="I941" s="54">
        <f>STOCK[[#This Row],[Precio Venta Ideal (x1.5)]]</f>
        <v>39.72</v>
      </c>
      <c r="J941" s="71">
        <v>1</v>
      </c>
      <c r="K941" s="71">
        <f>SUMIFS(VENTAS[Cantidad],VENTAS[Código del producto Vendido],STOCK[[#This Row],[Code]])</f>
        <v>1</v>
      </c>
      <c r="L941" s="71">
        <f>STOCK[[#This Row],[Entradas]]-STOCK[[#This Row],[Salidas]]</f>
        <v>0</v>
      </c>
      <c r="M941" s="54">
        <f>STOCK[[#This Row],[Precio Final]]*10%</f>
        <v>3.5</v>
      </c>
      <c r="N941" s="54">
        <v>0</v>
      </c>
      <c r="O941" s="54">
        <v>0</v>
      </c>
      <c r="P941" s="54">
        <v>20.48</v>
      </c>
      <c r="Q941" s="71">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53" t="s">
        <v>1887</v>
      </c>
      <c r="F942" s="53" t="s">
        <v>1888</v>
      </c>
      <c r="G942" s="53" t="s">
        <v>1876</v>
      </c>
      <c r="H942" s="53">
        <f>STOCK[[#This Row],[Precio Final]]</f>
        <v>35</v>
      </c>
      <c r="I942" s="53">
        <f>STOCK[[#This Row],[Precio Venta Ideal (x1.5)]]</f>
        <v>40.755</v>
      </c>
      <c r="J942" s="70">
        <v>1</v>
      </c>
      <c r="K942" s="70">
        <f>SUMIFS(VENTAS[Cantidad],VENTAS[Código del producto Vendido],STOCK[[#This Row],[Code]])</f>
        <v>1</v>
      </c>
      <c r="L942" s="70">
        <f>STOCK[[#This Row],[Entradas]]-STOCK[[#This Row],[Salidas]]</f>
        <v>0</v>
      </c>
      <c r="M942" s="53">
        <f>STOCK[[#This Row],[Precio Final]]*10%</f>
        <v>3.5</v>
      </c>
      <c r="N942" s="53">
        <v>0</v>
      </c>
      <c r="O942" s="53">
        <v>0</v>
      </c>
      <c r="P942" s="53">
        <v>22.17</v>
      </c>
      <c r="Q942" s="70">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54" t="s">
        <v>1890</v>
      </c>
      <c r="F943" s="54" t="s">
        <v>819</v>
      </c>
      <c r="G943" s="54" t="s">
        <v>1876</v>
      </c>
      <c r="H943" s="54">
        <f>STOCK[[#This Row],[Precio Final]]</f>
        <v>35</v>
      </c>
      <c r="I943" s="54">
        <f>STOCK[[#This Row],[Precio Venta Ideal (x1.5)]]</f>
        <v>40.23</v>
      </c>
      <c r="J943" s="71">
        <v>1</v>
      </c>
      <c r="K943" s="71">
        <f>SUMIFS(VENTAS[Cantidad],VENTAS[Código del producto Vendido],STOCK[[#This Row],[Code]])</f>
        <v>1</v>
      </c>
      <c r="L943" s="71">
        <f>STOCK[[#This Row],[Entradas]]-STOCK[[#This Row],[Salidas]]</f>
        <v>0</v>
      </c>
      <c r="M943" s="54">
        <f>STOCK[[#This Row],[Precio Final]]*10%</f>
        <v>3.5</v>
      </c>
      <c r="N943" s="54">
        <v>0</v>
      </c>
      <c r="O943" s="54">
        <v>0</v>
      </c>
      <c r="P943" s="54">
        <v>21.82</v>
      </c>
      <c r="Q943" s="71">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53" t="s">
        <v>1892</v>
      </c>
      <c r="F944" s="53" t="s">
        <v>1893</v>
      </c>
      <c r="G944" s="53" t="s">
        <v>1876</v>
      </c>
      <c r="H944" s="53">
        <f>STOCK[[#This Row],[Precio Final]]</f>
        <v>12</v>
      </c>
      <c r="I944" s="53">
        <f>STOCK[[#This Row],[Precio Venta Ideal (x1.5)]]</f>
        <v>11.55</v>
      </c>
      <c r="J944" s="70">
        <v>3</v>
      </c>
      <c r="K944" s="70">
        <f>SUMIFS(VENTAS[Cantidad],VENTAS[Código del producto Vendido],STOCK[[#This Row],[Code]])</f>
        <v>3</v>
      </c>
      <c r="L944" s="70">
        <f>STOCK[[#This Row],[Entradas]]-STOCK[[#This Row],[Salidas]]</f>
        <v>0</v>
      </c>
      <c r="M944" s="53">
        <f>STOCK[[#This Row],[Precio Final]]*10%</f>
        <v>1.2</v>
      </c>
      <c r="N944" s="53">
        <v>0</v>
      </c>
      <c r="O944" s="53">
        <v>0</v>
      </c>
      <c r="P944" s="53">
        <v>5.5</v>
      </c>
      <c r="Q944" s="70">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54" t="s">
        <v>1895</v>
      </c>
      <c r="F945" s="54" t="s">
        <v>1883</v>
      </c>
      <c r="G945" s="54" t="s">
        <v>1876</v>
      </c>
      <c r="H945" s="54">
        <f>STOCK[[#This Row],[Precio Final]]</f>
        <v>20</v>
      </c>
      <c r="I945" s="54">
        <f>STOCK[[#This Row],[Precio Venta Ideal (x1.5)]]</f>
        <v>22.125</v>
      </c>
      <c r="J945" s="71">
        <v>2</v>
      </c>
      <c r="K945" s="71">
        <f>SUMIFS(VENTAS[Cantidad],VENTAS[Código del producto Vendido],STOCK[[#This Row],[Code]])</f>
        <v>2</v>
      </c>
      <c r="L945" s="71">
        <f>STOCK[[#This Row],[Entradas]]-STOCK[[#This Row],[Salidas]]</f>
        <v>0</v>
      </c>
      <c r="M945" s="54">
        <f>STOCK[[#This Row],[Precio Final]]*10%</f>
        <v>2</v>
      </c>
      <c r="N945" s="54">
        <v>0</v>
      </c>
      <c r="O945" s="54">
        <v>0</v>
      </c>
      <c r="P945" s="54">
        <v>10.95</v>
      </c>
      <c r="Q945" s="71">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53" t="s">
        <v>1897</v>
      </c>
      <c r="F946" s="53" t="s">
        <v>1883</v>
      </c>
      <c r="G946" s="53" t="s">
        <v>1876</v>
      </c>
      <c r="H946" s="53">
        <f>STOCK[[#This Row],[Precio Final]]</f>
        <v>20</v>
      </c>
      <c r="I946" s="53">
        <f>STOCK[[#This Row],[Precio Venta Ideal (x1.5)]]</f>
        <v>22.125</v>
      </c>
      <c r="J946" s="70">
        <v>2</v>
      </c>
      <c r="K946" s="70">
        <f>SUMIFS(VENTAS[Cantidad],VENTAS[Código del producto Vendido],STOCK[[#This Row],[Code]])</f>
        <v>2</v>
      </c>
      <c r="L946" s="70">
        <f>STOCK[[#This Row],[Entradas]]-STOCK[[#This Row],[Salidas]]</f>
        <v>0</v>
      </c>
      <c r="M946" s="53">
        <f>STOCK[[#This Row],[Precio Final]]*10%</f>
        <v>2</v>
      </c>
      <c r="N946" s="53">
        <v>0</v>
      </c>
      <c r="O946" s="53">
        <v>0</v>
      </c>
      <c r="P946" s="53">
        <v>10.95</v>
      </c>
      <c r="Q946" s="70">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54" t="s">
        <v>1899</v>
      </c>
      <c r="F947" s="54" t="s">
        <v>1893</v>
      </c>
      <c r="G947" s="54" t="s">
        <v>1876</v>
      </c>
      <c r="H947" s="54">
        <f>STOCK[[#This Row],[Precio Final]]</f>
        <v>25</v>
      </c>
      <c r="I947" s="54">
        <f>STOCK[[#This Row],[Precio Venta Ideal (x1.5)]]</f>
        <v>22.68</v>
      </c>
      <c r="J947" s="71">
        <v>3</v>
      </c>
      <c r="K947" s="71">
        <f>SUMIFS(VENTAS[Cantidad],VENTAS[Código del producto Vendido],STOCK[[#This Row],[Code]])</f>
        <v>3</v>
      </c>
      <c r="L947" s="71">
        <f>STOCK[[#This Row],[Entradas]]-STOCK[[#This Row],[Salidas]]</f>
        <v>0</v>
      </c>
      <c r="M947" s="54">
        <f>STOCK[[#This Row],[Precio Final]]*10%</f>
        <v>2.5</v>
      </c>
      <c r="N947" s="54">
        <v>0</v>
      </c>
      <c r="O947" s="54">
        <v>0</v>
      </c>
      <c r="P947" s="54">
        <v>10.82</v>
      </c>
      <c r="Q947" s="71">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53" t="s">
        <v>1901</v>
      </c>
      <c r="F948" s="53" t="s">
        <v>525</v>
      </c>
      <c r="G948" s="53" t="s">
        <v>1876</v>
      </c>
      <c r="H948" s="53">
        <f>STOCK[[#This Row],[Precio Final]]</f>
        <v>25</v>
      </c>
      <c r="I948" s="53">
        <f>STOCK[[#This Row],[Precio Venta Ideal (x1.5)]]</f>
        <v>21.405</v>
      </c>
      <c r="J948" s="70">
        <v>3</v>
      </c>
      <c r="K948" s="70">
        <f>SUMIFS(VENTAS[Cantidad],VENTAS[Código del producto Vendido],STOCK[[#This Row],[Code]])</f>
        <v>2</v>
      </c>
      <c r="L948" s="70">
        <f>STOCK[[#This Row],[Entradas]]-STOCK[[#This Row],[Salidas]]</f>
        <v>1</v>
      </c>
      <c r="M948" s="53">
        <f>STOCK[[#This Row],[Precio Final]]*10%</f>
        <v>2.5</v>
      </c>
      <c r="N948" s="53">
        <v>0</v>
      </c>
      <c r="O948" s="53">
        <v>0</v>
      </c>
      <c r="P948" s="53">
        <v>9.97</v>
      </c>
      <c r="Q948" s="70">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54" t="s">
        <v>1903</v>
      </c>
      <c r="F949" s="54" t="s">
        <v>1904</v>
      </c>
      <c r="G949" s="54" t="s">
        <v>1876</v>
      </c>
      <c r="H949" s="54">
        <f>STOCK[[#This Row],[Precio Final]]</f>
        <v>14</v>
      </c>
      <c r="I949" s="54">
        <f>STOCK[[#This Row],[Precio Venta Ideal (x1.5)]]</f>
        <v>15.9</v>
      </c>
      <c r="J949" s="71">
        <v>2</v>
      </c>
      <c r="K949" s="71">
        <f>SUMIFS(VENTAS[Cantidad],VENTAS[Código del producto Vendido],STOCK[[#This Row],[Code]])</f>
        <v>2</v>
      </c>
      <c r="L949" s="71">
        <f>STOCK[[#This Row],[Entradas]]-STOCK[[#This Row],[Salidas]]</f>
        <v>0</v>
      </c>
      <c r="M949" s="54">
        <f>STOCK[[#This Row],[Precio Final]]*10%</f>
        <v>1.4</v>
      </c>
      <c r="N949" s="54">
        <v>0</v>
      </c>
      <c r="O949" s="54">
        <v>0</v>
      </c>
      <c r="P949" s="54">
        <v>8.7</v>
      </c>
      <c r="Q949" s="71">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53" t="s">
        <v>1903</v>
      </c>
      <c r="F950" s="53" t="s">
        <v>49</v>
      </c>
      <c r="G950" s="53" t="s">
        <v>1876</v>
      </c>
      <c r="H950" s="53">
        <f>STOCK[[#This Row],[Precio Final]]</f>
        <v>14</v>
      </c>
      <c r="I950" s="53">
        <f>STOCK[[#This Row],[Precio Venta Ideal (x1.5)]]</f>
        <v>15.9</v>
      </c>
      <c r="J950" s="70">
        <v>2</v>
      </c>
      <c r="K950" s="70">
        <f>SUMIFS(VENTAS[Cantidad],VENTAS[Código del producto Vendido],STOCK[[#This Row],[Code]])</f>
        <v>2</v>
      </c>
      <c r="L950" s="70">
        <f>STOCK[[#This Row],[Entradas]]-STOCK[[#This Row],[Salidas]]</f>
        <v>0</v>
      </c>
      <c r="M950" s="53">
        <f>STOCK[[#This Row],[Precio Final]]*10%</f>
        <v>1.4</v>
      </c>
      <c r="N950" s="53">
        <v>0</v>
      </c>
      <c r="O950" s="53">
        <v>0</v>
      </c>
      <c r="P950" s="53">
        <v>8.7</v>
      </c>
      <c r="Q950" s="70">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54" t="s">
        <v>1903</v>
      </c>
      <c r="F951" s="54" t="s">
        <v>46</v>
      </c>
      <c r="G951" s="54" t="s">
        <v>1876</v>
      </c>
      <c r="H951" s="54">
        <f>STOCK[[#This Row],[Precio Final]]</f>
        <v>14</v>
      </c>
      <c r="I951" s="54">
        <f>STOCK[[#This Row],[Precio Venta Ideal (x1.5)]]</f>
        <v>15.9</v>
      </c>
      <c r="J951" s="71">
        <v>2</v>
      </c>
      <c r="K951" s="71">
        <f>SUMIFS(VENTAS[Cantidad],VENTAS[Código del producto Vendido],STOCK[[#This Row],[Code]])</f>
        <v>1</v>
      </c>
      <c r="L951" s="71">
        <f>STOCK[[#This Row],[Entradas]]-STOCK[[#This Row],[Salidas]]</f>
        <v>1</v>
      </c>
      <c r="M951" s="54">
        <f>STOCK[[#This Row],[Precio Final]]*10%</f>
        <v>1.4</v>
      </c>
      <c r="N951" s="54">
        <v>0</v>
      </c>
      <c r="O951" s="54">
        <v>0</v>
      </c>
      <c r="P951" s="54">
        <v>8.7</v>
      </c>
      <c r="Q951" s="71">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53" t="s">
        <v>1908</v>
      </c>
      <c r="F952" s="53" t="s">
        <v>525</v>
      </c>
      <c r="G952" s="53" t="s">
        <v>1876</v>
      </c>
      <c r="H952" s="53">
        <f>STOCK[[#This Row],[Precio Final]]</f>
        <v>35</v>
      </c>
      <c r="I952" s="53">
        <f>STOCK[[#This Row],[Precio Venta Ideal (x1.5)]]</f>
        <v>37.47</v>
      </c>
      <c r="J952" s="70">
        <v>2</v>
      </c>
      <c r="K952" s="70">
        <f>SUMIFS(VENTAS[Cantidad],VENTAS[Código del producto Vendido],STOCK[[#This Row],[Code]])</f>
        <v>1</v>
      </c>
      <c r="L952" s="70">
        <f>STOCK[[#This Row],[Entradas]]-STOCK[[#This Row],[Salidas]]</f>
        <v>1</v>
      </c>
      <c r="M952" s="53">
        <f>STOCK[[#This Row],[Precio Final]]*10%</f>
        <v>3.5</v>
      </c>
      <c r="N952" s="53">
        <v>0</v>
      </c>
      <c r="O952" s="53">
        <v>0</v>
      </c>
      <c r="P952" s="53">
        <v>19.48</v>
      </c>
      <c r="Q952" s="70">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54" t="s">
        <v>1911</v>
      </c>
      <c r="F953" s="54" t="s">
        <v>1912</v>
      </c>
      <c r="G953" s="54" t="s">
        <v>1876</v>
      </c>
      <c r="H953" s="54">
        <f>STOCK[[#This Row],[Precio Final]]</f>
        <v>8</v>
      </c>
      <c r="I953" s="54">
        <f>STOCK[[#This Row],[Precio Venta Ideal (x1.5)]]</f>
        <v>7.875</v>
      </c>
      <c r="J953" s="71">
        <v>2</v>
      </c>
      <c r="K953" s="71">
        <f>SUMIFS(VENTAS[Cantidad],VENTAS[Código del producto Vendido],STOCK[[#This Row],[Code]])</f>
        <v>2</v>
      </c>
      <c r="L953" s="71">
        <f>STOCK[[#This Row],[Entradas]]-STOCK[[#This Row],[Salidas]]</f>
        <v>0</v>
      </c>
      <c r="M953" s="54">
        <f>STOCK[[#This Row],[Precio Final]]*10%</f>
        <v>0.8</v>
      </c>
      <c r="N953" s="54">
        <v>0</v>
      </c>
      <c r="O953" s="54">
        <v>0</v>
      </c>
      <c r="P953" s="54">
        <v>3.25</v>
      </c>
      <c r="Q953" s="71">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53" t="s">
        <v>1914</v>
      </c>
      <c r="F954" s="53" t="s">
        <v>1912</v>
      </c>
      <c r="G954" s="53" t="s">
        <v>1876</v>
      </c>
      <c r="H954" s="53">
        <f>STOCK[[#This Row],[Precio Final]]</f>
        <v>8</v>
      </c>
      <c r="I954" s="53">
        <f>STOCK[[#This Row],[Precio Venta Ideal (x1.5)]]</f>
        <v>7.875</v>
      </c>
      <c r="J954" s="70">
        <v>2</v>
      </c>
      <c r="K954" s="70">
        <f>SUMIFS(VENTAS[Cantidad],VENTAS[Código del producto Vendido],STOCK[[#This Row],[Code]])</f>
        <v>2</v>
      </c>
      <c r="L954" s="70">
        <f>STOCK[[#This Row],[Entradas]]-STOCK[[#This Row],[Salidas]]</f>
        <v>0</v>
      </c>
      <c r="M954" s="53">
        <f>STOCK[[#This Row],[Precio Final]]*10%</f>
        <v>0.8</v>
      </c>
      <c r="N954" s="53">
        <v>0</v>
      </c>
      <c r="O954" s="53">
        <v>0</v>
      </c>
      <c r="P954" s="53">
        <v>3.25</v>
      </c>
      <c r="Q954" s="70">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54" t="s">
        <v>1916</v>
      </c>
      <c r="F955" s="54" t="s">
        <v>1912</v>
      </c>
      <c r="G955" s="54" t="s">
        <v>1876</v>
      </c>
      <c r="H955" s="54">
        <f>STOCK[[#This Row],[Precio Final]]</f>
        <v>8</v>
      </c>
      <c r="I955" s="54">
        <f>STOCK[[#This Row],[Precio Venta Ideal (x1.5)]]</f>
        <v>8.49</v>
      </c>
      <c r="J955" s="71">
        <v>2</v>
      </c>
      <c r="K955" s="71">
        <f>SUMIFS(VENTAS[Cantidad],VENTAS[Código del producto Vendido],STOCK[[#This Row],[Code]])</f>
        <v>2</v>
      </c>
      <c r="L955" s="71">
        <f>STOCK[[#This Row],[Entradas]]-STOCK[[#This Row],[Salidas]]</f>
        <v>0</v>
      </c>
      <c r="M955" s="54">
        <f>STOCK[[#This Row],[Precio Final]]*10%</f>
        <v>0.8</v>
      </c>
      <c r="N955" s="54">
        <v>0</v>
      </c>
      <c r="O955" s="54">
        <v>0</v>
      </c>
      <c r="P955" s="54">
        <v>3.66</v>
      </c>
      <c r="Q955" s="71">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53" t="s">
        <v>1919</v>
      </c>
      <c r="F956" s="53" t="s">
        <v>1920</v>
      </c>
      <c r="G956" s="53" t="s">
        <v>36</v>
      </c>
      <c r="H956" s="53">
        <f>STOCK[[#This Row],[Precio Final]]</f>
        <v>0</v>
      </c>
      <c r="I956" s="53">
        <f>STOCK[[#This Row],[Precio Venta Ideal (x1.5)]]</f>
        <v>17.415</v>
      </c>
      <c r="J956" s="70">
        <v>0</v>
      </c>
      <c r="K956" s="70">
        <f>SUMIFS(VENTAS[Cantidad],VENTAS[Código del producto Vendido],STOCK[[#This Row],[Code]])</f>
        <v>0</v>
      </c>
      <c r="L956" s="70">
        <f>STOCK[[#This Row],[Entradas]]-STOCK[[#This Row],[Salidas]]</f>
        <v>0</v>
      </c>
      <c r="M956" s="53">
        <f>STOCK[[#This Row],[Precio Final]]*10%</f>
        <v>0</v>
      </c>
      <c r="N956" s="53">
        <v>0</v>
      </c>
      <c r="O956" s="53">
        <v>0</v>
      </c>
      <c r="P956" s="53">
        <v>11.61</v>
      </c>
      <c r="Q956" s="70">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54" t="s">
        <v>1919</v>
      </c>
      <c r="F957" s="54" t="s">
        <v>1924</v>
      </c>
      <c r="G957" s="54" t="s">
        <v>36</v>
      </c>
      <c r="H957" s="54">
        <f>STOCK[[#This Row],[Precio Final]]</f>
        <v>30</v>
      </c>
      <c r="I957" s="54">
        <f>STOCK[[#This Row],[Precio Venta Ideal (x1.5)]]</f>
        <v>21.915</v>
      </c>
      <c r="J957" s="71">
        <v>1</v>
      </c>
      <c r="K957" s="71">
        <f>SUMIFS(VENTAS[Cantidad],VENTAS[Código del producto Vendido],STOCK[[#This Row],[Code]])</f>
        <v>1</v>
      </c>
      <c r="L957" s="71">
        <f>STOCK[[#This Row],[Entradas]]-STOCK[[#This Row],[Salidas]]</f>
        <v>0</v>
      </c>
      <c r="M957" s="54">
        <f>STOCK[[#This Row],[Precio Final]]*10%</f>
        <v>3</v>
      </c>
      <c r="N957" s="54">
        <v>0</v>
      </c>
      <c r="O957" s="54">
        <v>0</v>
      </c>
      <c r="P957" s="54">
        <v>11.61</v>
      </c>
      <c r="Q957" s="71">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53" t="s">
        <v>1926</v>
      </c>
      <c r="F958" s="53" t="s">
        <v>62</v>
      </c>
      <c r="G958" s="53" t="s">
        <v>36</v>
      </c>
      <c r="H958" s="53">
        <f>STOCK[[#This Row],[Precio Final]]</f>
        <v>30</v>
      </c>
      <c r="I958" s="53">
        <f>STOCK[[#This Row],[Precio Venta Ideal (x1.5)]]</f>
        <v>21.915</v>
      </c>
      <c r="J958" s="70">
        <v>1</v>
      </c>
      <c r="K958" s="70">
        <f>SUMIFS(VENTAS[Cantidad],VENTAS[Código del producto Vendido],STOCK[[#This Row],[Code]])</f>
        <v>1</v>
      </c>
      <c r="L958" s="70">
        <f>STOCK[[#This Row],[Entradas]]-STOCK[[#This Row],[Salidas]]</f>
        <v>0</v>
      </c>
      <c r="M958" s="53">
        <f>STOCK[[#This Row],[Precio Final]]*10%</f>
        <v>3</v>
      </c>
      <c r="N958" s="53">
        <v>0</v>
      </c>
      <c r="O958" s="53">
        <v>0</v>
      </c>
      <c r="P958" s="53">
        <v>11.61</v>
      </c>
      <c r="Q958" s="70">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54" t="s">
        <v>1929</v>
      </c>
      <c r="F959" s="54" t="s">
        <v>1930</v>
      </c>
      <c r="G959" s="54" t="s">
        <v>36</v>
      </c>
      <c r="H959" s="54">
        <f>STOCK[[#This Row],[Precio Final]]</f>
        <v>12</v>
      </c>
      <c r="I959" s="54">
        <f>STOCK[[#This Row],[Precio Venta Ideal (x1.5)]]</f>
        <v>9.255</v>
      </c>
      <c r="J959" s="71">
        <v>2</v>
      </c>
      <c r="K959" s="71">
        <f>SUMIFS(VENTAS[Cantidad],VENTAS[Código del producto Vendido],STOCK[[#This Row],[Code]])</f>
        <v>2</v>
      </c>
      <c r="L959" s="71">
        <f>STOCK[[#This Row],[Entradas]]-STOCK[[#This Row],[Salidas]]</f>
        <v>0</v>
      </c>
      <c r="M959" s="54">
        <f>STOCK[[#This Row],[Precio Final]]*10%</f>
        <v>1.2</v>
      </c>
      <c r="N959" s="54">
        <v>0</v>
      </c>
      <c r="O959" s="54">
        <v>0</v>
      </c>
      <c r="P959" s="54">
        <v>4.97</v>
      </c>
      <c r="Q959" s="71">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53" t="s">
        <v>1929</v>
      </c>
      <c r="F960" s="53" t="s">
        <v>1932</v>
      </c>
      <c r="G960" s="53" t="s">
        <v>36</v>
      </c>
      <c r="H960" s="53">
        <f>STOCK[[#This Row],[Precio Final]]</f>
        <v>12</v>
      </c>
      <c r="I960" s="53">
        <f>STOCK[[#This Row],[Precio Venta Ideal (x1.5)]]</f>
        <v>9.255</v>
      </c>
      <c r="J960" s="70">
        <v>2</v>
      </c>
      <c r="K960" s="70">
        <f>SUMIFS(VENTAS[Cantidad],VENTAS[Código del producto Vendido],STOCK[[#This Row],[Code]])</f>
        <v>2</v>
      </c>
      <c r="L960" s="70">
        <f>STOCK[[#This Row],[Entradas]]-STOCK[[#This Row],[Salidas]]</f>
        <v>0</v>
      </c>
      <c r="M960" s="53">
        <f>STOCK[[#This Row],[Precio Final]]*10%</f>
        <v>1.2</v>
      </c>
      <c r="N960" s="53">
        <v>0</v>
      </c>
      <c r="O960" s="53">
        <v>0</v>
      </c>
      <c r="P960" s="53">
        <v>4.97</v>
      </c>
      <c r="Q960" s="70">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54" t="s">
        <v>1929</v>
      </c>
      <c r="F961" s="54" t="s">
        <v>1934</v>
      </c>
      <c r="G961" s="54" t="s">
        <v>36</v>
      </c>
      <c r="H961" s="54">
        <f>STOCK[[#This Row],[Precio Final]]</f>
        <v>12</v>
      </c>
      <c r="I961" s="54">
        <f>STOCK[[#This Row],[Precio Venta Ideal (x1.5)]]</f>
        <v>9.255</v>
      </c>
      <c r="J961" s="71">
        <v>1</v>
      </c>
      <c r="K961" s="71">
        <f>SUMIFS(VENTAS[Cantidad],VENTAS[Código del producto Vendido],STOCK[[#This Row],[Code]])</f>
        <v>1</v>
      </c>
      <c r="L961" s="71">
        <f>STOCK[[#This Row],[Entradas]]-STOCK[[#This Row],[Salidas]]</f>
        <v>0</v>
      </c>
      <c r="M961" s="54">
        <f>STOCK[[#This Row],[Precio Final]]*10%</f>
        <v>1.2</v>
      </c>
      <c r="N961" s="54">
        <v>0</v>
      </c>
      <c r="O961" s="54">
        <v>0</v>
      </c>
      <c r="P961" s="54">
        <v>4.97</v>
      </c>
      <c r="Q961" s="71">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53" t="s">
        <v>1929</v>
      </c>
      <c r="F962" s="53" t="s">
        <v>1936</v>
      </c>
      <c r="G962" s="53" t="s">
        <v>36</v>
      </c>
      <c r="H962" s="53">
        <f>STOCK[[#This Row],[Precio Final]]</f>
        <v>0</v>
      </c>
      <c r="I962" s="53">
        <f>STOCK[[#This Row],[Precio Venta Ideal (x1.5)]]</f>
        <v>7.455</v>
      </c>
      <c r="J962" s="70">
        <v>0</v>
      </c>
      <c r="K962" s="70">
        <f>SUMIFS(VENTAS[Cantidad],VENTAS[Código del producto Vendido],STOCK[[#This Row],[Code]])</f>
        <v>0</v>
      </c>
      <c r="L962" s="70">
        <f>STOCK[[#This Row],[Entradas]]-STOCK[[#This Row],[Salidas]]</f>
        <v>0</v>
      </c>
      <c r="M962" s="53">
        <f>STOCK[[#This Row],[Precio Final]]*10%</f>
        <v>0</v>
      </c>
      <c r="N962" s="53">
        <v>0</v>
      </c>
      <c r="O962" s="53">
        <v>0</v>
      </c>
      <c r="P962" s="53">
        <v>4.97</v>
      </c>
      <c r="Q962" s="70">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54" t="s">
        <v>1939</v>
      </c>
      <c r="F963" s="54" t="s">
        <v>62</v>
      </c>
      <c r="G963" s="54" t="s">
        <v>36</v>
      </c>
      <c r="H963" s="54">
        <f>STOCK[[#This Row],[Precio Final]]</f>
        <v>8</v>
      </c>
      <c r="I963" s="54">
        <f>STOCK[[#This Row],[Precio Venta Ideal (x1.5)]]</f>
        <v>6.975</v>
      </c>
      <c r="J963" s="71">
        <v>3</v>
      </c>
      <c r="K963" s="71">
        <f>SUMIFS(VENTAS[Cantidad],VENTAS[Código del producto Vendido],STOCK[[#This Row],[Code]])</f>
        <v>1</v>
      </c>
      <c r="L963" s="71">
        <f>STOCK[[#This Row],[Entradas]]-STOCK[[#This Row],[Salidas]]</f>
        <v>2</v>
      </c>
      <c r="M963" s="54">
        <f>STOCK[[#This Row],[Precio Final]]*10%</f>
        <v>0.8</v>
      </c>
      <c r="N963" s="54">
        <v>0</v>
      </c>
      <c r="O963" s="54">
        <v>0</v>
      </c>
      <c r="P963" s="54">
        <v>3.85</v>
      </c>
      <c r="Q963" s="71">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53" t="s">
        <v>1941</v>
      </c>
      <c r="F964" s="53" t="s">
        <v>62</v>
      </c>
      <c r="G964" s="53" t="s">
        <v>36</v>
      </c>
      <c r="H964" s="53">
        <f>STOCK[[#This Row],[Precio Final]]</f>
        <v>8</v>
      </c>
      <c r="I964" s="53">
        <f>STOCK[[#This Row],[Precio Venta Ideal (x1.5)]]</f>
        <v>6.975</v>
      </c>
      <c r="J964" s="70">
        <v>2</v>
      </c>
      <c r="K964" s="70">
        <f>SUMIFS(VENTAS[Cantidad],VENTAS[Código del producto Vendido],STOCK[[#This Row],[Code]])</f>
        <v>0</v>
      </c>
      <c r="L964" s="70">
        <f>STOCK[[#This Row],[Entradas]]-STOCK[[#This Row],[Salidas]]</f>
        <v>2</v>
      </c>
      <c r="M964" s="53">
        <f>STOCK[[#This Row],[Precio Final]]*10%</f>
        <v>0.8</v>
      </c>
      <c r="N964" s="53">
        <v>0</v>
      </c>
      <c r="O964" s="53">
        <v>0</v>
      </c>
      <c r="P964" s="53">
        <v>3.85</v>
      </c>
      <c r="Q964" s="70">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54" t="s">
        <v>1941</v>
      </c>
      <c r="F965" s="54" t="s">
        <v>49</v>
      </c>
      <c r="G965" s="54" t="s">
        <v>36</v>
      </c>
      <c r="H965" s="54">
        <f>STOCK[[#This Row],[Precio Final]]</f>
        <v>8</v>
      </c>
      <c r="I965" s="54">
        <f>STOCK[[#This Row],[Precio Venta Ideal (x1.5)]]</f>
        <v>6.975</v>
      </c>
      <c r="J965" s="71">
        <v>2</v>
      </c>
      <c r="K965" s="71">
        <f>SUMIFS(VENTAS[Cantidad],VENTAS[Código del producto Vendido],STOCK[[#This Row],[Code]])</f>
        <v>0</v>
      </c>
      <c r="L965" s="71">
        <f>STOCK[[#This Row],[Entradas]]-STOCK[[#This Row],[Salidas]]</f>
        <v>2</v>
      </c>
      <c r="M965" s="54">
        <f>STOCK[[#This Row],[Precio Final]]*10%</f>
        <v>0.8</v>
      </c>
      <c r="N965" s="54">
        <v>0</v>
      </c>
      <c r="O965" s="54">
        <v>0</v>
      </c>
      <c r="P965" s="54">
        <v>3.85</v>
      </c>
      <c r="Q965" s="71">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53" t="s">
        <v>1757</v>
      </c>
      <c r="F966" s="53" t="s">
        <v>1945</v>
      </c>
      <c r="G966" s="53" t="s">
        <v>36</v>
      </c>
      <c r="H966" s="53">
        <f>STOCK[[#This Row],[Precio Final]]</f>
        <v>30</v>
      </c>
      <c r="I966" s="53">
        <f>STOCK[[#This Row],[Precio Venta Ideal (x1.5)]]</f>
        <v>31.455</v>
      </c>
      <c r="J966" s="70">
        <v>2</v>
      </c>
      <c r="K966" s="70">
        <f>SUMIFS(VENTAS[Cantidad],VENTAS[Código del producto Vendido],STOCK[[#This Row],[Code]])</f>
        <v>2</v>
      </c>
      <c r="L966" s="70">
        <f>STOCK[[#This Row],[Entradas]]-STOCK[[#This Row],[Salidas]]</f>
        <v>0</v>
      </c>
      <c r="M966" s="53">
        <f>STOCK[[#This Row],[Precio Final]]*10%</f>
        <v>3</v>
      </c>
      <c r="N966" s="53">
        <v>0</v>
      </c>
      <c r="O966" s="53">
        <v>0</v>
      </c>
      <c r="P966" s="53">
        <v>17.97</v>
      </c>
      <c r="Q966" s="70">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54" t="s">
        <v>1947</v>
      </c>
      <c r="F967" s="54" t="s">
        <v>46</v>
      </c>
      <c r="G967" s="54" t="s">
        <v>36</v>
      </c>
      <c r="H967" s="54">
        <f>STOCK[[#This Row],[Precio Final]]</f>
        <v>30</v>
      </c>
      <c r="I967" s="54">
        <f>STOCK[[#This Row],[Precio Venta Ideal (x1.5)]]</f>
        <v>26.73</v>
      </c>
      <c r="J967" s="71">
        <v>2</v>
      </c>
      <c r="K967" s="71">
        <f>SUMIFS(VENTAS[Cantidad],VENTAS[Código del producto Vendido],STOCK[[#This Row],[Code]])</f>
        <v>0</v>
      </c>
      <c r="L967" s="71">
        <f>STOCK[[#This Row],[Entradas]]-STOCK[[#This Row],[Salidas]]</f>
        <v>2</v>
      </c>
      <c r="M967" s="54">
        <f>STOCK[[#This Row],[Precio Final]]*10%</f>
        <v>3</v>
      </c>
      <c r="N967" s="54">
        <v>0</v>
      </c>
      <c r="O967" s="54">
        <v>0</v>
      </c>
      <c r="P967" s="54">
        <v>14.82</v>
      </c>
      <c r="Q967" s="71">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53" t="s">
        <v>1950</v>
      </c>
      <c r="F968" s="53" t="s">
        <v>1951</v>
      </c>
      <c r="G968" s="53" t="s">
        <v>1952</v>
      </c>
      <c r="H968" s="53">
        <f>STOCK[[#This Row],[Precio Final]]</f>
        <v>9</v>
      </c>
      <c r="I968" s="53">
        <f>STOCK[[#This Row],[Precio Venta Ideal (x1.5)]]</f>
        <v>10.35</v>
      </c>
      <c r="J968" s="70">
        <v>0</v>
      </c>
      <c r="K968" s="70">
        <f>SUMIFS(VENTAS[Cantidad],VENTAS[Código del producto Vendido],STOCK[[#This Row],[Code]])</f>
        <v>0</v>
      </c>
      <c r="L968" s="70">
        <f>STOCK[[#This Row],[Entradas]]-STOCK[[#This Row],[Salidas]]</f>
        <v>0</v>
      </c>
      <c r="M968" s="53">
        <f>STOCK[[#This Row],[Precio Final]]*10%</f>
        <v>0.9</v>
      </c>
      <c r="N968" s="53">
        <v>0</v>
      </c>
      <c r="O968" s="53">
        <v>0</v>
      </c>
      <c r="P968" s="53">
        <v>6</v>
      </c>
      <c r="Q968" s="70">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54" t="s">
        <v>1955</v>
      </c>
      <c r="F969" s="54" t="s">
        <v>228</v>
      </c>
      <c r="G969" s="54" t="s">
        <v>1956</v>
      </c>
      <c r="H969" s="54">
        <f>STOCK[[#This Row],[Precio Final]]</f>
        <v>7.5</v>
      </c>
      <c r="I969" s="54">
        <f>STOCK[[#This Row],[Precio Venta Ideal (x1.5)]]</f>
        <v>8.625</v>
      </c>
      <c r="J969" s="71">
        <v>0</v>
      </c>
      <c r="K969" s="71">
        <f>SUMIFS(VENTAS[Cantidad],VENTAS[Código del producto Vendido],STOCK[[#This Row],[Code]])</f>
        <v>0</v>
      </c>
      <c r="L969" s="71">
        <f>STOCK[[#This Row],[Entradas]]-STOCK[[#This Row],[Salidas]]</f>
        <v>0</v>
      </c>
      <c r="M969" s="54">
        <f>STOCK[[#This Row],[Precio Final]]*10%</f>
        <v>0.75</v>
      </c>
      <c r="N969" s="54">
        <v>0</v>
      </c>
      <c r="O969" s="54">
        <v>0</v>
      </c>
      <c r="P969" s="54">
        <v>5</v>
      </c>
      <c r="Q969" s="71">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53" t="s">
        <v>1958</v>
      </c>
      <c r="F970" s="53" t="s">
        <v>1959</v>
      </c>
      <c r="G970" s="53" t="s">
        <v>1956</v>
      </c>
      <c r="H970" s="53">
        <f>STOCK[[#This Row],[Precio Final]]</f>
        <v>7.5</v>
      </c>
      <c r="I970" s="53">
        <f>STOCK[[#This Row],[Precio Venta Ideal (x1.5)]]</f>
        <v>8.625</v>
      </c>
      <c r="J970" s="71">
        <v>0</v>
      </c>
      <c r="K970" s="70">
        <f>SUMIFS(VENTAS[Cantidad],VENTAS[Código del producto Vendido],STOCK[[#This Row],[Code]])</f>
        <v>0</v>
      </c>
      <c r="L970" s="70">
        <f>STOCK[[#This Row],[Entradas]]-STOCK[[#This Row],[Salidas]]</f>
        <v>0</v>
      </c>
      <c r="M970" s="53">
        <f>STOCK[[#This Row],[Precio Final]]*10%</f>
        <v>0.75</v>
      </c>
      <c r="N970" s="53">
        <v>0</v>
      </c>
      <c r="O970" s="53">
        <v>0</v>
      </c>
      <c r="P970" s="53">
        <v>5</v>
      </c>
      <c r="Q970" s="70">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54" t="s">
        <v>1961</v>
      </c>
      <c r="F971" s="54" t="s">
        <v>1962</v>
      </c>
      <c r="G971" s="54" t="s">
        <v>1963</v>
      </c>
      <c r="H971" s="54">
        <f>STOCK[[#This Row],[Precio Final]]</f>
        <v>6</v>
      </c>
      <c r="I971" s="54">
        <f>STOCK[[#This Row],[Precio Venta Ideal (x1.5)]]</f>
        <v>6.9</v>
      </c>
      <c r="J971" s="71">
        <v>0</v>
      </c>
      <c r="K971" s="71">
        <f>SUMIFS(VENTAS[Cantidad],VENTAS[Código del producto Vendido],STOCK[[#This Row],[Code]])</f>
        <v>0</v>
      </c>
      <c r="L971" s="71">
        <f>STOCK[[#This Row],[Entradas]]-STOCK[[#This Row],[Salidas]]</f>
        <v>0</v>
      </c>
      <c r="M971" s="54">
        <f>STOCK[[#This Row],[Precio Final]]*10%</f>
        <v>0.6</v>
      </c>
      <c r="N971" s="54">
        <v>0</v>
      </c>
      <c r="O971" s="54">
        <v>0</v>
      </c>
      <c r="P971" s="54">
        <v>4</v>
      </c>
      <c r="Q971" s="71">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53" t="s">
        <v>1965</v>
      </c>
      <c r="F972" s="53" t="s">
        <v>1966</v>
      </c>
      <c r="G972" s="53" t="s">
        <v>1296</v>
      </c>
      <c r="H972" s="53">
        <f>STOCK[[#This Row],[Precio Final]]</f>
        <v>3</v>
      </c>
      <c r="I972" s="53">
        <f>STOCK[[#This Row],[Precio Venta Ideal (x1.5)]]</f>
        <v>3.45</v>
      </c>
      <c r="J972" s="71">
        <v>0</v>
      </c>
      <c r="K972" s="70">
        <f>SUMIFS(VENTAS[Cantidad],VENTAS[Código del producto Vendido],STOCK[[#This Row],[Code]])</f>
        <v>0</v>
      </c>
      <c r="L972" s="70">
        <f>STOCK[[#This Row],[Entradas]]-STOCK[[#This Row],[Salidas]]</f>
        <v>0</v>
      </c>
      <c r="M972" s="53">
        <f>STOCK[[#This Row],[Precio Final]]*10%</f>
        <v>0.3</v>
      </c>
      <c r="N972" s="53">
        <v>0</v>
      </c>
      <c r="O972" s="53">
        <v>0</v>
      </c>
      <c r="P972" s="53">
        <v>2</v>
      </c>
      <c r="Q972" s="70">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54" t="s">
        <v>1968</v>
      </c>
      <c r="F973" s="54" t="s">
        <v>1969</v>
      </c>
      <c r="G973" s="54" t="s">
        <v>1956</v>
      </c>
      <c r="H973" s="54">
        <f>STOCK[[#This Row],[Precio Final]]</f>
        <v>7.5</v>
      </c>
      <c r="I973" s="54">
        <f>STOCK[[#This Row],[Precio Venta Ideal (x1.5)]]</f>
        <v>8.625</v>
      </c>
      <c r="J973" s="71">
        <v>0</v>
      </c>
      <c r="K973" s="71">
        <f>SUMIFS(VENTAS[Cantidad],VENTAS[Código del producto Vendido],STOCK[[#This Row],[Code]])</f>
        <v>0</v>
      </c>
      <c r="L973" s="71">
        <f>STOCK[[#This Row],[Entradas]]-STOCK[[#This Row],[Salidas]]</f>
        <v>0</v>
      </c>
      <c r="M973" s="54">
        <f>STOCK[[#This Row],[Precio Final]]*10%</f>
        <v>0.75</v>
      </c>
      <c r="N973" s="54">
        <v>0</v>
      </c>
      <c r="O973" s="54">
        <v>0</v>
      </c>
      <c r="P973" s="54">
        <v>5</v>
      </c>
      <c r="Q973" s="71">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53" t="s">
        <v>1971</v>
      </c>
      <c r="F974" s="53" t="s">
        <v>1972</v>
      </c>
      <c r="G974" s="53" t="s">
        <v>1956</v>
      </c>
      <c r="H974" s="53">
        <f>STOCK[[#This Row],[Precio Final]]</f>
        <v>4.5</v>
      </c>
      <c r="I974" s="53">
        <f>STOCK[[#This Row],[Precio Venta Ideal (x1.5)]]</f>
        <v>5.175</v>
      </c>
      <c r="J974" s="71">
        <v>0</v>
      </c>
      <c r="K974" s="70">
        <f>SUMIFS(VENTAS[Cantidad],VENTAS[Código del producto Vendido],STOCK[[#This Row],[Code]])</f>
        <v>0</v>
      </c>
      <c r="L974" s="70">
        <f>STOCK[[#This Row],[Entradas]]-STOCK[[#This Row],[Salidas]]</f>
        <v>0</v>
      </c>
      <c r="M974" s="53">
        <f>STOCK[[#This Row],[Precio Final]]*10%</f>
        <v>0.45</v>
      </c>
      <c r="N974" s="53">
        <v>0</v>
      </c>
      <c r="O974" s="53">
        <v>0</v>
      </c>
      <c r="P974" s="53">
        <v>3</v>
      </c>
      <c r="Q974" s="70">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54" t="s">
        <v>1974</v>
      </c>
      <c r="F975" s="54" t="s">
        <v>1972</v>
      </c>
      <c r="G975" s="54" t="s">
        <v>1956</v>
      </c>
      <c r="H975" s="54">
        <f>STOCK[[#This Row],[Precio Final]]</f>
        <v>6</v>
      </c>
      <c r="I975" s="54">
        <f>STOCK[[#This Row],[Precio Venta Ideal (x1.5)]]</f>
        <v>6.9</v>
      </c>
      <c r="J975" s="71">
        <v>0</v>
      </c>
      <c r="K975" s="71">
        <f>SUMIFS(VENTAS[Cantidad],VENTAS[Código del producto Vendido],STOCK[[#This Row],[Code]])</f>
        <v>0</v>
      </c>
      <c r="L975" s="71">
        <f>STOCK[[#This Row],[Entradas]]-STOCK[[#This Row],[Salidas]]</f>
        <v>0</v>
      </c>
      <c r="M975" s="54">
        <f>STOCK[[#This Row],[Precio Final]]*10%</f>
        <v>0.6</v>
      </c>
      <c r="N975" s="54">
        <v>0</v>
      </c>
      <c r="O975" s="54">
        <v>0</v>
      </c>
      <c r="P975" s="54">
        <v>4</v>
      </c>
      <c r="Q975" s="71">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53" t="s">
        <v>1976</v>
      </c>
      <c r="F976" s="53" t="s">
        <v>1977</v>
      </c>
      <c r="G976" s="53" t="s">
        <v>1978</v>
      </c>
      <c r="H976" s="53">
        <f>STOCK[[#This Row],[Precio Final]]</f>
        <v>4.5</v>
      </c>
      <c r="I976" s="53">
        <f>STOCK[[#This Row],[Precio Venta Ideal (x1.5)]]</f>
        <v>5.175</v>
      </c>
      <c r="J976" s="71">
        <v>0</v>
      </c>
      <c r="K976" s="70">
        <f>SUMIFS(VENTAS[Cantidad],VENTAS[Código del producto Vendido],STOCK[[#This Row],[Code]])</f>
        <v>0</v>
      </c>
      <c r="L976" s="70">
        <f>STOCK[[#This Row],[Entradas]]-STOCK[[#This Row],[Salidas]]</f>
        <v>0</v>
      </c>
      <c r="M976" s="53">
        <f>STOCK[[#This Row],[Precio Final]]*10%</f>
        <v>0.45</v>
      </c>
      <c r="N976" s="53">
        <v>0</v>
      </c>
      <c r="O976" s="53">
        <v>0</v>
      </c>
      <c r="P976" s="53">
        <v>3</v>
      </c>
      <c r="Q976" s="70">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54" t="s">
        <v>1980</v>
      </c>
      <c r="F977" s="54" t="s">
        <v>1972</v>
      </c>
      <c r="G977" s="54" t="s">
        <v>1956</v>
      </c>
      <c r="H977" s="54">
        <f>STOCK[[#This Row],[Precio Final]]</f>
        <v>4.5</v>
      </c>
      <c r="I977" s="54">
        <f>STOCK[[#This Row],[Precio Venta Ideal (x1.5)]]</f>
        <v>5.175</v>
      </c>
      <c r="J977" s="71">
        <v>0</v>
      </c>
      <c r="K977" s="71">
        <f>SUMIFS(VENTAS[Cantidad],VENTAS[Código del producto Vendido],STOCK[[#This Row],[Code]])</f>
        <v>0</v>
      </c>
      <c r="L977" s="71">
        <f>STOCK[[#This Row],[Entradas]]-STOCK[[#This Row],[Salidas]]</f>
        <v>0</v>
      </c>
      <c r="M977" s="54">
        <f>STOCK[[#This Row],[Precio Final]]*10%</f>
        <v>0.45</v>
      </c>
      <c r="N977" s="54">
        <v>0</v>
      </c>
      <c r="O977" s="54">
        <v>0</v>
      </c>
      <c r="P977" s="54">
        <v>3</v>
      </c>
      <c r="Q977" s="71">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53" t="s">
        <v>1982</v>
      </c>
      <c r="F978" s="53" t="s">
        <v>1983</v>
      </c>
      <c r="G978" s="53" t="s">
        <v>704</v>
      </c>
      <c r="H978" s="53">
        <f>STOCK[[#This Row],[Precio Final]]</f>
        <v>7.5</v>
      </c>
      <c r="I978" s="53">
        <f>STOCK[[#This Row],[Precio Venta Ideal (x1.5)]]</f>
        <v>8.625</v>
      </c>
      <c r="J978" s="71">
        <v>1</v>
      </c>
      <c r="K978" s="70">
        <f>SUMIFS(VENTAS[Cantidad],VENTAS[Código del producto Vendido],STOCK[[#This Row],[Code]])</f>
        <v>1</v>
      </c>
      <c r="L978" s="70">
        <f>STOCK[[#This Row],[Entradas]]-STOCK[[#This Row],[Salidas]]</f>
        <v>0</v>
      </c>
      <c r="M978" s="53">
        <f>STOCK[[#This Row],[Precio Final]]*10%</f>
        <v>0.75</v>
      </c>
      <c r="N978" s="53">
        <v>0</v>
      </c>
      <c r="O978" s="53">
        <v>0</v>
      </c>
      <c r="P978" s="53">
        <v>5</v>
      </c>
      <c r="Q978" s="70">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54" t="s">
        <v>1985</v>
      </c>
      <c r="F979" s="54" t="s">
        <v>1986</v>
      </c>
      <c r="G979" s="54" t="s">
        <v>1956</v>
      </c>
      <c r="H979" s="54">
        <f>STOCK[[#This Row],[Precio Final]]</f>
        <v>3</v>
      </c>
      <c r="I979" s="54">
        <f>STOCK[[#This Row],[Precio Venta Ideal (x1.5)]]</f>
        <v>3.45</v>
      </c>
      <c r="J979" s="71">
        <v>0</v>
      </c>
      <c r="K979" s="71">
        <f>SUMIFS(VENTAS[Cantidad],VENTAS[Código del producto Vendido],STOCK[[#This Row],[Code]])</f>
        <v>0</v>
      </c>
      <c r="L979" s="71">
        <f>STOCK[[#This Row],[Entradas]]-STOCK[[#This Row],[Salidas]]</f>
        <v>0</v>
      </c>
      <c r="M979" s="54">
        <f>STOCK[[#This Row],[Precio Final]]*10%</f>
        <v>0.3</v>
      </c>
      <c r="N979" s="54">
        <v>0</v>
      </c>
      <c r="O979" s="54">
        <v>0</v>
      </c>
      <c r="P979" s="54">
        <v>2</v>
      </c>
      <c r="Q979" s="71">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53" t="s">
        <v>1988</v>
      </c>
      <c r="F980" s="53" t="s">
        <v>1972</v>
      </c>
      <c r="G980" s="53" t="s">
        <v>1296</v>
      </c>
      <c r="H980" s="53">
        <f>STOCK[[#This Row],[Precio Final]]</f>
        <v>7.5</v>
      </c>
      <c r="I980" s="53">
        <f>STOCK[[#This Row],[Precio Venta Ideal (x1.5)]]</f>
        <v>8.625</v>
      </c>
      <c r="J980" s="71">
        <v>0</v>
      </c>
      <c r="K980" s="70">
        <f>SUMIFS(VENTAS[Cantidad],VENTAS[Código del producto Vendido],STOCK[[#This Row],[Code]])</f>
        <v>0</v>
      </c>
      <c r="L980" s="70">
        <f>STOCK[[#This Row],[Entradas]]-STOCK[[#This Row],[Salidas]]</f>
        <v>0</v>
      </c>
      <c r="M980" s="53">
        <f>STOCK[[#This Row],[Precio Final]]*10%</f>
        <v>0.75</v>
      </c>
      <c r="N980" s="53">
        <v>0</v>
      </c>
      <c r="O980" s="53">
        <v>0</v>
      </c>
      <c r="P980" s="53">
        <v>5</v>
      </c>
      <c r="Q980" s="70">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54" t="s">
        <v>1990</v>
      </c>
      <c r="F981" s="54" t="s">
        <v>1951</v>
      </c>
      <c r="G981" s="54" t="s">
        <v>1601</v>
      </c>
      <c r="H981" s="54">
        <f>STOCK[[#This Row],[Precio Final]]</f>
        <v>12</v>
      </c>
      <c r="I981" s="54">
        <f>STOCK[[#This Row],[Precio Venta Ideal (x1.5)]]</f>
        <v>13.8</v>
      </c>
      <c r="J981" s="71">
        <v>0</v>
      </c>
      <c r="K981" s="71">
        <f>SUMIFS(VENTAS[Cantidad],VENTAS[Código del producto Vendido],STOCK[[#This Row],[Code]])</f>
        <v>0</v>
      </c>
      <c r="L981" s="71">
        <f>STOCK[[#This Row],[Entradas]]-STOCK[[#This Row],[Salidas]]</f>
        <v>0</v>
      </c>
      <c r="M981" s="54">
        <f>STOCK[[#This Row],[Precio Final]]*10%</f>
        <v>1.2</v>
      </c>
      <c r="N981" s="54">
        <v>0</v>
      </c>
      <c r="O981" s="54">
        <v>0</v>
      </c>
      <c r="P981" s="54">
        <v>8</v>
      </c>
      <c r="Q981" s="71">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53" t="s">
        <v>1992</v>
      </c>
      <c r="F982" s="53" t="s">
        <v>1993</v>
      </c>
      <c r="G982" s="53" t="s">
        <v>1956</v>
      </c>
      <c r="H982" s="53">
        <f>STOCK[[#This Row],[Precio Final]]</f>
        <v>6</v>
      </c>
      <c r="I982" s="53">
        <f>STOCK[[#This Row],[Precio Venta Ideal (x1.5)]]</f>
        <v>6.9</v>
      </c>
      <c r="J982" s="71">
        <v>0</v>
      </c>
      <c r="K982" s="70">
        <f>SUMIFS(VENTAS[Cantidad],VENTAS[Código del producto Vendido],STOCK[[#This Row],[Code]])</f>
        <v>0</v>
      </c>
      <c r="L982" s="70">
        <f>STOCK[[#This Row],[Entradas]]-STOCK[[#This Row],[Salidas]]</f>
        <v>0</v>
      </c>
      <c r="M982" s="53">
        <f>STOCK[[#This Row],[Precio Final]]*10%</f>
        <v>0.6</v>
      </c>
      <c r="N982" s="53">
        <v>0</v>
      </c>
      <c r="O982" s="53">
        <v>0</v>
      </c>
      <c r="P982" s="53">
        <v>4</v>
      </c>
      <c r="Q982" s="70">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54" t="s">
        <v>1995</v>
      </c>
      <c r="F983" s="54" t="s">
        <v>1996</v>
      </c>
      <c r="G983" s="54" t="s">
        <v>1601</v>
      </c>
      <c r="H983" s="54">
        <f>STOCK[[#This Row],[Precio Final]]</f>
        <v>7.5</v>
      </c>
      <c r="I983" s="54">
        <f>STOCK[[#This Row],[Precio Venta Ideal (x1.5)]]</f>
        <v>8.625</v>
      </c>
      <c r="J983" s="71">
        <v>0</v>
      </c>
      <c r="K983" s="71">
        <f>SUMIFS(VENTAS[Cantidad],VENTAS[Código del producto Vendido],STOCK[[#This Row],[Code]])</f>
        <v>0</v>
      </c>
      <c r="L983" s="71">
        <f>STOCK[[#This Row],[Entradas]]-STOCK[[#This Row],[Salidas]]</f>
        <v>0</v>
      </c>
      <c r="M983" s="54">
        <f>STOCK[[#This Row],[Precio Final]]*10%</f>
        <v>0.75</v>
      </c>
      <c r="N983" s="54">
        <v>0</v>
      </c>
      <c r="O983" s="54">
        <v>0</v>
      </c>
      <c r="P983" s="54">
        <v>5</v>
      </c>
      <c r="Q983" s="71">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53" t="s">
        <v>1998</v>
      </c>
      <c r="F984" s="53" t="s">
        <v>1999</v>
      </c>
      <c r="G984" s="53" t="s">
        <v>704</v>
      </c>
      <c r="H984" s="53">
        <f>STOCK[[#This Row],[Precio Final]]</f>
        <v>8</v>
      </c>
      <c r="I984" s="53">
        <f>STOCK[[#This Row],[Precio Venta Ideal (x1.5)]]</f>
        <v>13.2</v>
      </c>
      <c r="J984" s="71">
        <v>0</v>
      </c>
      <c r="K984" s="70">
        <f>SUMIFS(VENTAS[Cantidad],VENTAS[Código del producto Vendido],STOCK[[#This Row],[Code]])</f>
        <v>0</v>
      </c>
      <c r="L984" s="70">
        <f>STOCK[[#This Row],[Entradas]]-STOCK[[#This Row],[Salidas]]</f>
        <v>0</v>
      </c>
      <c r="M984" s="53">
        <f>STOCK[[#This Row],[Precio Final]]*10%</f>
        <v>0.8</v>
      </c>
      <c r="N984" s="53">
        <v>0</v>
      </c>
      <c r="O984" s="53">
        <v>0</v>
      </c>
      <c r="P984" s="53">
        <v>8</v>
      </c>
      <c r="Q984" s="70">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54" t="s">
        <v>2001</v>
      </c>
      <c r="F985" s="54" t="s">
        <v>2002</v>
      </c>
      <c r="G985" s="54" t="s">
        <v>2003</v>
      </c>
      <c r="H985" s="54">
        <f>STOCK[[#This Row],[Precio Final]]</f>
        <v>3</v>
      </c>
      <c r="I985" s="54">
        <f>STOCK[[#This Row],[Precio Venta Ideal (x1.5)]]</f>
        <v>3.45</v>
      </c>
      <c r="J985" s="71">
        <v>0</v>
      </c>
      <c r="K985" s="71">
        <f>SUMIFS(VENTAS[Cantidad],VENTAS[Código del producto Vendido],STOCK[[#This Row],[Code]])</f>
        <v>0</v>
      </c>
      <c r="L985" s="71">
        <f>STOCK[[#This Row],[Entradas]]-STOCK[[#This Row],[Salidas]]</f>
        <v>0</v>
      </c>
      <c r="M985" s="54">
        <f>STOCK[[#This Row],[Precio Final]]*10%</f>
        <v>0.3</v>
      </c>
      <c r="N985" s="54">
        <v>0</v>
      </c>
      <c r="O985" s="54">
        <v>0</v>
      </c>
      <c r="P985" s="54">
        <v>2</v>
      </c>
      <c r="Q985" s="71">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53" t="s">
        <v>2005</v>
      </c>
      <c r="F986" s="53" t="s">
        <v>228</v>
      </c>
      <c r="G986" s="53" t="s">
        <v>1956</v>
      </c>
      <c r="H986" s="53">
        <f>STOCK[[#This Row],[Precio Final]]</f>
        <v>4.5</v>
      </c>
      <c r="I986" s="53">
        <f>STOCK[[#This Row],[Precio Venta Ideal (x1.5)]]</f>
        <v>5.175</v>
      </c>
      <c r="J986" s="71">
        <v>0</v>
      </c>
      <c r="K986" s="70">
        <f>SUMIFS(VENTAS[Cantidad],VENTAS[Código del producto Vendido],STOCK[[#This Row],[Code]])</f>
        <v>0</v>
      </c>
      <c r="L986" s="70">
        <f>STOCK[[#This Row],[Entradas]]-STOCK[[#This Row],[Salidas]]</f>
        <v>0</v>
      </c>
      <c r="M986" s="53">
        <f>STOCK[[#This Row],[Precio Final]]*10%</f>
        <v>0.45</v>
      </c>
      <c r="N986" s="53">
        <v>0</v>
      </c>
      <c r="O986" s="53">
        <v>0</v>
      </c>
      <c r="P986" s="53">
        <v>3</v>
      </c>
      <c r="Q986" s="70">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54" t="s">
        <v>2007</v>
      </c>
      <c r="F987" s="54" t="s">
        <v>2008</v>
      </c>
      <c r="G987" s="54" t="s">
        <v>1956</v>
      </c>
      <c r="H987" s="54">
        <f>STOCK[[#This Row],[Precio Final]]</f>
        <v>3</v>
      </c>
      <c r="I987" s="54">
        <f>STOCK[[#This Row],[Precio Venta Ideal (x1.5)]]</f>
        <v>3.45</v>
      </c>
      <c r="J987" s="71">
        <v>0</v>
      </c>
      <c r="K987" s="71">
        <f>SUMIFS(VENTAS[Cantidad],VENTAS[Código del producto Vendido],STOCK[[#This Row],[Code]])</f>
        <v>0</v>
      </c>
      <c r="L987" s="71">
        <f>STOCK[[#This Row],[Entradas]]-STOCK[[#This Row],[Salidas]]</f>
        <v>0</v>
      </c>
      <c r="M987" s="54">
        <f>STOCK[[#This Row],[Precio Final]]*10%</f>
        <v>0.3</v>
      </c>
      <c r="N987" s="54">
        <v>0</v>
      </c>
      <c r="O987" s="54">
        <v>0</v>
      </c>
      <c r="P987" s="54">
        <v>2</v>
      </c>
      <c r="Q987" s="71">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53" t="s">
        <v>2010</v>
      </c>
      <c r="F988" s="53" t="s">
        <v>2011</v>
      </c>
      <c r="G988" s="53" t="s">
        <v>1956</v>
      </c>
      <c r="H988" s="53">
        <f>STOCK[[#This Row],[Precio Final]]</f>
        <v>15</v>
      </c>
      <c r="I988" s="53">
        <f>STOCK[[#This Row],[Precio Venta Ideal (x1.5)]]</f>
        <v>17.25</v>
      </c>
      <c r="J988" s="71">
        <v>0</v>
      </c>
      <c r="K988" s="70">
        <f>SUMIFS(VENTAS[Cantidad],VENTAS[Código del producto Vendido],STOCK[[#This Row],[Code]])</f>
        <v>0</v>
      </c>
      <c r="L988" s="70">
        <f>STOCK[[#This Row],[Entradas]]-STOCK[[#This Row],[Salidas]]</f>
        <v>0</v>
      </c>
      <c r="M988" s="53">
        <f>STOCK[[#This Row],[Precio Final]]*10%</f>
        <v>1.5</v>
      </c>
      <c r="N988" s="53">
        <v>0</v>
      </c>
      <c r="O988" s="53">
        <v>0</v>
      </c>
      <c r="P988" s="53">
        <v>10</v>
      </c>
      <c r="Q988" s="70">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54" t="s">
        <v>2013</v>
      </c>
      <c r="F989" s="54" t="s">
        <v>2014</v>
      </c>
      <c r="G989" s="54" t="s">
        <v>1956</v>
      </c>
      <c r="H989" s="54">
        <f>STOCK[[#This Row],[Precio Final]]</f>
        <v>4.5</v>
      </c>
      <c r="I989" s="54">
        <f>STOCK[[#This Row],[Precio Venta Ideal (x1.5)]]</f>
        <v>3.675</v>
      </c>
      <c r="J989" s="71">
        <v>0</v>
      </c>
      <c r="K989" s="71">
        <f>SUMIFS(VENTAS[Cantidad],VENTAS[Código del producto Vendido],STOCK[[#This Row],[Code]])</f>
        <v>0</v>
      </c>
      <c r="L989" s="71">
        <f>STOCK[[#This Row],[Entradas]]-STOCK[[#This Row],[Salidas]]</f>
        <v>0</v>
      </c>
      <c r="M989" s="54">
        <f>STOCK[[#This Row],[Precio Final]]*10%</f>
        <v>0.45</v>
      </c>
      <c r="N989" s="54">
        <v>0</v>
      </c>
      <c r="O989" s="54">
        <v>0</v>
      </c>
      <c r="P989" s="54">
        <v>2</v>
      </c>
      <c r="Q989" s="71">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53" t="s">
        <v>2016</v>
      </c>
      <c r="F990" s="53" t="s">
        <v>2017</v>
      </c>
      <c r="G990" s="53" t="s">
        <v>1952</v>
      </c>
      <c r="H990" s="53">
        <f>STOCK[[#This Row],[Precio Final]]</f>
        <v>4.5</v>
      </c>
      <c r="I990" s="53">
        <f>STOCK[[#This Row],[Precio Venta Ideal (x1.5)]]</f>
        <v>3.675</v>
      </c>
      <c r="J990" s="71">
        <v>0</v>
      </c>
      <c r="K990" s="70">
        <f>SUMIFS(VENTAS[Cantidad],VENTAS[Código del producto Vendido],STOCK[[#This Row],[Code]])</f>
        <v>0</v>
      </c>
      <c r="L990" s="70">
        <f>STOCK[[#This Row],[Entradas]]-STOCK[[#This Row],[Salidas]]</f>
        <v>0</v>
      </c>
      <c r="M990" s="53">
        <f>STOCK[[#This Row],[Precio Final]]*10%</f>
        <v>0.45</v>
      </c>
      <c r="N990" s="53">
        <v>0</v>
      </c>
      <c r="O990" s="53">
        <v>0</v>
      </c>
      <c r="P990" s="53">
        <v>2</v>
      </c>
      <c r="Q990" s="70">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54" t="s">
        <v>2019</v>
      </c>
      <c r="F991" s="54" t="s">
        <v>2020</v>
      </c>
      <c r="G991" s="54" t="s">
        <v>36</v>
      </c>
      <c r="H991" s="54">
        <f>STOCK[[#This Row],[Precio Final]]</f>
        <v>22</v>
      </c>
      <c r="I991" s="54">
        <f>STOCK[[#This Row],[Precio Venta Ideal (x1.5)]]</f>
        <v>3.3</v>
      </c>
      <c r="J991" s="71">
        <v>1</v>
      </c>
      <c r="K991" s="71">
        <f>SUMIFS(VENTAS[Cantidad],VENTAS[Código del producto Vendido],STOCK[[#This Row],[Code]])</f>
        <v>1</v>
      </c>
      <c r="L991" s="71">
        <f>STOCK[[#This Row],[Entradas]]-STOCK[[#This Row],[Salidas]]</f>
        <v>0</v>
      </c>
      <c r="M991" s="54">
        <f>STOCK[[#This Row],[Precio Final]]*10%</f>
        <v>2.2</v>
      </c>
      <c r="N991" s="54">
        <v>0</v>
      </c>
      <c r="O991" s="54">
        <v>0</v>
      </c>
      <c r="P991" s="54">
        <v>0</v>
      </c>
      <c r="Q991" s="71">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53" t="s">
        <v>2023</v>
      </c>
      <c r="F992" s="53" t="s">
        <v>46</v>
      </c>
      <c r="G992" s="53" t="s">
        <v>36</v>
      </c>
      <c r="H992" s="53">
        <f>STOCK[[#This Row],[Precio Final]]</f>
        <v>22</v>
      </c>
      <c r="I992" s="53">
        <f>STOCK[[#This Row],[Precio Venta Ideal (x1.5)]]</f>
        <v>3.3</v>
      </c>
      <c r="J992" s="70">
        <v>1</v>
      </c>
      <c r="K992" s="70">
        <f>SUMIFS(VENTAS[Cantidad],VENTAS[Código del producto Vendido],STOCK[[#This Row],[Code]])</f>
        <v>1</v>
      </c>
      <c r="L992" s="70">
        <f>STOCK[[#This Row],[Entradas]]-STOCK[[#This Row],[Salidas]]</f>
        <v>0</v>
      </c>
      <c r="M992" s="53">
        <f>STOCK[[#This Row],[Precio Final]]*10%</f>
        <v>2.2</v>
      </c>
      <c r="N992" s="53">
        <v>0</v>
      </c>
      <c r="O992" s="53">
        <v>0</v>
      </c>
      <c r="P992" s="53">
        <v>0</v>
      </c>
      <c r="Q992" s="70">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54" t="s">
        <v>2019</v>
      </c>
      <c r="F993" s="54" t="s">
        <v>2025</v>
      </c>
      <c r="G993" s="54" t="s">
        <v>36</v>
      </c>
      <c r="H993" s="54">
        <f>STOCK[[#This Row],[Precio Final]]</f>
        <v>22</v>
      </c>
      <c r="I993" s="54">
        <f>STOCK[[#This Row],[Precio Venta Ideal (x1.5)]]</f>
        <v>3.3</v>
      </c>
      <c r="J993" s="71">
        <v>1</v>
      </c>
      <c r="K993" s="71">
        <f>SUMIFS(VENTAS[Cantidad],VENTAS[Código del producto Vendido],STOCK[[#This Row],[Code]])</f>
        <v>1</v>
      </c>
      <c r="L993" s="71">
        <f>STOCK[[#This Row],[Entradas]]-STOCK[[#This Row],[Salidas]]</f>
        <v>0</v>
      </c>
      <c r="M993" s="54">
        <f>STOCK[[#This Row],[Precio Final]]*10%</f>
        <v>2.2</v>
      </c>
      <c r="N993" s="54">
        <v>0</v>
      </c>
      <c r="O993" s="54">
        <v>0</v>
      </c>
      <c r="P993" s="54">
        <v>0</v>
      </c>
      <c r="Q993" s="71">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53" t="s">
        <v>2027</v>
      </c>
      <c r="F994" s="53" t="s">
        <v>2028</v>
      </c>
      <c r="H994" s="53">
        <f>STOCK[[#This Row],[Precio Final]]</f>
        <v>3</v>
      </c>
      <c r="I994" s="53">
        <f>STOCK[[#This Row],[Precio Venta Ideal (x1.5)]]</f>
        <v>0.45</v>
      </c>
      <c r="J994" s="70">
        <v>0</v>
      </c>
      <c r="K994" s="70">
        <f>SUMIFS(VENTAS[Cantidad],VENTAS[Código del producto Vendido],STOCK[[#This Row],[Code]])</f>
        <v>0</v>
      </c>
      <c r="L994" s="70">
        <f>STOCK[[#This Row],[Entradas]]-STOCK[[#This Row],[Salidas]]</f>
        <v>0</v>
      </c>
      <c r="M994" s="53">
        <f>STOCK[[#This Row],[Precio Final]]*10%</f>
        <v>0.3</v>
      </c>
      <c r="N994" s="53">
        <v>0</v>
      </c>
      <c r="O994" s="53">
        <v>0</v>
      </c>
      <c r="P994" s="53">
        <v>0</v>
      </c>
      <c r="Q994" s="70">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54" t="s">
        <v>2030</v>
      </c>
      <c r="F995" s="54" t="s">
        <v>2031</v>
      </c>
      <c r="G995" s="54" t="s">
        <v>2032</v>
      </c>
      <c r="H995" s="54">
        <f>STOCK[[#This Row],[Precio Final]]</f>
        <v>3</v>
      </c>
      <c r="I995" s="54">
        <f>STOCK[[#This Row],[Precio Venta Ideal (x1.5)]]</f>
        <v>0.45</v>
      </c>
      <c r="J995" s="71">
        <v>1</v>
      </c>
      <c r="K995" s="71">
        <f>SUMIFS(VENTAS[Cantidad],VENTAS[Código del producto Vendido],STOCK[[#This Row],[Code]])</f>
        <v>1</v>
      </c>
      <c r="L995" s="71">
        <f>STOCK[[#This Row],[Entradas]]-STOCK[[#This Row],[Salidas]]</f>
        <v>0</v>
      </c>
      <c r="M995" s="54">
        <f>STOCK[[#This Row],[Precio Final]]*10%</f>
        <v>0.3</v>
      </c>
      <c r="N995" s="54">
        <v>0</v>
      </c>
      <c r="O995" s="54">
        <v>0</v>
      </c>
      <c r="P995" s="54">
        <v>0</v>
      </c>
      <c r="Q995" s="71">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53" t="s">
        <v>2034</v>
      </c>
      <c r="F996" s="53" t="s">
        <v>1983</v>
      </c>
      <c r="H996" s="53">
        <f>STOCK[[#This Row],[Precio Final]]</f>
        <v>3</v>
      </c>
      <c r="I996" s="53">
        <f>STOCK[[#This Row],[Precio Venta Ideal (x1.5)]]</f>
        <v>0.45</v>
      </c>
      <c r="J996" s="70">
        <v>0</v>
      </c>
      <c r="K996" s="70">
        <f>SUMIFS(VENTAS[Cantidad],VENTAS[Código del producto Vendido],STOCK[[#This Row],[Code]])</f>
        <v>0</v>
      </c>
      <c r="L996" s="70">
        <f>STOCK[[#This Row],[Entradas]]-STOCK[[#This Row],[Salidas]]</f>
        <v>0</v>
      </c>
      <c r="M996" s="53">
        <f>STOCK[[#This Row],[Precio Final]]*10%</f>
        <v>0.3</v>
      </c>
      <c r="N996" s="53">
        <v>0</v>
      </c>
      <c r="O996" s="53">
        <v>0</v>
      </c>
      <c r="P996" s="53">
        <v>0</v>
      </c>
      <c r="Q996" s="70">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54" t="s">
        <v>2036</v>
      </c>
      <c r="F997" s="54" t="s">
        <v>2037</v>
      </c>
      <c r="G997" s="54" t="s">
        <v>2038</v>
      </c>
      <c r="H997" s="54">
        <f>STOCK[[#This Row],[Precio Final]]</f>
        <v>3</v>
      </c>
      <c r="I997" s="54">
        <f>STOCK[[#This Row],[Precio Venta Ideal (x1.5)]]</f>
        <v>0.45</v>
      </c>
      <c r="J997" s="71">
        <v>0</v>
      </c>
      <c r="K997" s="71">
        <f>SUMIFS(VENTAS[Cantidad],VENTAS[Código del producto Vendido],STOCK[[#This Row],[Code]])</f>
        <v>0</v>
      </c>
      <c r="L997" s="71">
        <f>STOCK[[#This Row],[Entradas]]-STOCK[[#This Row],[Salidas]]</f>
        <v>0</v>
      </c>
      <c r="M997" s="54">
        <f>STOCK[[#This Row],[Precio Final]]*10%</f>
        <v>0.3</v>
      </c>
      <c r="N997" s="54">
        <v>0</v>
      </c>
      <c r="O997" s="54">
        <v>0</v>
      </c>
      <c r="P997" s="54">
        <v>0</v>
      </c>
      <c r="Q997" s="71">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53" t="s">
        <v>2040</v>
      </c>
      <c r="F998" s="53" t="s">
        <v>2041</v>
      </c>
      <c r="H998" s="53">
        <f>STOCK[[#This Row],[Precio Final]]</f>
        <v>2</v>
      </c>
      <c r="I998" s="53">
        <f>STOCK[[#This Row],[Precio Venta Ideal (x1.5)]]</f>
        <v>0.3</v>
      </c>
      <c r="J998" s="70">
        <v>0</v>
      </c>
      <c r="K998" s="70">
        <f>SUMIFS(VENTAS[Cantidad],VENTAS[Código del producto Vendido],STOCK[[#This Row],[Code]])</f>
        <v>0</v>
      </c>
      <c r="L998" s="70">
        <f>STOCK[[#This Row],[Entradas]]-STOCK[[#This Row],[Salidas]]</f>
        <v>0</v>
      </c>
      <c r="M998" s="53">
        <f>STOCK[[#This Row],[Precio Final]]*10%</f>
        <v>0.2</v>
      </c>
      <c r="N998" s="53">
        <v>0</v>
      </c>
      <c r="O998" s="53">
        <v>0</v>
      </c>
      <c r="P998" s="53">
        <v>0</v>
      </c>
      <c r="Q998" s="70">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54" t="s">
        <v>2043</v>
      </c>
      <c r="F999" s="54" t="s">
        <v>1962</v>
      </c>
      <c r="H999" s="54">
        <f>STOCK[[#This Row],[Precio Final]]</f>
        <v>3</v>
      </c>
      <c r="I999" s="54">
        <f>STOCK[[#This Row],[Precio Venta Ideal (x1.5)]]</f>
        <v>0.45</v>
      </c>
      <c r="J999" s="71">
        <v>1</v>
      </c>
      <c r="K999" s="71">
        <f>SUMIFS(VENTAS[Cantidad],VENTAS[Código del producto Vendido],STOCK[[#This Row],[Code]])</f>
        <v>1</v>
      </c>
      <c r="L999" s="71">
        <f>STOCK[[#This Row],[Entradas]]-STOCK[[#This Row],[Salidas]]</f>
        <v>0</v>
      </c>
      <c r="M999" s="54">
        <f>STOCK[[#This Row],[Precio Final]]*10%</f>
        <v>0.3</v>
      </c>
      <c r="N999" s="54">
        <v>0</v>
      </c>
      <c r="O999" s="54">
        <v>0</v>
      </c>
      <c r="P999" s="54">
        <v>0</v>
      </c>
      <c r="Q999" s="71">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53" t="s">
        <v>2045</v>
      </c>
      <c r="F1000" s="53" t="s">
        <v>1962</v>
      </c>
      <c r="H1000" s="53">
        <f>STOCK[[#This Row],[Precio Final]]</f>
        <v>3</v>
      </c>
      <c r="I1000" s="53">
        <f>STOCK[[#This Row],[Precio Venta Ideal (x1.5)]]</f>
        <v>0.45</v>
      </c>
      <c r="J1000" s="70">
        <v>0</v>
      </c>
      <c r="K1000" s="70">
        <f>SUMIFS(VENTAS[Cantidad],VENTAS[Código del producto Vendido],STOCK[[#This Row],[Code]])</f>
        <v>0</v>
      </c>
      <c r="L1000" s="70">
        <f>STOCK[[#This Row],[Entradas]]-STOCK[[#This Row],[Salidas]]</f>
        <v>0</v>
      </c>
      <c r="M1000" s="53">
        <f>STOCK[[#This Row],[Precio Final]]*10%</f>
        <v>0.3</v>
      </c>
      <c r="N1000" s="53">
        <v>0</v>
      </c>
      <c r="O1000" s="53">
        <v>0</v>
      </c>
      <c r="P1000" s="53">
        <v>0</v>
      </c>
      <c r="Q1000" s="70">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54" t="s">
        <v>2047</v>
      </c>
      <c r="F1001" s="54" t="s">
        <v>2048</v>
      </c>
      <c r="H1001" s="54">
        <f>STOCK[[#This Row],[Precio Final]]</f>
        <v>5</v>
      </c>
      <c r="I1001" s="54">
        <f>STOCK[[#This Row],[Precio Venta Ideal (x1.5)]]</f>
        <v>0.75</v>
      </c>
      <c r="J1001" s="70">
        <v>0</v>
      </c>
      <c r="K1001" s="71">
        <f>SUMIFS(VENTAS[Cantidad],VENTAS[Código del producto Vendido],STOCK[[#This Row],[Code]])</f>
        <v>0</v>
      </c>
      <c r="L1001" s="71">
        <f>STOCK[[#This Row],[Entradas]]-STOCK[[#This Row],[Salidas]]</f>
        <v>0</v>
      </c>
      <c r="M1001" s="54">
        <f>STOCK[[#This Row],[Precio Final]]*10%</f>
        <v>0.5</v>
      </c>
      <c r="N1001" s="54">
        <v>0</v>
      </c>
      <c r="O1001" s="54">
        <v>0</v>
      </c>
      <c r="P1001" s="54">
        <v>0</v>
      </c>
      <c r="Q1001" s="71">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53" t="s">
        <v>2050</v>
      </c>
      <c r="F1002" s="53" t="s">
        <v>2051</v>
      </c>
      <c r="G1002" s="53" t="s">
        <v>36</v>
      </c>
      <c r="H1002" s="53">
        <f>STOCK[[#This Row],[Precio Final]]</f>
        <v>6</v>
      </c>
      <c r="I1002" s="53">
        <f>STOCK[[#This Row],[Precio Venta Ideal (x1.5)]]</f>
        <v>0.9</v>
      </c>
      <c r="J1002" s="70">
        <v>0</v>
      </c>
      <c r="K1002" s="70">
        <f>SUMIFS(VENTAS[Cantidad],VENTAS[Código del producto Vendido],STOCK[[#This Row],[Code]])</f>
        <v>0</v>
      </c>
      <c r="L1002" s="70">
        <f>STOCK[[#This Row],[Entradas]]-STOCK[[#This Row],[Salidas]]</f>
        <v>0</v>
      </c>
      <c r="M1002" s="53">
        <f>STOCK[[#This Row],[Precio Final]]*10%</f>
        <v>0.6</v>
      </c>
      <c r="N1002" s="53">
        <v>0</v>
      </c>
      <c r="O1002" s="53">
        <v>0</v>
      </c>
      <c r="P1002" s="53">
        <v>0</v>
      </c>
      <c r="Q1002" s="70">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54" t="s">
        <v>2053</v>
      </c>
      <c r="F1003" s="54" t="s">
        <v>2054</v>
      </c>
      <c r="G1003" s="54" t="s">
        <v>2055</v>
      </c>
      <c r="H1003" s="54">
        <f>STOCK[[#This Row],[Precio Final]]</f>
        <v>6</v>
      </c>
      <c r="I1003" s="54">
        <f>STOCK[[#This Row],[Precio Venta Ideal (x1.5)]]</f>
        <v>0.9</v>
      </c>
      <c r="J1003" s="70">
        <v>0</v>
      </c>
      <c r="K1003" s="71">
        <f>SUMIFS(VENTAS[Cantidad],VENTAS[Código del producto Vendido],STOCK[[#This Row],[Code]])</f>
        <v>0</v>
      </c>
      <c r="L1003" s="71">
        <f>STOCK[[#This Row],[Entradas]]-STOCK[[#This Row],[Salidas]]</f>
        <v>0</v>
      </c>
      <c r="M1003" s="54">
        <f>STOCK[[#This Row],[Precio Final]]*10%</f>
        <v>0.6</v>
      </c>
      <c r="N1003" s="54">
        <v>0</v>
      </c>
      <c r="O1003" s="54">
        <v>0</v>
      </c>
      <c r="P1003" s="54">
        <v>0</v>
      </c>
      <c r="Q1003" s="71">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53" t="s">
        <v>2057</v>
      </c>
      <c r="F1004" s="53" t="s">
        <v>2058</v>
      </c>
      <c r="G1004" s="53" t="s">
        <v>36</v>
      </c>
      <c r="H1004" s="53">
        <f>STOCK[[#This Row],[Precio Final]]</f>
        <v>20</v>
      </c>
      <c r="I1004" s="53">
        <f>STOCK[[#This Row],[Precio Venta Ideal (x1.5)]]</f>
        <v>3</v>
      </c>
      <c r="J1004" s="70">
        <v>0</v>
      </c>
      <c r="K1004" s="70">
        <f>SUMIFS(VENTAS[Cantidad],VENTAS[Código del producto Vendido],STOCK[[#This Row],[Code]])</f>
        <v>0</v>
      </c>
      <c r="L1004" s="70">
        <f>STOCK[[#This Row],[Entradas]]-STOCK[[#This Row],[Salidas]]</f>
        <v>0</v>
      </c>
      <c r="M1004" s="53">
        <f>STOCK[[#This Row],[Precio Final]]*10%</f>
        <v>2</v>
      </c>
      <c r="N1004" s="53">
        <v>0</v>
      </c>
      <c r="O1004" s="53">
        <v>0</v>
      </c>
      <c r="P1004" s="53">
        <v>0</v>
      </c>
      <c r="Q1004" s="70">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54" t="s">
        <v>2060</v>
      </c>
      <c r="F1005" s="54" t="s">
        <v>258</v>
      </c>
      <c r="G1005" s="54" t="s">
        <v>36</v>
      </c>
      <c r="H1005" s="54">
        <f>STOCK[[#This Row],[Precio Final]]</f>
        <v>28</v>
      </c>
      <c r="I1005" s="54">
        <f>STOCK[[#This Row],[Precio Venta Ideal (x1.5)]]</f>
        <v>25.2</v>
      </c>
      <c r="J1005" s="70">
        <v>0</v>
      </c>
      <c r="K1005" s="71">
        <f>SUMIFS(VENTAS[Cantidad],VENTAS[Código del producto Vendido],STOCK[[#This Row],[Code]])</f>
        <v>0</v>
      </c>
      <c r="L1005" s="71">
        <f>STOCK[[#This Row],[Entradas]]-STOCK[[#This Row],[Salidas]]</f>
        <v>0</v>
      </c>
      <c r="M1005" s="54">
        <f>STOCK[[#This Row],[Precio Final]]*10%</f>
        <v>2.8</v>
      </c>
      <c r="N1005" s="54">
        <v>0</v>
      </c>
      <c r="O1005" s="54">
        <v>0</v>
      </c>
      <c r="P1005" s="54">
        <v>14</v>
      </c>
      <c r="Q1005" s="71">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53" t="s">
        <v>2062</v>
      </c>
      <c r="F1006" s="53" t="s">
        <v>2063</v>
      </c>
      <c r="G1006" s="53" t="s">
        <v>704</v>
      </c>
      <c r="H1006" s="53">
        <f>STOCK[[#This Row],[Precio Final]]</f>
        <v>0</v>
      </c>
      <c r="I1006" s="53">
        <f>STOCK[[#This Row],[Precio Venta Ideal (x1.5)]]</f>
        <v>0</v>
      </c>
      <c r="J1006" s="70">
        <v>0</v>
      </c>
      <c r="K1006" s="70">
        <f>SUMIFS(VENTAS[Cantidad],VENTAS[Código del producto Vendido],STOCK[[#This Row],[Code]])</f>
        <v>0</v>
      </c>
      <c r="L1006" s="70">
        <f>STOCK[[#This Row],[Entradas]]-STOCK[[#This Row],[Salidas]]</f>
        <v>0</v>
      </c>
      <c r="M1006" s="53">
        <f>STOCK[[#This Row],[Precio Final]]*10%</f>
        <v>0</v>
      </c>
      <c r="N1006" s="53">
        <v>0</v>
      </c>
      <c r="O1006" s="53">
        <v>0</v>
      </c>
      <c r="P1006" s="53">
        <v>0</v>
      </c>
      <c r="Q1006" s="70">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54" t="s">
        <v>2065</v>
      </c>
      <c r="F1007" s="54" t="s">
        <v>2066</v>
      </c>
      <c r="G1007" s="54" t="s">
        <v>704</v>
      </c>
      <c r="H1007" s="54">
        <f>STOCK[[#This Row],[Precio Final]]</f>
        <v>30</v>
      </c>
      <c r="I1007" s="54">
        <f>STOCK[[#This Row],[Precio Venta Ideal (x1.5)]]</f>
        <v>27</v>
      </c>
      <c r="J1007" s="70">
        <v>0</v>
      </c>
      <c r="K1007" s="71">
        <f>SUMIFS(VENTAS[Cantidad],VENTAS[Código del producto Vendido],STOCK[[#This Row],[Code]])</f>
        <v>0</v>
      </c>
      <c r="L1007" s="71">
        <f>STOCK[[#This Row],[Entradas]]-STOCK[[#This Row],[Salidas]]</f>
        <v>0</v>
      </c>
      <c r="M1007" s="54">
        <f>STOCK[[#This Row],[Precio Final]]*10%</f>
        <v>3</v>
      </c>
      <c r="N1007" s="54">
        <v>0</v>
      </c>
      <c r="O1007" s="54">
        <v>0</v>
      </c>
      <c r="P1007" s="54">
        <v>15</v>
      </c>
      <c r="Q1007" s="71">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53" t="s">
        <v>2068</v>
      </c>
      <c r="F1008" s="53" t="s">
        <v>2069</v>
      </c>
      <c r="G1008" s="53" t="s">
        <v>2070</v>
      </c>
      <c r="H1008" s="53">
        <f>STOCK[[#This Row],[Precio Final]]</f>
        <v>0</v>
      </c>
      <c r="I1008" s="53">
        <f>STOCK[[#This Row],[Precio Venta Ideal (x1.5)]]</f>
        <v>0</v>
      </c>
      <c r="J1008" s="70">
        <v>0</v>
      </c>
      <c r="K1008" s="70">
        <f>SUMIFS(VENTAS[Cantidad],VENTAS[Código del producto Vendido],STOCK[[#This Row],[Code]])</f>
        <v>0</v>
      </c>
      <c r="L1008" s="70">
        <f>STOCK[[#This Row],[Entradas]]-STOCK[[#This Row],[Salidas]]</f>
        <v>0</v>
      </c>
      <c r="M1008" s="53">
        <f>STOCK[[#This Row],[Precio Final]]*10%</f>
        <v>0</v>
      </c>
      <c r="N1008" s="53">
        <v>0</v>
      </c>
      <c r="O1008" s="53">
        <v>0</v>
      </c>
      <c r="P1008" s="53">
        <v>0</v>
      </c>
      <c r="Q1008" s="70">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54" t="s">
        <v>2072</v>
      </c>
      <c r="F1009" s="54" t="s">
        <v>2069</v>
      </c>
      <c r="G1009" s="54" t="s">
        <v>2070</v>
      </c>
      <c r="H1009" s="54">
        <f>STOCK[[#This Row],[Precio Final]]</f>
        <v>0</v>
      </c>
      <c r="I1009" s="54">
        <f>STOCK[[#This Row],[Precio Venta Ideal (x1.5)]]</f>
        <v>0</v>
      </c>
      <c r="J1009" s="70">
        <v>0</v>
      </c>
      <c r="K1009" s="71">
        <f>SUMIFS(VENTAS[Cantidad],VENTAS[Código del producto Vendido],STOCK[[#This Row],[Code]])</f>
        <v>0</v>
      </c>
      <c r="L1009" s="71">
        <f>STOCK[[#This Row],[Entradas]]-STOCK[[#This Row],[Salidas]]</f>
        <v>0</v>
      </c>
      <c r="M1009" s="54">
        <f>STOCK[[#This Row],[Precio Final]]*10%</f>
        <v>0</v>
      </c>
      <c r="N1009" s="54">
        <v>0</v>
      </c>
      <c r="O1009" s="54">
        <v>0</v>
      </c>
      <c r="P1009" s="54">
        <v>0</v>
      </c>
      <c r="Q1009" s="71">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53" t="s">
        <v>2074</v>
      </c>
      <c r="F1010" s="53" t="s">
        <v>2069</v>
      </c>
      <c r="G1010" s="53" t="s">
        <v>2070</v>
      </c>
      <c r="H1010" s="53">
        <f>STOCK[[#This Row],[Precio Final]]</f>
        <v>0</v>
      </c>
      <c r="I1010" s="53">
        <f>STOCK[[#This Row],[Precio Venta Ideal (x1.5)]]</f>
        <v>0</v>
      </c>
      <c r="J1010" s="70">
        <v>0</v>
      </c>
      <c r="K1010" s="70">
        <f>SUMIFS(VENTAS[Cantidad],VENTAS[Código del producto Vendido],STOCK[[#This Row],[Code]])</f>
        <v>0</v>
      </c>
      <c r="L1010" s="70">
        <f>STOCK[[#This Row],[Entradas]]-STOCK[[#This Row],[Salidas]]</f>
        <v>0</v>
      </c>
      <c r="M1010" s="53">
        <f>STOCK[[#This Row],[Precio Final]]*10%</f>
        <v>0</v>
      </c>
      <c r="N1010" s="53">
        <v>0</v>
      </c>
      <c r="O1010" s="53">
        <v>0</v>
      </c>
      <c r="P1010" s="53">
        <v>0</v>
      </c>
      <c r="Q1010" s="70">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54" t="s">
        <v>2076</v>
      </c>
      <c r="F1011" s="54" t="s">
        <v>2069</v>
      </c>
      <c r="G1011" s="54" t="s">
        <v>2070</v>
      </c>
      <c r="H1011" s="54">
        <f>STOCK[[#This Row],[Precio Final]]</f>
        <v>0</v>
      </c>
      <c r="I1011" s="54">
        <f>STOCK[[#This Row],[Precio Venta Ideal (x1.5)]]</f>
        <v>0</v>
      </c>
      <c r="J1011" s="70">
        <v>0</v>
      </c>
      <c r="K1011" s="71">
        <f>SUMIFS(VENTAS[Cantidad],VENTAS[Código del producto Vendido],STOCK[[#This Row],[Code]])</f>
        <v>0</v>
      </c>
      <c r="L1011" s="71">
        <f>STOCK[[#This Row],[Entradas]]-STOCK[[#This Row],[Salidas]]</f>
        <v>0</v>
      </c>
      <c r="M1011" s="54">
        <f>STOCK[[#This Row],[Precio Final]]*10%</f>
        <v>0</v>
      </c>
      <c r="N1011" s="54">
        <v>0</v>
      </c>
      <c r="O1011" s="54">
        <v>0</v>
      </c>
      <c r="P1011" s="54">
        <v>0</v>
      </c>
      <c r="Q1011" s="71">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53" t="s">
        <v>2078</v>
      </c>
      <c r="F1012" s="53" t="s">
        <v>2079</v>
      </c>
      <c r="G1012" s="53" t="s">
        <v>2070</v>
      </c>
      <c r="H1012" s="53">
        <f>STOCK[[#This Row],[Precio Final]]</f>
        <v>0</v>
      </c>
      <c r="I1012" s="53">
        <f>STOCK[[#This Row],[Precio Venta Ideal (x1.5)]]</f>
        <v>0</v>
      </c>
      <c r="J1012" s="70">
        <v>0</v>
      </c>
      <c r="K1012" s="70">
        <f>SUMIFS(VENTAS[Cantidad],VENTAS[Código del producto Vendido],STOCK[[#This Row],[Code]])</f>
        <v>0</v>
      </c>
      <c r="L1012" s="70">
        <f>STOCK[[#This Row],[Entradas]]-STOCK[[#This Row],[Salidas]]</f>
        <v>0</v>
      </c>
      <c r="M1012" s="53">
        <f>STOCK[[#This Row],[Precio Final]]*10%</f>
        <v>0</v>
      </c>
      <c r="N1012" s="53">
        <v>0</v>
      </c>
      <c r="O1012" s="53">
        <v>0</v>
      </c>
      <c r="P1012" s="53">
        <v>0</v>
      </c>
      <c r="Q1012" s="70">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54" t="s">
        <v>2081</v>
      </c>
      <c r="F1013" s="54" t="s">
        <v>49</v>
      </c>
      <c r="G1013" s="54" t="s">
        <v>704</v>
      </c>
      <c r="H1013" s="54">
        <f>STOCK[[#This Row],[Precio Final]]</f>
        <v>30</v>
      </c>
      <c r="I1013" s="54">
        <f>STOCK[[#This Row],[Precio Venta Ideal (x1.5)]]</f>
        <v>27</v>
      </c>
      <c r="J1013" s="70">
        <v>0</v>
      </c>
      <c r="K1013" s="71">
        <f>SUMIFS(VENTAS[Cantidad],VENTAS[Código del producto Vendido],STOCK[[#This Row],[Code]])</f>
        <v>0</v>
      </c>
      <c r="L1013" s="71">
        <f>STOCK[[#This Row],[Entradas]]-STOCK[[#This Row],[Salidas]]</f>
        <v>0</v>
      </c>
      <c r="M1013" s="54">
        <f>STOCK[[#This Row],[Precio Final]]*10%</f>
        <v>3</v>
      </c>
      <c r="N1013" s="54">
        <v>0</v>
      </c>
      <c r="O1013" s="54">
        <v>0</v>
      </c>
      <c r="P1013" s="54">
        <v>15</v>
      </c>
      <c r="Q1013" s="71">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53" t="s">
        <v>2083</v>
      </c>
      <c r="F1014" s="53" t="s">
        <v>40</v>
      </c>
      <c r="G1014" s="53" t="s">
        <v>36</v>
      </c>
      <c r="H1014" s="53">
        <f>STOCK[[#This Row],[Precio Final]]</f>
        <v>30</v>
      </c>
      <c r="I1014" s="53">
        <f>STOCK[[#This Row],[Precio Venta Ideal (x1.5)]]</f>
        <v>27</v>
      </c>
      <c r="J1014" s="70">
        <v>0</v>
      </c>
      <c r="K1014" s="70">
        <f>SUMIFS(VENTAS[Cantidad],VENTAS[Código del producto Vendido],STOCK[[#This Row],[Code]])</f>
        <v>0</v>
      </c>
      <c r="L1014" s="70">
        <f>STOCK[[#This Row],[Entradas]]-STOCK[[#This Row],[Salidas]]</f>
        <v>0</v>
      </c>
      <c r="M1014" s="53">
        <f>STOCK[[#This Row],[Precio Final]]*10%</f>
        <v>3</v>
      </c>
      <c r="N1014" s="53">
        <v>0</v>
      </c>
      <c r="O1014" s="53">
        <v>0</v>
      </c>
      <c r="P1014" s="53">
        <v>15</v>
      </c>
      <c r="Q1014" s="70">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54" t="s">
        <v>2085</v>
      </c>
      <c r="F1015" s="54" t="s">
        <v>1986</v>
      </c>
      <c r="G1015" s="54" t="s">
        <v>1296</v>
      </c>
      <c r="H1015" s="54">
        <f>STOCK[[#This Row],[Precio Final]]</f>
        <v>15</v>
      </c>
      <c r="I1015" s="54">
        <f>STOCK[[#This Row],[Precio Venta Ideal (x1.5)]]</f>
        <v>17.25</v>
      </c>
      <c r="J1015" s="70">
        <v>0</v>
      </c>
      <c r="K1015" s="71">
        <f>SUMIFS(VENTAS[Cantidad],VENTAS[Código del producto Vendido],STOCK[[#This Row],[Code]])</f>
        <v>0</v>
      </c>
      <c r="L1015" s="71">
        <f>STOCK[[#This Row],[Entradas]]-STOCK[[#This Row],[Salidas]]</f>
        <v>0</v>
      </c>
      <c r="M1015" s="54">
        <f>STOCK[[#This Row],[Precio Final]]*10%</f>
        <v>1.5</v>
      </c>
      <c r="N1015" s="54">
        <v>0</v>
      </c>
      <c r="O1015" s="54">
        <v>0</v>
      </c>
      <c r="P1015" s="54">
        <v>10</v>
      </c>
      <c r="Q1015" s="71">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53" t="s">
        <v>2087</v>
      </c>
      <c r="F1016" s="53" t="s">
        <v>766</v>
      </c>
      <c r="G1016" s="53" t="s">
        <v>1601</v>
      </c>
      <c r="H1016" s="53">
        <f>STOCK[[#This Row],[Precio Final]]</f>
        <v>40</v>
      </c>
      <c r="I1016" s="53">
        <f>STOCK[[#This Row],[Precio Venta Ideal (x1.5)]]</f>
        <v>39.63</v>
      </c>
      <c r="J1016" s="70">
        <v>1</v>
      </c>
      <c r="K1016" s="70">
        <f>SUMIFS(VENTAS[Cantidad],VENTAS[Código del producto Vendido],STOCK[[#This Row],[Code]])</f>
        <v>1</v>
      </c>
      <c r="L1016" s="70">
        <f>STOCK[[#This Row],[Entradas]]-STOCK[[#This Row],[Salidas]]</f>
        <v>0</v>
      </c>
      <c r="M1016" s="53">
        <f>STOCK[[#This Row],[Precio Final]]*10%</f>
        <v>4</v>
      </c>
      <c r="N1016" s="53">
        <v>0</v>
      </c>
      <c r="O1016" s="53">
        <v>0</v>
      </c>
      <c r="P1016" s="53">
        <v>20.92</v>
      </c>
      <c r="Q1016" s="70">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54" t="s">
        <v>1903</v>
      </c>
      <c r="F1017" s="54" t="s">
        <v>42</v>
      </c>
      <c r="G1017" s="54" t="s">
        <v>1876</v>
      </c>
      <c r="H1017" s="54">
        <f>STOCK[[#This Row],[Precio Final]]</f>
        <v>14</v>
      </c>
      <c r="I1017" s="54">
        <f>STOCK[[#This Row],[Precio Venta Ideal (x1.5)]]</f>
        <v>15.9</v>
      </c>
      <c r="J1017" s="71">
        <v>2</v>
      </c>
      <c r="K1017" s="71">
        <f>SUMIFS(VENTAS[Cantidad],VENTAS[Código del producto Vendido],STOCK[[#This Row],[Code]])</f>
        <v>2</v>
      </c>
      <c r="L1017" s="71">
        <f>STOCK[[#This Row],[Entradas]]-STOCK[[#This Row],[Salidas]]</f>
        <v>0</v>
      </c>
      <c r="M1017" s="54">
        <f>STOCK[[#This Row],[Precio Final]]*10%</f>
        <v>1.4</v>
      </c>
      <c r="N1017" s="54">
        <v>0</v>
      </c>
      <c r="O1017" s="54">
        <v>0</v>
      </c>
      <c r="P1017" s="54">
        <v>8.7</v>
      </c>
      <c r="Q1017" s="71">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53" t="s">
        <v>2091</v>
      </c>
      <c r="F1018" s="53" t="s">
        <v>2092</v>
      </c>
      <c r="G1018" s="53" t="s">
        <v>36</v>
      </c>
      <c r="H1018" s="53">
        <f>STOCK[[#This Row],[Precio Final]]</f>
        <v>8</v>
      </c>
      <c r="I1018" s="53">
        <f>STOCK[[#This Row],[Precio Venta Ideal (x1.5)]]</f>
        <v>4.2</v>
      </c>
      <c r="J1018" s="70">
        <v>0</v>
      </c>
      <c r="K1018" s="70">
        <f>SUMIFS(VENTAS[Cantidad],VENTAS[Código del producto Vendido],STOCK[[#This Row],[Code]])</f>
        <v>0</v>
      </c>
      <c r="L1018" s="70">
        <f>STOCK[[#This Row],[Entradas]]-STOCK[[#This Row],[Salidas]]</f>
        <v>0</v>
      </c>
      <c r="M1018" s="53">
        <f>STOCK[[#This Row],[Precio Final]]*10%</f>
        <v>0.8</v>
      </c>
      <c r="N1018" s="53">
        <v>0</v>
      </c>
      <c r="O1018" s="53">
        <v>0</v>
      </c>
      <c r="P1018" s="53">
        <v>1</v>
      </c>
      <c r="Q1018" s="70">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54" t="s">
        <v>2095</v>
      </c>
      <c r="F1019" s="54" t="s">
        <v>40</v>
      </c>
      <c r="G1019" s="54" t="s">
        <v>36</v>
      </c>
      <c r="H1019" s="54">
        <f>STOCK[[#This Row],[Precio Final]]</f>
        <v>22</v>
      </c>
      <c r="I1019" s="54">
        <f>STOCK[[#This Row],[Precio Venta Ideal (x1.5)]]</f>
        <v>10.8</v>
      </c>
      <c r="J1019" s="71">
        <v>0</v>
      </c>
      <c r="K1019" s="71">
        <f>SUMIFS(VENTAS[Cantidad],VENTAS[Código del producto Vendido],STOCK[[#This Row],[Code]])</f>
        <v>0</v>
      </c>
      <c r="L1019" s="71">
        <f>STOCK[[#This Row],[Entradas]]-STOCK[[#This Row],[Salidas]]</f>
        <v>0</v>
      </c>
      <c r="M1019" s="54">
        <f>STOCK[[#This Row],[Precio Final]]*10%</f>
        <v>2.2</v>
      </c>
      <c r="N1019" s="54">
        <v>0</v>
      </c>
      <c r="O1019" s="54">
        <v>0</v>
      </c>
      <c r="P1019" s="54">
        <v>5</v>
      </c>
      <c r="Q1019" s="71">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53" t="s">
        <v>2097</v>
      </c>
      <c r="F1020" s="53" t="s">
        <v>62</v>
      </c>
      <c r="G1020" s="53" t="s">
        <v>36</v>
      </c>
      <c r="H1020" s="53">
        <f>STOCK[[#This Row],[Precio Final]]</f>
        <v>22</v>
      </c>
      <c r="I1020" s="53">
        <f>STOCK[[#This Row],[Precio Venta Ideal (x1.5)]]</f>
        <v>19.8</v>
      </c>
      <c r="J1020" s="70">
        <v>1</v>
      </c>
      <c r="K1020" s="70">
        <f>SUMIFS(VENTAS[Cantidad],VENTAS[Código del producto Vendido],STOCK[[#This Row],[Code]])</f>
        <v>0</v>
      </c>
      <c r="L1020" s="70">
        <f>STOCK[[#This Row],[Entradas]]-STOCK[[#This Row],[Salidas]]</f>
        <v>1</v>
      </c>
      <c r="M1020" s="53">
        <f>STOCK[[#This Row],[Precio Final]]*10%</f>
        <v>2.2</v>
      </c>
      <c r="N1020" s="53">
        <v>0</v>
      </c>
      <c r="O1020" s="53">
        <v>0</v>
      </c>
      <c r="P1020" s="53">
        <v>10</v>
      </c>
      <c r="Q1020" s="70">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53" t="s">
        <v>2097</v>
      </c>
      <c r="F1021" s="54" t="s">
        <v>49</v>
      </c>
      <c r="G1021" s="54" t="s">
        <v>36</v>
      </c>
      <c r="H1021" s="54">
        <f>STOCK[[#This Row],[Precio Final]]</f>
        <v>22</v>
      </c>
      <c r="I1021" s="54">
        <f>STOCK[[#This Row],[Precio Venta Ideal (x1.5)]]</f>
        <v>18.3</v>
      </c>
      <c r="J1021" s="71">
        <v>1</v>
      </c>
      <c r="K1021" s="71">
        <f>SUMIFS(VENTAS[Cantidad],VENTAS[Código del producto Vendido],STOCK[[#This Row],[Code]])</f>
        <v>0</v>
      </c>
      <c r="L1021" s="71">
        <f>STOCK[[#This Row],[Entradas]]-STOCK[[#This Row],[Salidas]]</f>
        <v>1</v>
      </c>
      <c r="M1021" s="54">
        <f>STOCK[[#This Row],[Precio Final]]*10%</f>
        <v>2.2</v>
      </c>
      <c r="N1021" s="54">
        <v>0</v>
      </c>
      <c r="O1021" s="54">
        <v>0</v>
      </c>
      <c r="P1021" s="54">
        <v>10</v>
      </c>
      <c r="Q1021" s="71">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53" t="s">
        <v>1709</v>
      </c>
      <c r="F1022" s="53" t="s">
        <v>1734</v>
      </c>
      <c r="G1022" s="53" t="s">
        <v>36</v>
      </c>
      <c r="H1022" s="53">
        <f>STOCK[[#This Row],[Precio Final]]</f>
        <v>27</v>
      </c>
      <c r="I1022" s="53">
        <f>STOCK[[#This Row],[Precio Venta Ideal (x1.5)]]</f>
        <v>31.2</v>
      </c>
      <c r="J1022" s="70">
        <v>1</v>
      </c>
      <c r="K1022" s="70">
        <f>SUMIFS(VENTAS[Cantidad],VENTAS[Código del producto Vendido],STOCK[[#This Row],[Code]])</f>
        <v>1</v>
      </c>
      <c r="L1022" s="70">
        <f>STOCK[[#This Row],[Entradas]]-STOCK[[#This Row],[Salidas]]</f>
        <v>0</v>
      </c>
      <c r="M1022" s="53">
        <f>STOCK[[#This Row],[Precio Final]]*10%</f>
        <v>2.7</v>
      </c>
      <c r="N1022" s="53">
        <v>0</v>
      </c>
      <c r="O1022" s="53">
        <v>0</v>
      </c>
      <c r="P1022" s="53">
        <v>16.6</v>
      </c>
      <c r="Q1022" s="70">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54" t="s">
        <v>2101</v>
      </c>
      <c r="F1023" s="54" t="s">
        <v>42</v>
      </c>
      <c r="H1023" s="54">
        <f>STOCK[[#This Row],[Precio Final]]</f>
        <v>20</v>
      </c>
      <c r="I1023" s="54">
        <f>STOCK[[#This Row],[Precio Venta Ideal (x1.5)]]</f>
        <v>4.5</v>
      </c>
      <c r="J1023" s="71">
        <v>0</v>
      </c>
      <c r="K1023" s="71">
        <f>SUMIFS(VENTAS[Cantidad],VENTAS[Código del producto Vendido],STOCK[[#This Row],[Code]])</f>
        <v>0</v>
      </c>
      <c r="L1023" s="71">
        <f>STOCK[[#This Row],[Entradas]]-STOCK[[#This Row],[Salidas]]</f>
        <v>0</v>
      </c>
      <c r="M1023" s="54">
        <f>STOCK[[#This Row],[Precio Final]]*10%</f>
        <v>2</v>
      </c>
      <c r="N1023" s="54">
        <v>0</v>
      </c>
      <c r="O1023" s="54">
        <v>0</v>
      </c>
      <c r="P1023" s="54">
        <v>1</v>
      </c>
      <c r="Q1023" s="71">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53" t="s">
        <v>2103</v>
      </c>
      <c r="F1024" s="53" t="s">
        <v>42</v>
      </c>
      <c r="H1024" s="53">
        <f>STOCK[[#This Row],[Precio Final]]</f>
        <v>15</v>
      </c>
      <c r="I1024" s="53">
        <f>STOCK[[#This Row],[Precio Venta Ideal (x1.5)]]</f>
        <v>5.25</v>
      </c>
      <c r="J1024" s="70">
        <v>1</v>
      </c>
      <c r="K1024" s="70">
        <f>SUMIFS(VENTAS[Cantidad],VENTAS[Código del producto Vendido],STOCK[[#This Row],[Code]])</f>
        <v>0</v>
      </c>
      <c r="L1024" s="70">
        <f>STOCK[[#This Row],[Entradas]]-STOCK[[#This Row],[Salidas]]</f>
        <v>1</v>
      </c>
      <c r="M1024" s="53">
        <f>STOCK[[#This Row],[Precio Final]]*10%</f>
        <v>1.5</v>
      </c>
      <c r="N1024" s="53">
        <v>0</v>
      </c>
      <c r="O1024" s="53">
        <v>0</v>
      </c>
      <c r="P1024" s="53">
        <v>2</v>
      </c>
      <c r="Q1024" s="70">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54" t="s">
        <v>1437</v>
      </c>
      <c r="F1025" s="54" t="s">
        <v>1578</v>
      </c>
      <c r="G1025" s="54" t="s">
        <v>1296</v>
      </c>
      <c r="H1025" s="54">
        <f>STOCK[[#This Row],[Precio Final]]</f>
        <v>30</v>
      </c>
      <c r="I1025" s="54">
        <f>STOCK[[#This Row],[Precio Venta Ideal (x1.5)]]</f>
        <v>30</v>
      </c>
      <c r="J1025" s="71">
        <v>1</v>
      </c>
      <c r="K1025" s="71">
        <f>SUMIFS(VENTAS[Cantidad],VENTAS[Código del producto Vendido],STOCK[[#This Row],[Code]])</f>
        <v>1</v>
      </c>
      <c r="L1025" s="71">
        <f>STOCK[[#This Row],[Entradas]]-STOCK[[#This Row],[Salidas]]</f>
        <v>0</v>
      </c>
      <c r="M1025" s="54">
        <f>STOCK[[#This Row],[Precio Final]]*10%</f>
        <v>3</v>
      </c>
      <c r="N1025" s="54">
        <v>0</v>
      </c>
      <c r="O1025" s="54">
        <v>17</v>
      </c>
      <c r="P1025" s="54">
        <v>7</v>
      </c>
      <c r="Q1025" s="71">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53" t="s">
        <v>1588</v>
      </c>
      <c r="F1026" s="53" t="s">
        <v>517</v>
      </c>
      <c r="G1026" s="53" t="s">
        <v>1296</v>
      </c>
      <c r="H1026" s="53">
        <f>STOCK[[#This Row],[Precio Final]]</f>
        <v>15</v>
      </c>
      <c r="I1026" s="53">
        <f>STOCK[[#This Row],[Precio Venta Ideal (x1.5)]]</f>
        <v>16.485</v>
      </c>
      <c r="J1026" s="70">
        <v>1</v>
      </c>
      <c r="K1026" s="70">
        <f>SUMIFS(VENTAS[Cantidad],VENTAS[Código del producto Vendido],STOCK[[#This Row],[Code]])</f>
        <v>0</v>
      </c>
      <c r="L1026" s="70">
        <f>STOCK[[#This Row],[Entradas]]-STOCK[[#This Row],[Salidas]]</f>
        <v>1</v>
      </c>
      <c r="M1026" s="53">
        <f>STOCK[[#This Row],[Precio Final]]*10%</f>
        <v>1.5</v>
      </c>
      <c r="N1026" s="53">
        <v>0</v>
      </c>
      <c r="O1026" s="53">
        <v>0</v>
      </c>
      <c r="P1026" s="53">
        <v>6.49</v>
      </c>
      <c r="Q1026" s="70">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54" t="s">
        <v>2107</v>
      </c>
      <c r="F1027" s="54" t="s">
        <v>2108</v>
      </c>
      <c r="G1027" s="54" t="s">
        <v>1876</v>
      </c>
      <c r="H1027" s="54">
        <f>STOCK[[#This Row],[Precio Final]]</f>
        <v>18</v>
      </c>
      <c r="I1027" s="54">
        <f>STOCK[[#This Row],[Precio Venta Ideal (x1.5)]]</f>
        <v>14.085</v>
      </c>
      <c r="J1027" s="71">
        <v>3</v>
      </c>
      <c r="K1027" s="71">
        <f>SUMIFS(VENTAS[Cantidad],VENTAS[Código del producto Vendido],STOCK[[#This Row],[Code]])</f>
        <v>3</v>
      </c>
      <c r="L1027" s="71">
        <f>STOCK[[#This Row],[Entradas]]-STOCK[[#This Row],[Salidas]]</f>
        <v>0</v>
      </c>
      <c r="M1027" s="54">
        <f>STOCK[[#This Row],[Precio Final]]*10%</f>
        <v>1.8</v>
      </c>
      <c r="N1027" s="54">
        <v>0</v>
      </c>
      <c r="O1027" s="54">
        <v>0</v>
      </c>
      <c r="P1027" s="54">
        <v>6.99</v>
      </c>
      <c r="Q1027" s="71">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53" t="s">
        <v>2112</v>
      </c>
      <c r="F1028" s="53" t="s">
        <v>2108</v>
      </c>
      <c r="G1028" s="53" t="s">
        <v>1876</v>
      </c>
      <c r="H1028" s="53">
        <f>STOCK[[#This Row],[Precio Final]]</f>
        <v>12</v>
      </c>
      <c r="I1028" s="53">
        <f>STOCK[[#This Row],[Precio Venta Ideal (x1.5)]]</f>
        <v>10.17</v>
      </c>
      <c r="J1028" s="70">
        <v>2</v>
      </c>
      <c r="K1028" s="70">
        <f>SUMIFS(VENTAS[Cantidad],VENTAS[Código del producto Vendido],STOCK[[#This Row],[Code]])</f>
        <v>2</v>
      </c>
      <c r="L1028" s="70">
        <f>STOCK[[#This Row],[Entradas]]-STOCK[[#This Row],[Salidas]]</f>
        <v>0</v>
      </c>
      <c r="M1028" s="53">
        <f>STOCK[[#This Row],[Precio Final]]*10%</f>
        <v>1.2</v>
      </c>
      <c r="N1028" s="53">
        <v>0</v>
      </c>
      <c r="O1028" s="53">
        <v>0</v>
      </c>
      <c r="P1028" s="53">
        <v>4.98</v>
      </c>
      <c r="Q1028" s="70">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54" t="s">
        <v>2115</v>
      </c>
      <c r="F1029" s="54" t="s">
        <v>1534</v>
      </c>
      <c r="G1029" s="54" t="s">
        <v>1876</v>
      </c>
      <c r="H1029" s="54">
        <f>STOCK[[#This Row],[Precio Final]]</f>
        <v>12</v>
      </c>
      <c r="I1029" s="54">
        <f>STOCK[[#This Row],[Precio Venta Ideal (x1.5)]]</f>
        <v>7.455</v>
      </c>
      <c r="J1029" s="71">
        <v>2</v>
      </c>
      <c r="K1029" s="71">
        <f>SUMIFS(VENTAS[Cantidad],VENTAS[Código del producto Vendido],STOCK[[#This Row],[Code]])</f>
        <v>2</v>
      </c>
      <c r="L1029" s="71">
        <f>STOCK[[#This Row],[Entradas]]-STOCK[[#This Row],[Salidas]]</f>
        <v>0</v>
      </c>
      <c r="M1029" s="54">
        <f>STOCK[[#This Row],[Precio Final]]*10%</f>
        <v>1.2</v>
      </c>
      <c r="N1029" s="54">
        <v>0</v>
      </c>
      <c r="O1029" s="54">
        <v>0</v>
      </c>
      <c r="P1029" s="54">
        <v>3.17</v>
      </c>
      <c r="Q1029" s="71">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53" t="s">
        <v>2119</v>
      </c>
      <c r="F1030" s="53" t="s">
        <v>62</v>
      </c>
      <c r="G1030" s="53" t="s">
        <v>1876</v>
      </c>
      <c r="H1030" s="53">
        <f>STOCK[[#This Row],[Precio Final]]</f>
        <v>25</v>
      </c>
      <c r="I1030" s="53">
        <f>STOCK[[#This Row],[Precio Venta Ideal (x1.5)]]</f>
        <v>16.995</v>
      </c>
      <c r="J1030" s="70">
        <v>1</v>
      </c>
      <c r="K1030" s="70">
        <f>SUMIFS(VENTAS[Cantidad],VENTAS[Código del producto Vendido],STOCK[[#This Row],[Code]])</f>
        <v>1</v>
      </c>
      <c r="L1030" s="70">
        <f>STOCK[[#This Row],[Entradas]]-STOCK[[#This Row],[Salidas]]</f>
        <v>0</v>
      </c>
      <c r="M1030" s="53">
        <f>STOCK[[#This Row],[Precio Final]]*10%</f>
        <v>2.5</v>
      </c>
      <c r="N1030" s="53">
        <v>0</v>
      </c>
      <c r="O1030" s="53">
        <v>0</v>
      </c>
      <c r="P1030" s="53">
        <v>8.23</v>
      </c>
      <c r="Q1030" s="70">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54" t="s">
        <v>2119</v>
      </c>
      <c r="F1031" s="54" t="s">
        <v>49</v>
      </c>
      <c r="G1031" s="54" t="s">
        <v>1876</v>
      </c>
      <c r="H1031" s="54">
        <f>STOCK[[#This Row],[Precio Final]]</f>
        <v>25</v>
      </c>
      <c r="I1031" s="54">
        <f>STOCK[[#This Row],[Precio Venta Ideal (x1.5)]]</f>
        <v>16.995</v>
      </c>
      <c r="J1031" s="71">
        <v>1</v>
      </c>
      <c r="K1031" s="71">
        <f>SUMIFS(VENTAS[Cantidad],VENTAS[Código del producto Vendido],STOCK[[#This Row],[Code]])</f>
        <v>1</v>
      </c>
      <c r="L1031" s="71">
        <f>STOCK[[#This Row],[Entradas]]-STOCK[[#This Row],[Salidas]]</f>
        <v>0</v>
      </c>
      <c r="M1031" s="54">
        <f>STOCK[[#This Row],[Precio Final]]*10%</f>
        <v>2.5</v>
      </c>
      <c r="N1031" s="54">
        <v>0</v>
      </c>
      <c r="O1031" s="54">
        <v>0</v>
      </c>
      <c r="P1031" s="54">
        <v>8.23</v>
      </c>
      <c r="Q1031" s="71">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53" t="s">
        <v>2124</v>
      </c>
      <c r="F1032" s="53" t="s">
        <v>46</v>
      </c>
      <c r="G1032" s="53" t="s">
        <v>1876</v>
      </c>
      <c r="H1032" s="53">
        <f>STOCK[[#This Row],[Precio Final]]</f>
        <v>25</v>
      </c>
      <c r="I1032" s="53">
        <f>STOCK[[#This Row],[Precio Venta Ideal (x1.5)]]</f>
        <v>20.565</v>
      </c>
      <c r="J1032" s="70">
        <v>1</v>
      </c>
      <c r="K1032" s="70">
        <f>SUMIFS(VENTAS[Cantidad],VENTAS[Código del producto Vendido],STOCK[[#This Row],[Code]])</f>
        <v>1</v>
      </c>
      <c r="L1032" s="70">
        <f>STOCK[[#This Row],[Entradas]]-STOCK[[#This Row],[Salidas]]</f>
        <v>0</v>
      </c>
      <c r="M1032" s="53">
        <f>STOCK[[#This Row],[Precio Final]]*10%</f>
        <v>2.5</v>
      </c>
      <c r="N1032" s="53">
        <v>0</v>
      </c>
      <c r="O1032" s="53">
        <v>0</v>
      </c>
      <c r="P1032" s="53">
        <v>10.61</v>
      </c>
      <c r="Q1032" s="70">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54" t="s">
        <v>2124</v>
      </c>
      <c r="F1033" s="54" t="s">
        <v>62</v>
      </c>
      <c r="G1033" s="54" t="s">
        <v>1876</v>
      </c>
      <c r="H1033" s="54">
        <f>STOCK[[#This Row],[Precio Final]]</f>
        <v>25</v>
      </c>
      <c r="I1033" s="54">
        <f>STOCK[[#This Row],[Precio Venta Ideal (x1.5)]]</f>
        <v>20.565</v>
      </c>
      <c r="J1033" s="71">
        <v>1</v>
      </c>
      <c r="K1033" s="71">
        <f>SUMIFS(VENTAS[Cantidad],VENTAS[Código del producto Vendido],STOCK[[#This Row],[Code]])</f>
        <v>1</v>
      </c>
      <c r="L1033" s="71">
        <f>STOCK[[#This Row],[Entradas]]-STOCK[[#This Row],[Salidas]]</f>
        <v>0</v>
      </c>
      <c r="M1033" s="54">
        <f>STOCK[[#This Row],[Precio Final]]*10%</f>
        <v>2.5</v>
      </c>
      <c r="N1033" s="54">
        <v>0</v>
      </c>
      <c r="O1033" s="54">
        <v>0</v>
      </c>
      <c r="P1033" s="54">
        <v>10.61</v>
      </c>
      <c r="Q1033" s="71">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53" t="s">
        <v>2130</v>
      </c>
      <c r="F1034" s="53" t="s">
        <v>46</v>
      </c>
      <c r="G1034" s="53" t="s">
        <v>1876</v>
      </c>
      <c r="H1034" s="53">
        <f>STOCK[[#This Row],[Precio Final]]</f>
        <v>22</v>
      </c>
      <c r="I1034" s="53">
        <f>STOCK[[#This Row],[Precio Venta Ideal (x1.5)]]</f>
        <v>19.56</v>
      </c>
      <c r="J1034" s="70">
        <v>1</v>
      </c>
      <c r="K1034" s="70">
        <f>SUMIFS(VENTAS[Cantidad],VENTAS[Código del producto Vendido],STOCK[[#This Row],[Code]])</f>
        <v>1</v>
      </c>
      <c r="L1034" s="70">
        <f>STOCK[[#This Row],[Entradas]]-STOCK[[#This Row],[Salidas]]</f>
        <v>0</v>
      </c>
      <c r="M1034" s="53">
        <f>STOCK[[#This Row],[Precio Final]]*10%</f>
        <v>2.2</v>
      </c>
      <c r="N1034" s="53">
        <v>0</v>
      </c>
      <c r="O1034" s="53">
        <v>0</v>
      </c>
      <c r="P1034" s="53">
        <v>10.24</v>
      </c>
      <c r="Q1034" s="70">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54" t="s">
        <v>2134</v>
      </c>
      <c r="F1035" s="54" t="s">
        <v>46</v>
      </c>
      <c r="G1035" s="54" t="s">
        <v>1876</v>
      </c>
      <c r="H1035" s="54">
        <f>STOCK[[#This Row],[Precio Final]]</f>
        <v>25</v>
      </c>
      <c r="I1035" s="54">
        <f>STOCK[[#This Row],[Precio Venta Ideal (x1.5)]]</f>
        <v>21.435</v>
      </c>
      <c r="J1035" s="71">
        <v>1</v>
      </c>
      <c r="K1035" s="71">
        <f>SUMIFS(VENTAS[Cantidad],VENTAS[Código del producto Vendido],STOCK[[#This Row],[Code]])</f>
        <v>1</v>
      </c>
      <c r="L1035" s="71">
        <f>STOCK[[#This Row],[Entradas]]-STOCK[[#This Row],[Salidas]]</f>
        <v>0</v>
      </c>
      <c r="M1035" s="54">
        <f>STOCK[[#This Row],[Precio Final]]*10%</f>
        <v>2.5</v>
      </c>
      <c r="N1035" s="54">
        <v>0</v>
      </c>
      <c r="O1035" s="54">
        <v>0</v>
      </c>
      <c r="P1035" s="54">
        <v>11.19</v>
      </c>
      <c r="Q1035" s="71">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53" t="s">
        <v>2138</v>
      </c>
      <c r="F1036" s="53" t="s">
        <v>2139</v>
      </c>
      <c r="G1036" s="53" t="s">
        <v>1876</v>
      </c>
      <c r="H1036" s="53">
        <f>STOCK[[#This Row],[Precio Final]]</f>
        <v>30</v>
      </c>
      <c r="I1036" s="53">
        <f>STOCK[[#This Row],[Precio Venta Ideal (x1.5)]]</f>
        <v>15.075</v>
      </c>
      <c r="J1036" s="70">
        <v>2</v>
      </c>
      <c r="K1036" s="70">
        <f>SUMIFS(VENTAS[Cantidad],VENTAS[Código del producto Vendido],STOCK[[#This Row],[Code]])</f>
        <v>1</v>
      </c>
      <c r="L1036" s="70">
        <f>STOCK[[#This Row],[Entradas]]-STOCK[[#This Row],[Salidas]]</f>
        <v>1</v>
      </c>
      <c r="M1036" s="53">
        <f>STOCK[[#This Row],[Precio Final]]*10%</f>
        <v>3</v>
      </c>
      <c r="N1036" s="53">
        <v>0</v>
      </c>
      <c r="O1036" s="53">
        <v>0</v>
      </c>
      <c r="P1036" s="53">
        <v>6.45</v>
      </c>
      <c r="Q1036" s="70">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54" t="s">
        <v>2138</v>
      </c>
      <c r="F1037" s="54" t="s">
        <v>2142</v>
      </c>
      <c r="G1037" s="54" t="s">
        <v>1876</v>
      </c>
      <c r="H1037" s="54">
        <f>STOCK[[#This Row],[Precio Final]]</f>
        <v>30</v>
      </c>
      <c r="I1037" s="54">
        <f>STOCK[[#This Row],[Precio Venta Ideal (x1.5)]]</f>
        <v>15.075</v>
      </c>
      <c r="J1037" s="71">
        <v>2</v>
      </c>
      <c r="K1037" s="71">
        <f>SUMIFS(VENTAS[Cantidad],VENTAS[Código del producto Vendido],STOCK[[#This Row],[Code]])</f>
        <v>2</v>
      </c>
      <c r="L1037" s="71">
        <f>STOCK[[#This Row],[Entradas]]-STOCK[[#This Row],[Salidas]]</f>
        <v>0</v>
      </c>
      <c r="M1037" s="54">
        <f>STOCK[[#This Row],[Precio Final]]*10%</f>
        <v>3</v>
      </c>
      <c r="N1037" s="54">
        <v>0</v>
      </c>
      <c r="O1037" s="54">
        <v>0</v>
      </c>
      <c r="P1037" s="54">
        <v>6.45</v>
      </c>
      <c r="Q1037" s="71">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53" t="s">
        <v>2138</v>
      </c>
      <c r="F1038" s="53" t="s">
        <v>2145</v>
      </c>
      <c r="G1038" s="53" t="s">
        <v>1876</v>
      </c>
      <c r="H1038" s="53">
        <f>STOCK[[#This Row],[Precio Final]]</f>
        <v>30</v>
      </c>
      <c r="I1038" s="53">
        <f>STOCK[[#This Row],[Precio Venta Ideal (x1.5)]]</f>
        <v>15.075</v>
      </c>
      <c r="J1038" s="70">
        <v>2</v>
      </c>
      <c r="K1038" s="70">
        <f>SUMIFS(VENTAS[Cantidad],VENTAS[Código del producto Vendido],STOCK[[#This Row],[Code]])</f>
        <v>2</v>
      </c>
      <c r="L1038" s="70">
        <f>STOCK[[#This Row],[Entradas]]-STOCK[[#This Row],[Salidas]]</f>
        <v>0</v>
      </c>
      <c r="M1038" s="53">
        <f>STOCK[[#This Row],[Precio Final]]*10%</f>
        <v>3</v>
      </c>
      <c r="N1038" s="53">
        <v>0</v>
      </c>
      <c r="O1038" s="53">
        <v>0</v>
      </c>
      <c r="P1038" s="53">
        <v>6.45</v>
      </c>
      <c r="Q1038" s="70">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54" t="s">
        <v>2148</v>
      </c>
      <c r="F1039" s="54" t="s">
        <v>46</v>
      </c>
      <c r="G1039" s="54" t="s">
        <v>1876</v>
      </c>
      <c r="H1039" s="54">
        <f>STOCK[[#This Row],[Precio Final]]</f>
        <v>25</v>
      </c>
      <c r="I1039" s="54">
        <f>STOCK[[#This Row],[Precio Venta Ideal (x1.5)]]</f>
        <v>18.255</v>
      </c>
      <c r="J1039" s="71">
        <v>1</v>
      </c>
      <c r="K1039" s="71">
        <f>SUMIFS(VENTAS[Cantidad],VENTAS[Código del producto Vendido],STOCK[[#This Row],[Code]])</f>
        <v>1</v>
      </c>
      <c r="L1039" s="71">
        <f>STOCK[[#This Row],[Entradas]]-STOCK[[#This Row],[Salidas]]</f>
        <v>0</v>
      </c>
      <c r="M1039" s="54">
        <f>STOCK[[#This Row],[Precio Final]]*10%</f>
        <v>2.5</v>
      </c>
      <c r="N1039" s="54">
        <v>0</v>
      </c>
      <c r="O1039" s="54">
        <v>0</v>
      </c>
      <c r="P1039" s="54">
        <v>9.07</v>
      </c>
      <c r="Q1039" s="71">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53" t="s">
        <v>2148</v>
      </c>
      <c r="F1040" s="53" t="s">
        <v>49</v>
      </c>
      <c r="G1040" s="53" t="s">
        <v>1876</v>
      </c>
      <c r="H1040" s="53">
        <f>STOCK[[#This Row],[Precio Final]]</f>
        <v>25</v>
      </c>
      <c r="I1040" s="53">
        <f>STOCK[[#This Row],[Precio Venta Ideal (x1.5)]]</f>
        <v>18.255</v>
      </c>
      <c r="J1040" s="70">
        <v>1</v>
      </c>
      <c r="K1040" s="70">
        <f>SUMIFS(VENTAS[Cantidad],VENTAS[Código del producto Vendido],STOCK[[#This Row],[Code]])</f>
        <v>1</v>
      </c>
      <c r="L1040" s="70">
        <f>STOCK[[#This Row],[Entradas]]-STOCK[[#This Row],[Salidas]]</f>
        <v>0</v>
      </c>
      <c r="M1040" s="53">
        <f>STOCK[[#This Row],[Precio Final]]*10%</f>
        <v>2.5</v>
      </c>
      <c r="N1040" s="53">
        <v>0</v>
      </c>
      <c r="O1040" s="53">
        <v>0</v>
      </c>
      <c r="P1040" s="53">
        <v>9.07</v>
      </c>
      <c r="Q1040" s="70">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54" t="s">
        <v>2148</v>
      </c>
      <c r="F1041" s="54" t="s">
        <v>62</v>
      </c>
      <c r="G1041" s="54" t="s">
        <v>1876</v>
      </c>
      <c r="H1041" s="54">
        <f>STOCK[[#This Row],[Precio Final]]</f>
        <v>25</v>
      </c>
      <c r="I1041" s="54">
        <f>STOCK[[#This Row],[Precio Venta Ideal (x1.5)]]</f>
        <v>18.255</v>
      </c>
      <c r="J1041" s="71">
        <v>1</v>
      </c>
      <c r="K1041" s="71">
        <f>SUMIFS(VENTAS[Cantidad],VENTAS[Código del producto Vendido],STOCK[[#This Row],[Code]])</f>
        <v>1</v>
      </c>
      <c r="L1041" s="71">
        <f>STOCK[[#This Row],[Entradas]]-STOCK[[#This Row],[Salidas]]</f>
        <v>0</v>
      </c>
      <c r="M1041" s="54">
        <f>STOCK[[#This Row],[Precio Final]]*10%</f>
        <v>2.5</v>
      </c>
      <c r="N1041" s="54">
        <v>0</v>
      </c>
      <c r="O1041" s="54">
        <v>0</v>
      </c>
      <c r="P1041" s="54">
        <v>9.07</v>
      </c>
      <c r="Q1041" s="71">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53" t="s">
        <v>2155</v>
      </c>
      <c r="F1042" s="53" t="s">
        <v>62</v>
      </c>
      <c r="G1042" s="53" t="s">
        <v>1876</v>
      </c>
      <c r="H1042" s="53">
        <f>STOCK[[#This Row],[Precio Final]]</f>
        <v>25</v>
      </c>
      <c r="I1042" s="53">
        <f>STOCK[[#This Row],[Precio Venta Ideal (x1.5)]]</f>
        <v>15.705</v>
      </c>
      <c r="J1042" s="70">
        <v>1</v>
      </c>
      <c r="K1042" s="70">
        <f>SUMIFS(VENTAS[Cantidad],VENTAS[Código del producto Vendido],STOCK[[#This Row],[Code]])</f>
        <v>0</v>
      </c>
      <c r="L1042" s="70">
        <f>STOCK[[#This Row],[Entradas]]-STOCK[[#This Row],[Salidas]]</f>
        <v>1</v>
      </c>
      <c r="M1042" s="53">
        <f>STOCK[[#This Row],[Precio Final]]*10%</f>
        <v>2.5</v>
      </c>
      <c r="N1042" s="53">
        <v>0</v>
      </c>
      <c r="O1042" s="53">
        <v>0</v>
      </c>
      <c r="P1042" s="53">
        <v>7.37</v>
      </c>
      <c r="Q1042" s="70">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54" t="s">
        <v>2158</v>
      </c>
      <c r="F1043" s="54" t="s">
        <v>46</v>
      </c>
      <c r="G1043" s="54" t="s">
        <v>1876</v>
      </c>
      <c r="H1043" s="54">
        <f>STOCK[[#This Row],[Precio Final]]</f>
        <v>25</v>
      </c>
      <c r="I1043" s="54">
        <f>STOCK[[#This Row],[Precio Venta Ideal (x1.5)]]</f>
        <v>19.395</v>
      </c>
      <c r="J1043" s="71">
        <v>1</v>
      </c>
      <c r="K1043" s="71">
        <f>SUMIFS(VENTAS[Cantidad],VENTAS[Código del producto Vendido],STOCK[[#This Row],[Code]])</f>
        <v>1</v>
      </c>
      <c r="L1043" s="71">
        <f>STOCK[[#This Row],[Entradas]]-STOCK[[#This Row],[Salidas]]</f>
        <v>0</v>
      </c>
      <c r="M1043" s="54">
        <f>STOCK[[#This Row],[Precio Final]]*10%</f>
        <v>2.5</v>
      </c>
      <c r="N1043" s="54">
        <v>0</v>
      </c>
      <c r="O1043" s="54">
        <v>0</v>
      </c>
      <c r="P1043" s="54">
        <v>9.83</v>
      </c>
      <c r="Q1043" s="71">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53" t="s">
        <v>2158</v>
      </c>
      <c r="F1044" s="53" t="s">
        <v>49</v>
      </c>
      <c r="G1044" s="53" t="s">
        <v>1876</v>
      </c>
      <c r="H1044" s="53">
        <f>STOCK[[#This Row],[Precio Final]]</f>
        <v>25</v>
      </c>
      <c r="I1044" s="53">
        <f>STOCK[[#This Row],[Precio Venta Ideal (x1.5)]]</f>
        <v>19.395</v>
      </c>
      <c r="J1044" s="70">
        <v>1</v>
      </c>
      <c r="K1044" s="70">
        <f>SUMIFS(VENTAS[Cantidad],VENTAS[Código del producto Vendido],STOCK[[#This Row],[Code]])</f>
        <v>1</v>
      </c>
      <c r="L1044" s="70">
        <f>STOCK[[#This Row],[Entradas]]-STOCK[[#This Row],[Salidas]]</f>
        <v>0</v>
      </c>
      <c r="M1044" s="53">
        <f>STOCK[[#This Row],[Precio Final]]*10%</f>
        <v>2.5</v>
      </c>
      <c r="N1044" s="53">
        <v>0</v>
      </c>
      <c r="O1044" s="53">
        <v>0</v>
      </c>
      <c r="P1044" s="53">
        <v>9.83</v>
      </c>
      <c r="Q1044" s="70">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54" t="s">
        <v>2163</v>
      </c>
      <c r="F1045" s="54" t="s">
        <v>46</v>
      </c>
      <c r="G1045" s="54" t="s">
        <v>1876</v>
      </c>
      <c r="H1045" s="54">
        <f>STOCK[[#This Row],[Precio Final]]</f>
        <v>20</v>
      </c>
      <c r="I1045" s="54">
        <f>STOCK[[#This Row],[Precio Venta Ideal (x1.5)]]</f>
        <v>15.36</v>
      </c>
      <c r="J1045" s="71">
        <v>2</v>
      </c>
      <c r="K1045" s="71">
        <f>SUMIFS(VENTAS[Cantidad],VENTAS[Código del producto Vendido],STOCK[[#This Row],[Code]])</f>
        <v>2</v>
      </c>
      <c r="L1045" s="71">
        <f>STOCK[[#This Row],[Entradas]]-STOCK[[#This Row],[Salidas]]</f>
        <v>0</v>
      </c>
      <c r="M1045" s="54">
        <f>STOCK[[#This Row],[Precio Final]]*10%</f>
        <v>2</v>
      </c>
      <c r="N1045" s="54">
        <v>0</v>
      </c>
      <c r="O1045" s="54">
        <v>0</v>
      </c>
      <c r="P1045" s="54">
        <v>7.64</v>
      </c>
      <c r="Q1045" s="71">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53" t="s">
        <v>2163</v>
      </c>
      <c r="F1046" s="53" t="s">
        <v>49</v>
      </c>
      <c r="G1046" s="53" t="s">
        <v>1876</v>
      </c>
      <c r="H1046" s="53">
        <f>STOCK[[#This Row],[Precio Final]]</f>
        <v>20</v>
      </c>
      <c r="I1046" s="53">
        <f>STOCK[[#This Row],[Precio Venta Ideal (x1.5)]]</f>
        <v>15.36</v>
      </c>
      <c r="J1046" s="70">
        <v>2</v>
      </c>
      <c r="K1046" s="70">
        <f>SUMIFS(VENTAS[Cantidad],VENTAS[Código del producto Vendido],STOCK[[#This Row],[Code]])</f>
        <v>2</v>
      </c>
      <c r="L1046" s="70">
        <f>STOCK[[#This Row],[Entradas]]-STOCK[[#This Row],[Salidas]]</f>
        <v>0</v>
      </c>
      <c r="M1046" s="53">
        <f>STOCK[[#This Row],[Precio Final]]*10%</f>
        <v>2</v>
      </c>
      <c r="N1046" s="53">
        <v>0</v>
      </c>
      <c r="O1046" s="53">
        <v>0</v>
      </c>
      <c r="P1046" s="53">
        <v>7.64</v>
      </c>
      <c r="Q1046" s="70">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54" t="s">
        <v>2163</v>
      </c>
      <c r="F1047" s="54" t="s">
        <v>62</v>
      </c>
      <c r="G1047" s="54" t="s">
        <v>1876</v>
      </c>
      <c r="H1047" s="54">
        <f>STOCK[[#This Row],[Precio Final]]</f>
        <v>20</v>
      </c>
      <c r="I1047" s="54">
        <f>STOCK[[#This Row],[Precio Venta Ideal (x1.5)]]</f>
        <v>15.36</v>
      </c>
      <c r="J1047" s="71">
        <v>2</v>
      </c>
      <c r="K1047" s="71">
        <f>SUMIFS(VENTAS[Cantidad],VENTAS[Código del producto Vendido],STOCK[[#This Row],[Code]])</f>
        <v>2</v>
      </c>
      <c r="L1047" s="71">
        <f>STOCK[[#This Row],[Entradas]]-STOCK[[#This Row],[Salidas]]</f>
        <v>0</v>
      </c>
      <c r="M1047" s="54">
        <f>STOCK[[#This Row],[Precio Final]]*10%</f>
        <v>2</v>
      </c>
      <c r="N1047" s="54">
        <v>0</v>
      </c>
      <c r="O1047" s="54">
        <v>0</v>
      </c>
      <c r="P1047" s="54">
        <v>7.64</v>
      </c>
      <c r="Q1047" s="71">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53" t="s">
        <v>2170</v>
      </c>
      <c r="F1048" s="53" t="s">
        <v>46</v>
      </c>
      <c r="G1048" s="53" t="s">
        <v>1876</v>
      </c>
      <c r="H1048" s="53">
        <f>STOCK[[#This Row],[Precio Final]]</f>
        <v>18</v>
      </c>
      <c r="I1048" s="53">
        <f>STOCK[[#This Row],[Precio Venta Ideal (x1.5)]]</f>
        <v>11.865</v>
      </c>
      <c r="J1048" s="70">
        <v>2</v>
      </c>
      <c r="K1048" s="70">
        <f>SUMIFS(VENTAS[Cantidad],VENTAS[Código del producto Vendido],STOCK[[#This Row],[Code]])</f>
        <v>1</v>
      </c>
      <c r="L1048" s="70">
        <f>STOCK[[#This Row],[Entradas]]-STOCK[[#This Row],[Salidas]]</f>
        <v>1</v>
      </c>
      <c r="M1048" s="53">
        <f>STOCK[[#This Row],[Precio Final]]*10%</f>
        <v>1.8</v>
      </c>
      <c r="N1048" s="53">
        <v>0</v>
      </c>
      <c r="O1048" s="53">
        <v>0</v>
      </c>
      <c r="P1048" s="53">
        <v>5.51</v>
      </c>
      <c r="Q1048" s="70">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54" t="s">
        <v>2170</v>
      </c>
      <c r="F1049" s="54" t="s">
        <v>49</v>
      </c>
      <c r="G1049" s="54" t="s">
        <v>1876</v>
      </c>
      <c r="H1049" s="54">
        <f>STOCK[[#This Row],[Precio Final]]</f>
        <v>18</v>
      </c>
      <c r="I1049" s="54">
        <f>STOCK[[#This Row],[Precio Venta Ideal (x1.5)]]</f>
        <v>11.865</v>
      </c>
      <c r="J1049" s="71">
        <v>2</v>
      </c>
      <c r="K1049" s="71">
        <f>SUMIFS(VENTAS[Cantidad],VENTAS[Código del producto Vendido],STOCK[[#This Row],[Code]])</f>
        <v>2</v>
      </c>
      <c r="L1049" s="71">
        <f>STOCK[[#This Row],[Entradas]]-STOCK[[#This Row],[Salidas]]</f>
        <v>0</v>
      </c>
      <c r="M1049" s="54">
        <f>STOCK[[#This Row],[Precio Final]]*10%</f>
        <v>1.8</v>
      </c>
      <c r="N1049" s="54">
        <v>0</v>
      </c>
      <c r="O1049" s="54">
        <v>0</v>
      </c>
      <c r="P1049" s="54">
        <v>5.51</v>
      </c>
      <c r="Q1049" s="71">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53" t="s">
        <v>2170</v>
      </c>
      <c r="F1050" s="53" t="s">
        <v>62</v>
      </c>
      <c r="G1050" s="53" t="s">
        <v>1876</v>
      </c>
      <c r="H1050" s="53">
        <f>STOCK[[#This Row],[Precio Final]]</f>
        <v>18</v>
      </c>
      <c r="I1050" s="53">
        <f>STOCK[[#This Row],[Precio Venta Ideal (x1.5)]]</f>
        <v>11.865</v>
      </c>
      <c r="J1050" s="70">
        <v>2</v>
      </c>
      <c r="K1050" s="70">
        <f>SUMIFS(VENTAS[Cantidad],VENTAS[Código del producto Vendido],STOCK[[#This Row],[Code]])</f>
        <v>2</v>
      </c>
      <c r="L1050" s="70">
        <f>STOCK[[#This Row],[Entradas]]-STOCK[[#This Row],[Salidas]]</f>
        <v>0</v>
      </c>
      <c r="M1050" s="53">
        <f>STOCK[[#This Row],[Precio Final]]*10%</f>
        <v>1.8</v>
      </c>
      <c r="N1050" s="53">
        <v>0</v>
      </c>
      <c r="O1050" s="53">
        <v>0</v>
      </c>
      <c r="P1050" s="53">
        <v>5.51</v>
      </c>
      <c r="Q1050" s="70">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54" t="s">
        <v>2177</v>
      </c>
      <c r="F1051" s="54" t="s">
        <v>46</v>
      </c>
      <c r="G1051" s="54" t="s">
        <v>1876</v>
      </c>
      <c r="H1051" s="54">
        <f>STOCK[[#This Row],[Precio Final]]</f>
        <v>18</v>
      </c>
      <c r="I1051" s="54">
        <f>STOCK[[#This Row],[Precio Venta Ideal (x1.5)]]</f>
        <v>9.345</v>
      </c>
      <c r="J1051" s="71">
        <v>2</v>
      </c>
      <c r="K1051" s="71">
        <f>SUMIFS(VENTAS[Cantidad],VENTAS[Código del producto Vendido],STOCK[[#This Row],[Code]])</f>
        <v>2</v>
      </c>
      <c r="L1051" s="71">
        <f>STOCK[[#This Row],[Entradas]]-STOCK[[#This Row],[Salidas]]</f>
        <v>0</v>
      </c>
      <c r="M1051" s="54">
        <f>STOCK[[#This Row],[Precio Final]]*10%</f>
        <v>1.8</v>
      </c>
      <c r="N1051" s="54">
        <v>0</v>
      </c>
      <c r="O1051" s="54">
        <v>0</v>
      </c>
      <c r="P1051" s="54">
        <v>3.83</v>
      </c>
      <c r="Q1051" s="71">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53" t="s">
        <v>2180</v>
      </c>
      <c r="F1052" s="53" t="s">
        <v>46</v>
      </c>
      <c r="G1052" s="53" t="s">
        <v>1876</v>
      </c>
      <c r="H1052" s="53">
        <f>STOCK[[#This Row],[Precio Final]]</f>
        <v>20</v>
      </c>
      <c r="I1052" s="53">
        <f>STOCK[[#This Row],[Precio Venta Ideal (x1.5)]]</f>
        <v>12.93</v>
      </c>
      <c r="J1052" s="70">
        <v>1</v>
      </c>
      <c r="K1052" s="70">
        <f>SUMIFS(VENTAS[Cantidad],VENTAS[Código del producto Vendido],STOCK[[#This Row],[Code]])</f>
        <v>1</v>
      </c>
      <c r="L1052" s="70">
        <f>STOCK[[#This Row],[Entradas]]-STOCK[[#This Row],[Salidas]]</f>
        <v>0</v>
      </c>
      <c r="M1052" s="53">
        <f>STOCK[[#This Row],[Precio Final]]*10%</f>
        <v>2</v>
      </c>
      <c r="N1052" s="53">
        <v>0</v>
      </c>
      <c r="O1052" s="53">
        <v>0</v>
      </c>
      <c r="P1052" s="53">
        <v>6.02</v>
      </c>
      <c r="Q1052" s="70">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54" t="s">
        <v>2180</v>
      </c>
      <c r="F1053" s="54" t="s">
        <v>49</v>
      </c>
      <c r="G1053" s="54" t="s">
        <v>1876</v>
      </c>
      <c r="H1053" s="54">
        <f>STOCK[[#This Row],[Precio Final]]</f>
        <v>20</v>
      </c>
      <c r="I1053" s="54">
        <f>STOCK[[#This Row],[Precio Venta Ideal (x1.5)]]</f>
        <v>12.93</v>
      </c>
      <c r="J1053" s="71">
        <v>2</v>
      </c>
      <c r="K1053" s="71">
        <f>SUMIFS(VENTAS[Cantidad],VENTAS[Código del producto Vendido],STOCK[[#This Row],[Code]])</f>
        <v>2</v>
      </c>
      <c r="L1053" s="71">
        <f>STOCK[[#This Row],[Entradas]]-STOCK[[#This Row],[Salidas]]</f>
        <v>0</v>
      </c>
      <c r="M1053" s="54">
        <f>STOCK[[#This Row],[Precio Final]]*10%</f>
        <v>2</v>
      </c>
      <c r="N1053" s="54">
        <v>0</v>
      </c>
      <c r="O1053" s="54">
        <v>0</v>
      </c>
      <c r="P1053" s="54">
        <v>6.02</v>
      </c>
      <c r="Q1053" s="71">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53" t="s">
        <v>2180</v>
      </c>
      <c r="F1054" s="53" t="s">
        <v>62</v>
      </c>
      <c r="G1054" s="53" t="s">
        <v>1876</v>
      </c>
      <c r="H1054" s="53">
        <f>STOCK[[#This Row],[Precio Final]]</f>
        <v>20</v>
      </c>
      <c r="I1054" s="53">
        <f>STOCK[[#This Row],[Precio Venta Ideal (x1.5)]]</f>
        <v>12.93</v>
      </c>
      <c r="J1054" s="70">
        <v>2</v>
      </c>
      <c r="K1054" s="70">
        <f>SUMIFS(VENTAS[Cantidad],VENTAS[Código del producto Vendido],STOCK[[#This Row],[Code]])</f>
        <v>2</v>
      </c>
      <c r="L1054" s="70">
        <f>STOCK[[#This Row],[Entradas]]-STOCK[[#This Row],[Salidas]]</f>
        <v>0</v>
      </c>
      <c r="M1054" s="53">
        <f>STOCK[[#This Row],[Precio Final]]*10%</f>
        <v>2</v>
      </c>
      <c r="N1054" s="53">
        <v>0</v>
      </c>
      <c r="O1054" s="53">
        <v>0</v>
      </c>
      <c r="P1054" s="53">
        <v>6.02</v>
      </c>
      <c r="Q1054" s="70">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54" t="s">
        <v>2180</v>
      </c>
      <c r="F1055" s="54" t="s">
        <v>40</v>
      </c>
      <c r="G1055" s="54" t="s">
        <v>1876</v>
      </c>
      <c r="H1055" s="54">
        <f>STOCK[[#This Row],[Precio Final]]</f>
        <v>20</v>
      </c>
      <c r="I1055" s="54">
        <f>STOCK[[#This Row],[Precio Venta Ideal (x1.5)]]</f>
        <v>12.93</v>
      </c>
      <c r="J1055" s="71">
        <v>2</v>
      </c>
      <c r="K1055" s="71">
        <f>SUMIFS(VENTAS[Cantidad],VENTAS[Código del producto Vendido],STOCK[[#This Row],[Code]])</f>
        <v>2</v>
      </c>
      <c r="L1055" s="71">
        <f>STOCK[[#This Row],[Entradas]]-STOCK[[#This Row],[Salidas]]</f>
        <v>0</v>
      </c>
      <c r="M1055" s="54">
        <f>STOCK[[#This Row],[Precio Final]]*10%</f>
        <v>2</v>
      </c>
      <c r="N1055" s="54">
        <v>0</v>
      </c>
      <c r="O1055" s="54">
        <v>0</v>
      </c>
      <c r="P1055" s="54">
        <v>6.02</v>
      </c>
      <c r="Q1055" s="71">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53" t="s">
        <v>2189</v>
      </c>
      <c r="F1056" s="53" t="s">
        <v>46</v>
      </c>
      <c r="G1056" s="53" t="s">
        <v>1876</v>
      </c>
      <c r="H1056" s="53">
        <f>STOCK[[#This Row],[Precio Final]]</f>
        <v>25</v>
      </c>
      <c r="I1056" s="53">
        <f>STOCK[[#This Row],[Precio Venta Ideal (x1.5)]]</f>
        <v>22.47</v>
      </c>
      <c r="J1056" s="70">
        <v>2</v>
      </c>
      <c r="K1056" s="70">
        <f>SUMIFS(VENTAS[Cantidad],VENTAS[Código del producto Vendido],STOCK[[#This Row],[Code]])</f>
        <v>1</v>
      </c>
      <c r="L1056" s="70">
        <f>STOCK[[#This Row],[Entradas]]-STOCK[[#This Row],[Salidas]]</f>
        <v>1</v>
      </c>
      <c r="M1056" s="53">
        <f>STOCK[[#This Row],[Precio Final]]*10%</f>
        <v>2.5</v>
      </c>
      <c r="N1056" s="53">
        <v>0</v>
      </c>
      <c r="O1056" s="53">
        <v>0</v>
      </c>
      <c r="P1056" s="53">
        <v>11.88</v>
      </c>
      <c r="Q1056" s="70">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54" t="s">
        <v>2189</v>
      </c>
      <c r="F1057" s="54" t="s">
        <v>49</v>
      </c>
      <c r="G1057" s="54" t="s">
        <v>1876</v>
      </c>
      <c r="H1057" s="54">
        <f>STOCK[[#This Row],[Precio Final]]</f>
        <v>25</v>
      </c>
      <c r="I1057" s="54">
        <f>STOCK[[#This Row],[Precio Venta Ideal (x1.5)]]</f>
        <v>22.47</v>
      </c>
      <c r="J1057" s="71">
        <v>2</v>
      </c>
      <c r="K1057" s="71">
        <f>SUMIFS(VENTAS[Cantidad],VENTAS[Código del producto Vendido],STOCK[[#This Row],[Code]])</f>
        <v>1</v>
      </c>
      <c r="L1057" s="71">
        <f>STOCK[[#This Row],[Entradas]]-STOCK[[#This Row],[Salidas]]</f>
        <v>1</v>
      </c>
      <c r="M1057" s="54">
        <f>STOCK[[#This Row],[Precio Final]]*10%</f>
        <v>2.5</v>
      </c>
      <c r="N1057" s="54">
        <v>0</v>
      </c>
      <c r="O1057" s="54">
        <v>0</v>
      </c>
      <c r="P1057" s="54">
        <v>11.88</v>
      </c>
      <c r="Q1057" s="71">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53" t="s">
        <v>2124</v>
      </c>
      <c r="F1058" s="53" t="s">
        <v>49</v>
      </c>
      <c r="G1058" s="53" t="s">
        <v>1876</v>
      </c>
      <c r="H1058" s="53">
        <f>STOCK[[#This Row],[Precio Final]]</f>
        <v>25</v>
      </c>
      <c r="I1058" s="53">
        <f>STOCK[[#This Row],[Precio Venta Ideal (x1.5)]]</f>
        <v>20.565</v>
      </c>
      <c r="J1058" s="70">
        <v>1</v>
      </c>
      <c r="K1058" s="70">
        <f>SUMIFS(VENTAS[Cantidad],VENTAS[Código del producto Vendido],STOCK[[#This Row],[Code]])</f>
        <v>1</v>
      </c>
      <c r="L1058" s="70">
        <f>STOCK[[#This Row],[Entradas]]-STOCK[[#This Row],[Salidas]]</f>
        <v>0</v>
      </c>
      <c r="M1058" s="53">
        <f>STOCK[[#This Row],[Precio Final]]*10%</f>
        <v>2.5</v>
      </c>
      <c r="N1058" s="53">
        <v>0</v>
      </c>
      <c r="O1058" s="53">
        <v>0</v>
      </c>
      <c r="P1058" s="53">
        <v>10.61</v>
      </c>
      <c r="Q1058" s="70">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54" t="s">
        <v>2196</v>
      </c>
      <c r="F1059" s="54" t="s">
        <v>46</v>
      </c>
      <c r="G1059" s="54" t="s">
        <v>1876</v>
      </c>
      <c r="H1059" s="54">
        <f>STOCK[[#This Row],[Precio Final]]</f>
        <v>20</v>
      </c>
      <c r="I1059" s="54">
        <f>STOCK[[#This Row],[Precio Venta Ideal (x1.5)]]</f>
        <v>15.57</v>
      </c>
      <c r="J1059" s="71">
        <v>1</v>
      </c>
      <c r="K1059" s="71">
        <f>SUMIFS(VENTAS[Cantidad],VENTAS[Código del producto Vendido],STOCK[[#This Row],[Code]])</f>
        <v>0</v>
      </c>
      <c r="L1059" s="71">
        <f>STOCK[[#This Row],[Entradas]]-STOCK[[#This Row],[Salidas]]</f>
        <v>1</v>
      </c>
      <c r="M1059" s="54">
        <f>STOCK[[#This Row],[Precio Final]]*10%</f>
        <v>2</v>
      </c>
      <c r="N1059" s="54">
        <v>0</v>
      </c>
      <c r="O1059" s="54">
        <v>0</v>
      </c>
      <c r="P1059" s="54">
        <v>7.78</v>
      </c>
      <c r="Q1059" s="71">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53" t="s">
        <v>2196</v>
      </c>
      <c r="F1060" s="53" t="s">
        <v>49</v>
      </c>
      <c r="G1060" s="53" t="s">
        <v>1876</v>
      </c>
      <c r="H1060" s="53">
        <f>STOCK[[#This Row],[Precio Final]]</f>
        <v>20</v>
      </c>
      <c r="I1060" s="53">
        <f>STOCK[[#This Row],[Precio Venta Ideal (x1.5)]]</f>
        <v>15.57</v>
      </c>
      <c r="J1060" s="70">
        <v>1</v>
      </c>
      <c r="K1060" s="70">
        <f>SUMIFS(VENTAS[Cantidad],VENTAS[Código del producto Vendido],STOCK[[#This Row],[Code]])</f>
        <v>0</v>
      </c>
      <c r="L1060" s="70">
        <f>STOCK[[#This Row],[Entradas]]-STOCK[[#This Row],[Salidas]]</f>
        <v>1</v>
      </c>
      <c r="M1060" s="53">
        <f>STOCK[[#This Row],[Precio Final]]*10%</f>
        <v>2</v>
      </c>
      <c r="N1060" s="53">
        <v>0</v>
      </c>
      <c r="O1060" s="53">
        <v>0</v>
      </c>
      <c r="P1060" s="53">
        <v>7.78</v>
      </c>
      <c r="Q1060" s="70">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54" t="s">
        <v>2196</v>
      </c>
      <c r="F1061" s="54" t="s">
        <v>62</v>
      </c>
      <c r="G1061" s="54" t="s">
        <v>1876</v>
      </c>
      <c r="H1061" s="54">
        <f>STOCK[[#This Row],[Precio Final]]</f>
        <v>20</v>
      </c>
      <c r="I1061" s="54">
        <f>STOCK[[#This Row],[Precio Venta Ideal (x1.5)]]</f>
        <v>15.57</v>
      </c>
      <c r="J1061" s="71">
        <v>1</v>
      </c>
      <c r="K1061" s="71">
        <f>SUMIFS(VENTAS[Cantidad],VENTAS[Código del producto Vendido],STOCK[[#This Row],[Code]])</f>
        <v>1</v>
      </c>
      <c r="L1061" s="71">
        <f>STOCK[[#This Row],[Entradas]]-STOCK[[#This Row],[Salidas]]</f>
        <v>0</v>
      </c>
      <c r="M1061" s="54">
        <f>STOCK[[#This Row],[Precio Final]]*10%</f>
        <v>2</v>
      </c>
      <c r="N1061" s="54">
        <v>0</v>
      </c>
      <c r="O1061" s="54">
        <v>0</v>
      </c>
      <c r="P1061" s="54">
        <v>7.78</v>
      </c>
      <c r="Q1061" s="71">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53" t="s">
        <v>2203</v>
      </c>
      <c r="F1062" s="53" t="s">
        <v>62</v>
      </c>
      <c r="G1062" s="53" t="s">
        <v>1876</v>
      </c>
      <c r="H1062" s="53">
        <f>STOCK[[#This Row],[Precio Final]]</f>
        <v>30</v>
      </c>
      <c r="I1062" s="53">
        <f>STOCK[[#This Row],[Precio Venta Ideal (x1.5)]]</f>
        <v>26.985</v>
      </c>
      <c r="J1062" s="70">
        <v>1</v>
      </c>
      <c r="K1062" s="70">
        <f>SUMIFS(VENTAS[Cantidad],VENTAS[Código del producto Vendido],STOCK[[#This Row],[Code]])</f>
        <v>1</v>
      </c>
      <c r="L1062" s="70">
        <f>STOCK[[#This Row],[Entradas]]-STOCK[[#This Row],[Salidas]]</f>
        <v>0</v>
      </c>
      <c r="M1062" s="53">
        <f>STOCK[[#This Row],[Precio Final]]*10%</f>
        <v>3</v>
      </c>
      <c r="N1062" s="53">
        <v>0</v>
      </c>
      <c r="O1062" s="53">
        <v>0</v>
      </c>
      <c r="P1062" s="53">
        <v>14.39</v>
      </c>
      <c r="Q1062" s="70">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54" t="s">
        <v>2206</v>
      </c>
      <c r="F1063" s="54" t="s">
        <v>49</v>
      </c>
      <c r="G1063" s="54" t="s">
        <v>1876</v>
      </c>
      <c r="H1063" s="54">
        <f>STOCK[[#This Row],[Precio Final]]</f>
        <v>25</v>
      </c>
      <c r="I1063" s="54">
        <f>STOCK[[#This Row],[Precio Venta Ideal (x1.5)]]</f>
        <v>25.635</v>
      </c>
      <c r="J1063" s="71">
        <v>1</v>
      </c>
      <c r="K1063" s="71">
        <f>SUMIFS(VENTAS[Cantidad],VENTAS[Código del producto Vendido],STOCK[[#This Row],[Code]])</f>
        <v>1</v>
      </c>
      <c r="L1063" s="71">
        <f>STOCK[[#This Row],[Entradas]]-STOCK[[#This Row],[Salidas]]</f>
        <v>0</v>
      </c>
      <c r="M1063" s="54">
        <f>STOCK[[#This Row],[Precio Final]]*10%</f>
        <v>2.5</v>
      </c>
      <c r="N1063" s="54">
        <v>0</v>
      </c>
      <c r="O1063" s="54">
        <v>0</v>
      </c>
      <c r="P1063" s="54">
        <v>13.99</v>
      </c>
      <c r="Q1063" s="71">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53" t="s">
        <v>2209</v>
      </c>
      <c r="F1064" s="53" t="s">
        <v>1534</v>
      </c>
      <c r="G1064" s="53" t="s">
        <v>1876</v>
      </c>
      <c r="H1064" s="53">
        <f>STOCK[[#This Row],[Precio Final]]</f>
        <v>12</v>
      </c>
      <c r="I1064" s="53">
        <f>STOCK[[#This Row],[Precio Venta Ideal (x1.5)]]</f>
        <v>10.56</v>
      </c>
      <c r="J1064" s="70">
        <v>4</v>
      </c>
      <c r="K1064" s="70">
        <f>SUMIFS(VENTAS[Cantidad],VENTAS[Código del producto Vendido],STOCK[[#This Row],[Code]])</f>
        <v>2</v>
      </c>
      <c r="L1064" s="70">
        <f>STOCK[[#This Row],[Entradas]]-STOCK[[#This Row],[Salidas]]</f>
        <v>2</v>
      </c>
      <c r="M1064" s="53">
        <f>STOCK[[#This Row],[Precio Final]]*10%</f>
        <v>1.2</v>
      </c>
      <c r="N1064" s="53">
        <v>0</v>
      </c>
      <c r="O1064" s="53">
        <v>0</v>
      </c>
      <c r="P1064" s="53">
        <v>5.24</v>
      </c>
      <c r="Q1064" s="70">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54" t="s">
        <v>2212</v>
      </c>
      <c r="F1065" s="54" t="s">
        <v>62</v>
      </c>
      <c r="G1065" s="54" t="s">
        <v>1876</v>
      </c>
      <c r="H1065" s="54">
        <f>STOCK[[#This Row],[Precio Final]]</f>
        <v>35</v>
      </c>
      <c r="I1065" s="54">
        <f>STOCK[[#This Row],[Precio Venta Ideal (x1.5)]]</f>
        <v>28.335</v>
      </c>
      <c r="J1065" s="71">
        <v>2</v>
      </c>
      <c r="K1065" s="71">
        <f>SUMIFS(VENTAS[Cantidad],VENTAS[Código del producto Vendido],STOCK[[#This Row],[Code]])</f>
        <v>2</v>
      </c>
      <c r="L1065" s="71">
        <f>STOCK[[#This Row],[Entradas]]-STOCK[[#This Row],[Salidas]]</f>
        <v>0</v>
      </c>
      <c r="M1065" s="54">
        <f>STOCK[[#This Row],[Precio Final]]*10%</f>
        <v>3.5</v>
      </c>
      <c r="N1065" s="54">
        <v>0</v>
      </c>
      <c r="O1065" s="54">
        <v>0</v>
      </c>
      <c r="P1065" s="54">
        <v>14.79</v>
      </c>
      <c r="Q1065" s="71">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53" t="s">
        <v>2215</v>
      </c>
      <c r="F1066" s="53" t="s">
        <v>2216</v>
      </c>
      <c r="G1066" s="53" t="s">
        <v>1876</v>
      </c>
      <c r="H1066" s="53">
        <f>STOCK[[#This Row],[Precio Final]]</f>
        <v>18</v>
      </c>
      <c r="I1066" s="53">
        <f>STOCK[[#This Row],[Precio Venta Ideal (x1.5)]]</f>
        <v>13.365</v>
      </c>
      <c r="J1066" s="70">
        <v>5</v>
      </c>
      <c r="K1066" s="70">
        <f>SUMIFS(VENTAS[Cantidad],VENTAS[Código del producto Vendido],STOCK[[#This Row],[Code]])</f>
        <v>5</v>
      </c>
      <c r="L1066" s="70">
        <f>STOCK[[#This Row],[Entradas]]-STOCK[[#This Row],[Salidas]]</f>
        <v>0</v>
      </c>
      <c r="M1066" s="53">
        <f>STOCK[[#This Row],[Precio Final]]*10%</f>
        <v>1.8</v>
      </c>
      <c r="N1066" s="53">
        <v>0</v>
      </c>
      <c r="O1066" s="53">
        <v>0</v>
      </c>
      <c r="P1066" s="53">
        <v>6.51</v>
      </c>
      <c r="Q1066" s="70">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54" t="s">
        <v>2219</v>
      </c>
      <c r="F1067" s="54" t="s">
        <v>46</v>
      </c>
      <c r="G1067" s="54" t="s">
        <v>1876</v>
      </c>
      <c r="H1067" s="54">
        <f>STOCK[[#This Row],[Precio Final]]</f>
        <v>30</v>
      </c>
      <c r="I1067" s="54">
        <f>STOCK[[#This Row],[Precio Venta Ideal (x1.5)]]</f>
        <v>28.635</v>
      </c>
      <c r="J1067" s="71">
        <v>1</v>
      </c>
      <c r="K1067" s="71">
        <f>SUMIFS(VENTAS[Cantidad],VENTAS[Código del producto Vendido],STOCK[[#This Row],[Code]])</f>
        <v>1</v>
      </c>
      <c r="L1067" s="71">
        <f>STOCK[[#This Row],[Entradas]]-STOCK[[#This Row],[Salidas]]</f>
        <v>0</v>
      </c>
      <c r="M1067" s="54">
        <f>STOCK[[#This Row],[Precio Final]]*10%</f>
        <v>3</v>
      </c>
      <c r="N1067" s="54">
        <v>0</v>
      </c>
      <c r="O1067" s="54">
        <v>0</v>
      </c>
      <c r="P1067" s="54">
        <v>15.49</v>
      </c>
      <c r="Q1067" s="71">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53" t="s">
        <v>2222</v>
      </c>
      <c r="F1068" s="53" t="s">
        <v>46</v>
      </c>
      <c r="G1068" s="53" t="s">
        <v>1876</v>
      </c>
      <c r="H1068" s="53">
        <f>STOCK[[#This Row],[Precio Final]]</f>
        <v>25</v>
      </c>
      <c r="I1068" s="53">
        <f>STOCK[[#This Row],[Precio Venta Ideal (x1.5)]]</f>
        <v>21.225</v>
      </c>
      <c r="J1068" s="70">
        <v>2</v>
      </c>
      <c r="K1068" s="70">
        <f>SUMIFS(VENTAS[Cantidad],VENTAS[Código del producto Vendido],STOCK[[#This Row],[Code]])</f>
        <v>2</v>
      </c>
      <c r="L1068" s="70">
        <f>STOCK[[#This Row],[Entradas]]-STOCK[[#This Row],[Salidas]]</f>
        <v>0</v>
      </c>
      <c r="M1068" s="53">
        <f>STOCK[[#This Row],[Precio Final]]*10%</f>
        <v>2.5</v>
      </c>
      <c r="N1068" s="53">
        <v>0</v>
      </c>
      <c r="O1068" s="53">
        <v>0</v>
      </c>
      <c r="P1068" s="53">
        <v>11.05</v>
      </c>
      <c r="Q1068" s="70">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54" t="s">
        <v>2225</v>
      </c>
      <c r="F1069" s="54" t="s">
        <v>62</v>
      </c>
      <c r="G1069" s="54" t="s">
        <v>1876</v>
      </c>
      <c r="H1069" s="54">
        <f>STOCK[[#This Row],[Precio Final]]</f>
        <v>20</v>
      </c>
      <c r="I1069" s="54">
        <f>STOCK[[#This Row],[Precio Venta Ideal (x1.5)]]</f>
        <v>15.885</v>
      </c>
      <c r="J1069" s="71">
        <v>1</v>
      </c>
      <c r="K1069" s="71">
        <f>SUMIFS(VENTAS[Cantidad],VENTAS[Código del producto Vendido],STOCK[[#This Row],[Code]])</f>
        <v>1</v>
      </c>
      <c r="L1069" s="71">
        <f>STOCK[[#This Row],[Entradas]]-STOCK[[#This Row],[Salidas]]</f>
        <v>0</v>
      </c>
      <c r="M1069" s="54">
        <f>STOCK[[#This Row],[Precio Final]]*10%</f>
        <v>2</v>
      </c>
      <c r="N1069" s="54">
        <v>0</v>
      </c>
      <c r="O1069" s="54">
        <v>0</v>
      </c>
      <c r="P1069" s="54">
        <v>7.99</v>
      </c>
      <c r="Q1069" s="71">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53" t="s">
        <v>2228</v>
      </c>
      <c r="F1070" s="53" t="s">
        <v>525</v>
      </c>
      <c r="G1070" s="53" t="s">
        <v>1876</v>
      </c>
      <c r="H1070" s="53">
        <f>STOCK[[#This Row],[Precio Final]]</f>
        <v>10</v>
      </c>
      <c r="I1070" s="53">
        <f>STOCK[[#This Row],[Precio Venta Ideal (x1.5)]]</f>
        <v>6.42</v>
      </c>
      <c r="J1070" s="70">
        <v>5</v>
      </c>
      <c r="K1070" s="70">
        <f>SUMIFS(VENTAS[Cantidad],VENTAS[Código del producto Vendido],STOCK[[#This Row],[Code]])</f>
        <v>5</v>
      </c>
      <c r="L1070" s="70">
        <f>STOCK[[#This Row],[Entradas]]-STOCK[[#This Row],[Salidas]]</f>
        <v>0</v>
      </c>
      <c r="M1070" s="53">
        <f>STOCK[[#This Row],[Precio Final]]*10%</f>
        <v>1</v>
      </c>
      <c r="N1070" s="53">
        <v>0</v>
      </c>
      <c r="O1070" s="53">
        <v>0</v>
      </c>
      <c r="P1070" s="53">
        <v>2.68</v>
      </c>
      <c r="Q1070" s="70">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54" t="s">
        <v>2231</v>
      </c>
      <c r="F1071" s="54" t="s">
        <v>46</v>
      </c>
      <c r="G1071" s="54" t="s">
        <v>1876</v>
      </c>
      <c r="H1071" s="54">
        <f>STOCK[[#This Row],[Precio Final]]</f>
        <v>25</v>
      </c>
      <c r="I1071" s="54">
        <f>STOCK[[#This Row],[Precio Venta Ideal (x1.5)]]</f>
        <v>22.035</v>
      </c>
      <c r="J1071" s="71">
        <v>1</v>
      </c>
      <c r="K1071" s="71">
        <f>SUMIFS(VENTAS[Cantidad],VENTAS[Código del producto Vendido],STOCK[[#This Row],[Code]])</f>
        <v>1</v>
      </c>
      <c r="L1071" s="71">
        <f>STOCK[[#This Row],[Entradas]]-STOCK[[#This Row],[Salidas]]</f>
        <v>0</v>
      </c>
      <c r="M1071" s="54">
        <f>STOCK[[#This Row],[Precio Final]]*10%</f>
        <v>2.5</v>
      </c>
      <c r="N1071" s="54">
        <v>0</v>
      </c>
      <c r="O1071" s="54">
        <v>0</v>
      </c>
      <c r="P1071" s="54">
        <v>11.59</v>
      </c>
      <c r="Q1071" s="71">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53" t="s">
        <v>2234</v>
      </c>
      <c r="F1072" s="53" t="s">
        <v>49</v>
      </c>
      <c r="G1072" s="53" t="s">
        <v>1876</v>
      </c>
      <c r="H1072" s="53">
        <f>STOCK[[#This Row],[Precio Final]]</f>
        <v>25</v>
      </c>
      <c r="I1072" s="53">
        <f>STOCK[[#This Row],[Precio Venta Ideal (x1.5)]]</f>
        <v>22.035</v>
      </c>
      <c r="J1072" s="70">
        <v>3</v>
      </c>
      <c r="K1072" s="70">
        <f>SUMIFS(VENTAS[Cantidad],VENTAS[Código del producto Vendido],STOCK[[#This Row],[Code]])</f>
        <v>3</v>
      </c>
      <c r="L1072" s="70">
        <f>STOCK[[#This Row],[Entradas]]-STOCK[[#This Row],[Salidas]]</f>
        <v>0</v>
      </c>
      <c r="M1072" s="53">
        <f>STOCK[[#This Row],[Precio Final]]*10%</f>
        <v>2.5</v>
      </c>
      <c r="N1072" s="53">
        <v>0</v>
      </c>
      <c r="O1072" s="53">
        <v>0</v>
      </c>
      <c r="P1072" s="53">
        <v>11.59</v>
      </c>
      <c r="Q1072" s="70">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3" t="str">
        <f>_xlfn.DISPIMG("ID_D2291D47CB264014ADE660D65A2620A2",1)</f>
        <v>=DISPIMG("ID_D2291D47CB264014ADE660D65A2620A2",1)</v>
      </c>
      <c r="C1073" s="54" t="s">
        <v>32</v>
      </c>
      <c r="D1073" s="54" t="s">
        <v>38</v>
      </c>
      <c r="E1073" s="54" t="s">
        <v>2222</v>
      </c>
      <c r="F1073" s="54" t="s">
        <v>2237</v>
      </c>
      <c r="G1073" s="54" t="s">
        <v>1876</v>
      </c>
      <c r="H1073" s="54">
        <f>STOCK[[#This Row],[Precio Final]]</f>
        <v>25</v>
      </c>
      <c r="I1073" s="54">
        <f>STOCK[[#This Row],[Precio Venta Ideal (x1.5)]]</f>
        <v>21.225</v>
      </c>
      <c r="J1073" s="71">
        <v>2</v>
      </c>
      <c r="K1073" s="71">
        <f>SUMIFS(VENTAS[Cantidad],VENTAS[Código del producto Vendido],STOCK[[#This Row],[Code]])</f>
        <v>0</v>
      </c>
      <c r="L1073" s="71">
        <f>STOCK[[#This Row],[Entradas]]-STOCK[[#This Row],[Salidas]]</f>
        <v>2</v>
      </c>
      <c r="M1073" s="54">
        <f>STOCK[[#This Row],[Precio Final]]*10%</f>
        <v>2.5</v>
      </c>
      <c r="N1073" s="54">
        <v>0</v>
      </c>
      <c r="O1073" s="54">
        <v>0</v>
      </c>
      <c r="P1073" s="54">
        <v>11.05</v>
      </c>
      <c r="Q1073" s="71">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3" t="str">
        <f>_xlfn.DISPIMG("ID_D2291D47CB264014ADE660D65A2620A2",1)</f>
        <v>=DISPIMG("ID_D2291D47CB264014ADE660D65A2620A2",1)</v>
      </c>
      <c r="C1074" s="54" t="s">
        <v>32</v>
      </c>
      <c r="D1074" s="54" t="s">
        <v>38</v>
      </c>
      <c r="E1074" s="54" t="s">
        <v>2222</v>
      </c>
      <c r="F1074" s="53" t="s">
        <v>62</v>
      </c>
      <c r="H1074" s="54">
        <f>STOCK[[#This Row],[Precio Final]]</f>
        <v>25</v>
      </c>
      <c r="I1074" s="54">
        <f>STOCK[[#This Row],[Precio Venta Ideal (x1.5)]]</f>
        <v>20.325</v>
      </c>
      <c r="J1074" s="70">
        <v>1</v>
      </c>
      <c r="K1074" s="71">
        <f>SUMIFS(VENTAS[Cantidad],VENTAS[Código del producto Vendido],STOCK[[#This Row],[Code]])</f>
        <v>0</v>
      </c>
      <c r="L1074" s="71">
        <f>STOCK[[#This Row],[Entradas]]-STOCK[[#This Row],[Salidas]]</f>
        <v>1</v>
      </c>
      <c r="M1074" s="54">
        <f>STOCK[[#This Row],[Precio Final]]*10%</f>
        <v>2.5</v>
      </c>
      <c r="N1074" s="53">
        <v>0</v>
      </c>
      <c r="O1074" s="53">
        <v>0</v>
      </c>
      <c r="P1074" s="53">
        <v>11.05</v>
      </c>
      <c r="Q1074" s="70">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53" t="s">
        <v>2242</v>
      </c>
      <c r="F1075" s="53" t="s">
        <v>2108</v>
      </c>
      <c r="G1075" s="53" t="s">
        <v>1876</v>
      </c>
      <c r="H1075" s="53">
        <f>STOCK[[#This Row],[Precio Final]]</f>
        <v>25</v>
      </c>
      <c r="I1075" s="53">
        <f>STOCK[[#This Row],[Precio Venta Ideal (x1.5)]]</f>
        <v>20.385</v>
      </c>
      <c r="J1075" s="70">
        <v>5</v>
      </c>
      <c r="K1075" s="70">
        <f>SUMIFS(VENTAS[Cantidad],VENTAS[Código del producto Vendido],STOCK[[#This Row],[Code]])</f>
        <v>5</v>
      </c>
      <c r="L1075" s="70">
        <f>STOCK[[#This Row],[Entradas]]-STOCK[[#This Row],[Salidas]]</f>
        <v>0</v>
      </c>
      <c r="M1075" s="53">
        <f>STOCK[[#This Row],[Precio Final]]*10%</f>
        <v>2.5</v>
      </c>
      <c r="N1075" s="53">
        <v>0</v>
      </c>
      <c r="O1075" s="53">
        <v>0</v>
      </c>
      <c r="P1075" s="53">
        <v>10.49</v>
      </c>
      <c r="Q1075" s="70">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54" t="s">
        <v>2124</v>
      </c>
      <c r="F1076" s="54" t="s">
        <v>49</v>
      </c>
      <c r="G1076" s="54" t="s">
        <v>1876</v>
      </c>
      <c r="H1076" s="54">
        <f>STOCK[[#This Row],[Precio Final]]</f>
        <v>25</v>
      </c>
      <c r="I1076" s="54">
        <f>STOCK[[#This Row],[Precio Venta Ideal (x1.5)]]</f>
        <v>19.935</v>
      </c>
      <c r="J1076" s="71">
        <v>2</v>
      </c>
      <c r="K1076" s="71">
        <f>SUMIFS(VENTAS[Cantidad],VENTAS[Código del producto Vendido],STOCK[[#This Row],[Code]])</f>
        <v>2</v>
      </c>
      <c r="L1076" s="71">
        <f>STOCK[[#This Row],[Entradas]]-STOCK[[#This Row],[Salidas]]</f>
        <v>0</v>
      </c>
      <c r="M1076" s="54">
        <f>STOCK[[#This Row],[Precio Final]]*10%</f>
        <v>2.5</v>
      </c>
      <c r="N1076" s="54">
        <v>0</v>
      </c>
      <c r="O1076" s="54">
        <v>0</v>
      </c>
      <c r="P1076" s="54">
        <v>10.19</v>
      </c>
      <c r="Q1076" s="71">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53" t="s">
        <v>2246</v>
      </c>
      <c r="F1077" s="53" t="s">
        <v>62</v>
      </c>
      <c r="G1077" s="53" t="s">
        <v>1876</v>
      </c>
      <c r="H1077" s="53">
        <f>STOCK[[#This Row],[Precio Final]]</f>
        <v>15</v>
      </c>
      <c r="I1077" s="53">
        <f>STOCK[[#This Row],[Precio Venta Ideal (x1.5)]]</f>
        <v>9.285</v>
      </c>
      <c r="J1077" s="70">
        <v>2</v>
      </c>
      <c r="K1077" s="70">
        <f>SUMIFS(VENTAS[Cantidad],VENTAS[Código del producto Vendido],STOCK[[#This Row],[Code]])</f>
        <v>0</v>
      </c>
      <c r="L1077" s="70">
        <f>STOCK[[#This Row],[Entradas]]-STOCK[[#This Row],[Salidas]]</f>
        <v>2</v>
      </c>
      <c r="M1077" s="53">
        <f>STOCK[[#This Row],[Precio Final]]*10%</f>
        <v>1.5</v>
      </c>
      <c r="N1077" s="53">
        <v>0</v>
      </c>
      <c r="O1077" s="53">
        <v>0</v>
      </c>
      <c r="P1077" s="53">
        <v>4.09</v>
      </c>
      <c r="Q1077" s="70">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54" t="s">
        <v>2249</v>
      </c>
      <c r="F1078" s="54" t="s">
        <v>997</v>
      </c>
      <c r="G1078" s="54" t="s">
        <v>1876</v>
      </c>
      <c r="H1078" s="54">
        <f>STOCK[[#This Row],[Precio Final]]</f>
        <v>20</v>
      </c>
      <c r="I1078" s="54">
        <f>STOCK[[#This Row],[Precio Venta Ideal (x1.5)]]</f>
        <v>11.985</v>
      </c>
      <c r="J1078" s="71">
        <v>1</v>
      </c>
      <c r="K1078" s="71">
        <f>SUMIFS(VENTAS[Cantidad],VENTAS[Código del producto Vendido],STOCK[[#This Row],[Code]])</f>
        <v>1</v>
      </c>
      <c r="L1078" s="71">
        <f>STOCK[[#This Row],[Entradas]]-STOCK[[#This Row],[Salidas]]</f>
        <v>0</v>
      </c>
      <c r="M1078" s="54">
        <f>STOCK[[#This Row],[Precio Final]]*10%</f>
        <v>2</v>
      </c>
      <c r="N1078" s="54">
        <v>0</v>
      </c>
      <c r="O1078" s="54">
        <v>0</v>
      </c>
      <c r="P1078" s="54">
        <v>5.39</v>
      </c>
      <c r="Q1078" s="71">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53" t="s">
        <v>2252</v>
      </c>
      <c r="F1079" s="53" t="s">
        <v>49</v>
      </c>
      <c r="G1079" s="53" t="s">
        <v>1876</v>
      </c>
      <c r="H1079" s="53">
        <f>STOCK[[#This Row],[Precio Final]]</f>
        <v>20</v>
      </c>
      <c r="I1079" s="53">
        <f>STOCK[[#This Row],[Precio Venta Ideal (x1.5)]]</f>
        <v>15.99</v>
      </c>
      <c r="J1079" s="70">
        <v>1</v>
      </c>
      <c r="K1079" s="70">
        <f>SUMIFS(VENTAS[Cantidad],VENTAS[Código del producto Vendido],STOCK[[#This Row],[Code]])</f>
        <v>1</v>
      </c>
      <c r="L1079" s="70">
        <f>STOCK[[#This Row],[Entradas]]-STOCK[[#This Row],[Salidas]]</f>
        <v>0</v>
      </c>
      <c r="M1079" s="53">
        <f>STOCK[[#This Row],[Precio Final]]*10%</f>
        <v>2</v>
      </c>
      <c r="N1079" s="53">
        <v>0</v>
      </c>
      <c r="O1079" s="53">
        <v>0</v>
      </c>
      <c r="P1079" s="53">
        <v>8.06</v>
      </c>
      <c r="Q1079" s="70">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54" t="s">
        <v>2252</v>
      </c>
      <c r="F1080" s="54" t="s">
        <v>62</v>
      </c>
      <c r="G1080" s="54" t="s">
        <v>1876</v>
      </c>
      <c r="H1080" s="54">
        <f>STOCK[[#This Row],[Precio Final]]</f>
        <v>20</v>
      </c>
      <c r="I1080" s="54">
        <f>STOCK[[#This Row],[Precio Venta Ideal (x1.5)]]</f>
        <v>15.99</v>
      </c>
      <c r="J1080" s="71">
        <v>1</v>
      </c>
      <c r="K1080" s="71">
        <f>SUMIFS(VENTAS[Cantidad],VENTAS[Código del producto Vendido],STOCK[[#This Row],[Code]])</f>
        <v>1</v>
      </c>
      <c r="L1080" s="71">
        <f>STOCK[[#This Row],[Entradas]]-STOCK[[#This Row],[Salidas]]</f>
        <v>0</v>
      </c>
      <c r="M1080" s="54">
        <f>STOCK[[#This Row],[Precio Final]]*10%</f>
        <v>2</v>
      </c>
      <c r="N1080" s="54">
        <v>0</v>
      </c>
      <c r="O1080" s="54">
        <v>0</v>
      </c>
      <c r="P1080" s="54">
        <v>8.06</v>
      </c>
      <c r="Q1080" s="71">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53" t="s">
        <v>2212</v>
      </c>
      <c r="F1081" s="53" t="s">
        <v>40</v>
      </c>
      <c r="G1081" s="53" t="s">
        <v>1876</v>
      </c>
      <c r="H1081" s="53">
        <f>STOCK[[#This Row],[Precio Final]]</f>
        <v>35</v>
      </c>
      <c r="I1081" s="53">
        <f>STOCK[[#This Row],[Precio Venta Ideal (x1.5)]]</f>
        <v>28.335</v>
      </c>
      <c r="J1081" s="70">
        <v>2</v>
      </c>
      <c r="K1081" s="70">
        <f>SUMIFS(VENTAS[Cantidad],VENTAS[Código del producto Vendido],STOCK[[#This Row],[Code]])</f>
        <v>1</v>
      </c>
      <c r="L1081" s="70">
        <f>STOCK[[#This Row],[Entradas]]-STOCK[[#This Row],[Salidas]]</f>
        <v>1</v>
      </c>
      <c r="M1081" s="53">
        <f>STOCK[[#This Row],[Precio Final]]*10%</f>
        <v>3.5</v>
      </c>
      <c r="N1081" s="53">
        <v>0</v>
      </c>
      <c r="O1081" s="53">
        <v>0</v>
      </c>
      <c r="P1081" s="53">
        <v>14.79</v>
      </c>
      <c r="Q1081" s="70">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54" t="s">
        <v>2259</v>
      </c>
      <c r="F1082" s="54" t="s">
        <v>49</v>
      </c>
      <c r="G1082" s="54" t="s">
        <v>1876</v>
      </c>
      <c r="H1082" s="54">
        <f>STOCK[[#This Row],[Precio Final]]</f>
        <v>30</v>
      </c>
      <c r="I1082" s="54">
        <f>STOCK[[#This Row],[Precio Venta Ideal (x1.5)]]</f>
        <v>22.665</v>
      </c>
      <c r="J1082" s="71">
        <v>0</v>
      </c>
      <c r="K1082" s="71">
        <f>SUMIFS(VENTAS[Cantidad],VENTAS[Código del producto Vendido],STOCK[[#This Row],[Code]])</f>
        <v>0</v>
      </c>
      <c r="L1082" s="71">
        <f>STOCK[[#This Row],[Entradas]]-STOCK[[#This Row],[Salidas]]</f>
        <v>0</v>
      </c>
      <c r="M1082" s="54">
        <f>STOCK[[#This Row],[Precio Final]]*10%</f>
        <v>3</v>
      </c>
      <c r="N1082" s="54">
        <v>0</v>
      </c>
      <c r="O1082" s="54">
        <v>0</v>
      </c>
      <c r="P1082" s="54">
        <v>11.51</v>
      </c>
      <c r="Q1082" s="71">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53" t="s">
        <v>2259</v>
      </c>
      <c r="F1083" s="53" t="s">
        <v>46</v>
      </c>
      <c r="G1083" s="53" t="s">
        <v>1876</v>
      </c>
      <c r="H1083" s="53">
        <f>STOCK[[#This Row],[Precio Final]]</f>
        <v>30</v>
      </c>
      <c r="I1083" s="53">
        <f>STOCK[[#This Row],[Precio Venta Ideal (x1.5)]]</f>
        <v>22.665</v>
      </c>
      <c r="J1083" s="70">
        <v>0</v>
      </c>
      <c r="K1083" s="70">
        <f>SUMIFS(VENTAS[Cantidad],VENTAS[Código del producto Vendido],STOCK[[#This Row],[Code]])</f>
        <v>0</v>
      </c>
      <c r="L1083" s="70">
        <f>STOCK[[#This Row],[Entradas]]-STOCK[[#This Row],[Salidas]]</f>
        <v>0</v>
      </c>
      <c r="M1083" s="53">
        <f>STOCK[[#This Row],[Precio Final]]*10%</f>
        <v>3</v>
      </c>
      <c r="N1083" s="53">
        <v>0</v>
      </c>
      <c r="O1083" s="53">
        <v>0</v>
      </c>
      <c r="P1083" s="53">
        <v>11.51</v>
      </c>
      <c r="Q1083" s="70">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54" t="s">
        <v>2265</v>
      </c>
      <c r="F1084" s="54" t="s">
        <v>42</v>
      </c>
      <c r="G1084" s="54" t="s">
        <v>1876</v>
      </c>
      <c r="H1084" s="54">
        <f>STOCK[[#This Row],[Precio Final]]</f>
        <v>20</v>
      </c>
      <c r="I1084" s="54">
        <f>STOCK[[#This Row],[Precio Venta Ideal (x1.5)]]</f>
        <v>15.285</v>
      </c>
      <c r="J1084" s="71">
        <v>2</v>
      </c>
      <c r="K1084" s="71">
        <f>SUMIFS(VENTAS[Cantidad],VENTAS[Código del producto Vendido],STOCK[[#This Row],[Code]])</f>
        <v>0</v>
      </c>
      <c r="L1084" s="71">
        <f>STOCK[[#This Row],[Entradas]]-STOCK[[#This Row],[Salidas]]</f>
        <v>2</v>
      </c>
      <c r="M1084" s="54">
        <f>STOCK[[#This Row],[Precio Final]]*10%</f>
        <v>2</v>
      </c>
      <c r="N1084" s="54">
        <v>0</v>
      </c>
      <c r="O1084" s="54">
        <v>0</v>
      </c>
      <c r="P1084" s="54">
        <v>7.59</v>
      </c>
      <c r="Q1084" s="71">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53" t="s">
        <v>2265</v>
      </c>
      <c r="F1085" s="53" t="s">
        <v>46</v>
      </c>
      <c r="G1085" s="53" t="s">
        <v>1876</v>
      </c>
      <c r="H1085" s="53">
        <f>STOCK[[#This Row],[Precio Final]]</f>
        <v>20</v>
      </c>
      <c r="I1085" s="53">
        <f>STOCK[[#This Row],[Precio Venta Ideal (x1.5)]]</f>
        <v>15.285</v>
      </c>
      <c r="J1085" s="70">
        <v>2</v>
      </c>
      <c r="K1085" s="70">
        <f>SUMIFS(VENTAS[Cantidad],VENTAS[Código del producto Vendido],STOCK[[#This Row],[Code]])</f>
        <v>0</v>
      </c>
      <c r="L1085" s="70">
        <f>STOCK[[#This Row],[Entradas]]-STOCK[[#This Row],[Salidas]]</f>
        <v>2</v>
      </c>
      <c r="M1085" s="53">
        <f>STOCK[[#This Row],[Precio Final]]*10%</f>
        <v>2</v>
      </c>
      <c r="N1085" s="53">
        <v>0</v>
      </c>
      <c r="O1085" s="53">
        <v>0</v>
      </c>
      <c r="P1085" s="53">
        <v>7.59</v>
      </c>
      <c r="Q1085" s="70">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54" t="s">
        <v>2265</v>
      </c>
      <c r="F1086" s="54" t="s">
        <v>49</v>
      </c>
      <c r="G1086" s="54" t="s">
        <v>1876</v>
      </c>
      <c r="H1086" s="54">
        <f>STOCK[[#This Row],[Precio Final]]</f>
        <v>20</v>
      </c>
      <c r="I1086" s="54">
        <f>STOCK[[#This Row],[Precio Venta Ideal (x1.5)]]</f>
        <v>15.285</v>
      </c>
      <c r="J1086" s="71">
        <v>2</v>
      </c>
      <c r="K1086" s="71">
        <f>SUMIFS(VENTAS[Cantidad],VENTAS[Código del producto Vendido],STOCK[[#This Row],[Code]])</f>
        <v>0</v>
      </c>
      <c r="L1086" s="71">
        <f>STOCK[[#This Row],[Entradas]]-STOCK[[#This Row],[Salidas]]</f>
        <v>2</v>
      </c>
      <c r="M1086" s="54">
        <f>STOCK[[#This Row],[Precio Final]]*10%</f>
        <v>2</v>
      </c>
      <c r="N1086" s="54">
        <v>0</v>
      </c>
      <c r="O1086" s="54">
        <v>0</v>
      </c>
      <c r="P1086" s="54">
        <v>7.59</v>
      </c>
      <c r="Q1086" s="71">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53" t="s">
        <v>2265</v>
      </c>
      <c r="F1087" s="53" t="s">
        <v>62</v>
      </c>
      <c r="G1087" s="53" t="s">
        <v>1876</v>
      </c>
      <c r="H1087" s="53">
        <f>STOCK[[#This Row],[Precio Final]]</f>
        <v>20</v>
      </c>
      <c r="I1087" s="53">
        <f>STOCK[[#This Row],[Precio Venta Ideal (x1.5)]]</f>
        <v>15.285</v>
      </c>
      <c r="J1087" s="70">
        <v>2</v>
      </c>
      <c r="K1087" s="70">
        <f>SUMIFS(VENTAS[Cantidad],VENTAS[Código del producto Vendido],STOCK[[#This Row],[Code]])</f>
        <v>0</v>
      </c>
      <c r="L1087" s="70">
        <f>STOCK[[#This Row],[Entradas]]-STOCK[[#This Row],[Salidas]]</f>
        <v>2</v>
      </c>
      <c r="M1087" s="53">
        <f>STOCK[[#This Row],[Precio Final]]*10%</f>
        <v>2</v>
      </c>
      <c r="N1087" s="53">
        <v>0</v>
      </c>
      <c r="O1087" s="53">
        <v>0</v>
      </c>
      <c r="P1087" s="53">
        <v>7.59</v>
      </c>
      <c r="Q1087" s="70">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54" t="s">
        <v>2274</v>
      </c>
      <c r="F1088" s="54" t="s">
        <v>2108</v>
      </c>
      <c r="G1088" s="54" t="s">
        <v>1876</v>
      </c>
      <c r="H1088" s="54">
        <f>STOCK[[#This Row],[Precio Final]]</f>
        <v>15</v>
      </c>
      <c r="I1088" s="54">
        <f>STOCK[[#This Row],[Precio Venta Ideal (x1.5)]]</f>
        <v>12.585</v>
      </c>
      <c r="J1088" s="71">
        <v>3</v>
      </c>
      <c r="K1088" s="71">
        <f>SUMIFS(VENTAS[Cantidad],VENTAS[Código del producto Vendido],STOCK[[#This Row],[Code]])</f>
        <v>1</v>
      </c>
      <c r="L1088" s="71">
        <f>STOCK[[#This Row],[Entradas]]-STOCK[[#This Row],[Salidas]]</f>
        <v>2</v>
      </c>
      <c r="M1088" s="54">
        <f>STOCK[[#This Row],[Precio Final]]*10%</f>
        <v>1.5</v>
      </c>
      <c r="N1088" s="54">
        <v>0</v>
      </c>
      <c r="O1088" s="54">
        <v>0</v>
      </c>
      <c r="P1088" s="54">
        <v>6.29</v>
      </c>
      <c r="Q1088" s="71">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53" t="s">
        <v>2277</v>
      </c>
      <c r="F1089" s="53" t="s">
        <v>2108</v>
      </c>
      <c r="G1089" s="53" t="s">
        <v>1876</v>
      </c>
      <c r="H1089" s="53">
        <f>STOCK[[#This Row],[Precio Final]]</f>
        <v>15</v>
      </c>
      <c r="I1089" s="53">
        <f>STOCK[[#This Row],[Precio Venta Ideal (x1.5)]]</f>
        <v>12.585</v>
      </c>
      <c r="J1089" s="70">
        <v>3</v>
      </c>
      <c r="K1089" s="70">
        <f>SUMIFS(VENTAS[Cantidad],VENTAS[Código del producto Vendido],STOCK[[#This Row],[Code]])</f>
        <v>0</v>
      </c>
      <c r="L1089" s="70">
        <f>STOCK[[#This Row],[Entradas]]-STOCK[[#This Row],[Salidas]]</f>
        <v>3</v>
      </c>
      <c r="M1089" s="53">
        <f>STOCK[[#This Row],[Precio Final]]*10%</f>
        <v>1.5</v>
      </c>
      <c r="N1089" s="53">
        <v>0</v>
      </c>
      <c r="O1089" s="53">
        <v>0</v>
      </c>
      <c r="P1089" s="53">
        <v>6.29</v>
      </c>
      <c r="Q1089" s="70">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54" t="s">
        <v>2280</v>
      </c>
      <c r="F1090" s="54" t="s">
        <v>2108</v>
      </c>
      <c r="G1090" s="54" t="s">
        <v>1876</v>
      </c>
      <c r="H1090" s="54">
        <f>STOCK[[#This Row],[Precio Final]]</f>
        <v>15</v>
      </c>
      <c r="I1090" s="54">
        <f>STOCK[[#This Row],[Precio Venta Ideal (x1.5)]]</f>
        <v>8.595</v>
      </c>
      <c r="J1090" s="71">
        <v>0</v>
      </c>
      <c r="K1090" s="71">
        <f>SUMIFS(VENTAS[Cantidad],VENTAS[Código del producto Vendido],STOCK[[#This Row],[Code]])</f>
        <v>0</v>
      </c>
      <c r="L1090" s="71">
        <f>STOCK[[#This Row],[Entradas]]-STOCK[[#This Row],[Salidas]]</f>
        <v>0</v>
      </c>
      <c r="M1090" s="54">
        <f>STOCK[[#This Row],[Precio Final]]*10%</f>
        <v>1.5</v>
      </c>
      <c r="N1090" s="54">
        <v>0</v>
      </c>
      <c r="O1090" s="54">
        <v>0</v>
      </c>
      <c r="P1090" s="54">
        <v>3.63</v>
      </c>
      <c r="Q1090" s="71">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53" t="s">
        <v>2283</v>
      </c>
      <c r="F1091" s="53" t="s">
        <v>2108</v>
      </c>
      <c r="G1091" s="53" t="s">
        <v>1876</v>
      </c>
      <c r="H1091" s="53">
        <f>STOCK[[#This Row],[Precio Final]]</f>
        <v>10</v>
      </c>
      <c r="I1091" s="53">
        <f>STOCK[[#This Row],[Precio Venta Ideal (x1.5)]]</f>
        <v>6.57</v>
      </c>
      <c r="J1091" s="70">
        <v>0</v>
      </c>
      <c r="K1091" s="70">
        <f>SUMIFS(VENTAS[Cantidad],VENTAS[Código del producto Vendido],STOCK[[#This Row],[Code]])</f>
        <v>0</v>
      </c>
      <c r="L1091" s="70">
        <f>STOCK[[#This Row],[Entradas]]-STOCK[[#This Row],[Salidas]]</f>
        <v>0</v>
      </c>
      <c r="M1091" s="53">
        <f>STOCK[[#This Row],[Precio Final]]*10%</f>
        <v>1</v>
      </c>
      <c r="N1091" s="53">
        <v>0</v>
      </c>
      <c r="O1091" s="53">
        <v>0</v>
      </c>
      <c r="P1091" s="53">
        <v>2.78</v>
      </c>
      <c r="Q1091" s="70">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54" t="s">
        <v>2286</v>
      </c>
      <c r="F1092" s="54" t="s">
        <v>1534</v>
      </c>
      <c r="G1092" s="54" t="s">
        <v>1876</v>
      </c>
      <c r="H1092" s="54">
        <f>STOCK[[#This Row],[Precio Final]]</f>
        <v>12</v>
      </c>
      <c r="I1092" s="54">
        <f>STOCK[[#This Row],[Precio Venta Ideal (x1.5)]]</f>
        <v>8.145</v>
      </c>
      <c r="J1092" s="71">
        <v>3</v>
      </c>
      <c r="K1092" s="71">
        <f>SUMIFS(VENTAS[Cantidad],VENTAS[Código del producto Vendido],STOCK[[#This Row],[Code]])</f>
        <v>3</v>
      </c>
      <c r="L1092" s="71">
        <f>STOCK[[#This Row],[Entradas]]-STOCK[[#This Row],[Salidas]]</f>
        <v>0</v>
      </c>
      <c r="M1092" s="54">
        <f>STOCK[[#This Row],[Precio Final]]*10%</f>
        <v>1.2</v>
      </c>
      <c r="N1092" s="54">
        <v>0</v>
      </c>
      <c r="O1092" s="54">
        <v>0</v>
      </c>
      <c r="P1092" s="54">
        <v>3.63</v>
      </c>
      <c r="Q1092" s="71">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53" t="s">
        <v>2289</v>
      </c>
      <c r="F1093" s="53" t="s">
        <v>1534</v>
      </c>
      <c r="G1093" s="53" t="s">
        <v>1876</v>
      </c>
      <c r="H1093" s="53">
        <f>STOCK[[#This Row],[Precio Final]]</f>
        <v>12</v>
      </c>
      <c r="I1093" s="53">
        <f>STOCK[[#This Row],[Precio Venta Ideal (x1.5)]]</f>
        <v>10.11</v>
      </c>
      <c r="J1093" s="70">
        <v>3</v>
      </c>
      <c r="K1093" s="70">
        <f>SUMIFS(VENTAS[Cantidad],VENTAS[Código del producto Vendido],STOCK[[#This Row],[Code]])</f>
        <v>3</v>
      </c>
      <c r="L1093" s="70">
        <f>STOCK[[#This Row],[Entradas]]-STOCK[[#This Row],[Salidas]]</f>
        <v>0</v>
      </c>
      <c r="M1093" s="53">
        <f>STOCK[[#This Row],[Precio Final]]*10%</f>
        <v>1.2</v>
      </c>
      <c r="N1093" s="53">
        <v>0</v>
      </c>
      <c r="O1093" s="53">
        <v>0</v>
      </c>
      <c r="P1093" s="53">
        <v>4.94</v>
      </c>
      <c r="Q1093" s="70">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54" t="s">
        <v>2292</v>
      </c>
      <c r="F1094" s="54" t="s">
        <v>62</v>
      </c>
      <c r="G1094" s="54" t="s">
        <v>1876</v>
      </c>
      <c r="H1094" s="54">
        <f>STOCK[[#This Row],[Precio Final]]</f>
        <v>35</v>
      </c>
      <c r="I1094" s="54">
        <f>STOCK[[#This Row],[Precio Venta Ideal (x1.5)]]</f>
        <v>24.285</v>
      </c>
      <c r="J1094" s="71">
        <v>1</v>
      </c>
      <c r="K1094" s="71">
        <f>SUMIFS(VENTAS[Cantidad],VENTAS[Código del producto Vendido],STOCK[[#This Row],[Code]])</f>
        <v>1</v>
      </c>
      <c r="L1094" s="71">
        <f>STOCK[[#This Row],[Entradas]]-STOCK[[#This Row],[Salidas]]</f>
        <v>0</v>
      </c>
      <c r="M1094" s="54">
        <f>STOCK[[#This Row],[Precio Final]]*10%</f>
        <v>3.5</v>
      </c>
      <c r="N1094" s="54">
        <v>0</v>
      </c>
      <c r="O1094" s="54">
        <v>0</v>
      </c>
      <c r="P1094" s="54">
        <v>12.09</v>
      </c>
      <c r="Q1094" s="71">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53" t="s">
        <v>2295</v>
      </c>
      <c r="F1095" s="53" t="s">
        <v>42</v>
      </c>
      <c r="G1095" s="53" t="s">
        <v>1876</v>
      </c>
      <c r="H1095" s="53">
        <f>STOCK[[#This Row],[Precio Final]]</f>
        <v>25</v>
      </c>
      <c r="I1095" s="53">
        <f>STOCK[[#This Row],[Precio Venta Ideal (x1.5)]]</f>
        <v>20.82</v>
      </c>
      <c r="J1095" s="70">
        <v>1</v>
      </c>
      <c r="K1095" s="70">
        <f>SUMIFS(VENTAS[Cantidad],VENTAS[Código del producto Vendido],STOCK[[#This Row],[Code]])</f>
        <v>1</v>
      </c>
      <c r="L1095" s="70">
        <f>STOCK[[#This Row],[Entradas]]-STOCK[[#This Row],[Salidas]]</f>
        <v>0</v>
      </c>
      <c r="M1095" s="53">
        <f>STOCK[[#This Row],[Precio Final]]*10%</f>
        <v>2.5</v>
      </c>
      <c r="N1095" s="53">
        <v>0</v>
      </c>
      <c r="O1095" s="53">
        <v>0</v>
      </c>
      <c r="P1095" s="53">
        <v>10.78</v>
      </c>
      <c r="Q1095" s="70">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54" t="s">
        <v>2298</v>
      </c>
      <c r="F1096" s="54" t="s">
        <v>62</v>
      </c>
      <c r="G1096" s="54" t="s">
        <v>1876</v>
      </c>
      <c r="H1096" s="54">
        <f>STOCK[[#This Row],[Precio Final]]</f>
        <v>20</v>
      </c>
      <c r="I1096" s="54">
        <f>STOCK[[#This Row],[Precio Venta Ideal (x1.5)]]</f>
        <v>21.12</v>
      </c>
      <c r="J1096" s="71">
        <v>1</v>
      </c>
      <c r="K1096" s="71">
        <f>SUMIFS(VENTAS[Cantidad],VENTAS[Código del producto Vendido],STOCK[[#This Row],[Code]])</f>
        <v>0</v>
      </c>
      <c r="L1096" s="71">
        <f>STOCK[[#This Row],[Entradas]]-STOCK[[#This Row],[Salidas]]</f>
        <v>1</v>
      </c>
      <c r="M1096" s="54">
        <f>STOCK[[#This Row],[Precio Final]]*10%</f>
        <v>2</v>
      </c>
      <c r="N1096" s="54">
        <v>0</v>
      </c>
      <c r="O1096" s="54">
        <v>0</v>
      </c>
      <c r="P1096" s="54">
        <v>11.48</v>
      </c>
      <c r="Q1096" s="71">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53" t="s">
        <v>2301</v>
      </c>
      <c r="F1097" s="53" t="s">
        <v>62</v>
      </c>
      <c r="G1097" s="53" t="s">
        <v>1876</v>
      </c>
      <c r="H1097" s="53">
        <f>STOCK[[#This Row],[Precio Final]]</f>
        <v>30</v>
      </c>
      <c r="I1097" s="53">
        <f>STOCK[[#This Row],[Precio Venta Ideal (x1.5)]]</f>
        <v>30.885</v>
      </c>
      <c r="J1097" s="70">
        <v>1</v>
      </c>
      <c r="K1097" s="70">
        <f>SUMIFS(VENTAS[Cantidad],VENTAS[Código del producto Vendido],STOCK[[#This Row],[Code]])</f>
        <v>1</v>
      </c>
      <c r="L1097" s="70">
        <f>STOCK[[#This Row],[Entradas]]-STOCK[[#This Row],[Salidas]]</f>
        <v>0</v>
      </c>
      <c r="M1097" s="53">
        <f>STOCK[[#This Row],[Precio Final]]*10%</f>
        <v>3</v>
      </c>
      <c r="N1097" s="53">
        <v>0</v>
      </c>
      <c r="O1097" s="53">
        <v>0</v>
      </c>
      <c r="P1097" s="53">
        <v>16.99</v>
      </c>
      <c r="Q1097" s="70">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54" t="s">
        <v>2304</v>
      </c>
      <c r="F1098" s="54" t="s">
        <v>46</v>
      </c>
      <c r="G1098" s="54" t="s">
        <v>1876</v>
      </c>
      <c r="H1098" s="54">
        <f>STOCK[[#This Row],[Precio Final]]</f>
        <v>18</v>
      </c>
      <c r="I1098" s="54">
        <f>STOCK[[#This Row],[Precio Venta Ideal (x1.5)]]</f>
        <v>19.2140625</v>
      </c>
      <c r="J1098" s="71">
        <v>1</v>
      </c>
      <c r="K1098" s="71">
        <f>SUMIFS(VENTAS[Cantidad],VENTAS[Código del producto Vendido],STOCK[[#This Row],[Code]])</f>
        <v>0</v>
      </c>
      <c r="L1098" s="71">
        <f>STOCK[[#This Row],[Entradas]]-STOCK[[#This Row],[Salidas]]</f>
        <v>1</v>
      </c>
      <c r="M1098" s="54">
        <f>STOCK[[#This Row],[Precio Final]]*10%</f>
        <v>1.8</v>
      </c>
      <c r="N1098" s="54">
        <v>153.59</v>
      </c>
      <c r="O1098" s="54">
        <v>16</v>
      </c>
      <c r="P1098" s="54">
        <v>9.599375</v>
      </c>
      <c r="Q1098" s="71">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53" t="s">
        <v>2304</v>
      </c>
      <c r="F1099" s="53" t="s">
        <v>62</v>
      </c>
      <c r="G1099" s="53" t="s">
        <v>1876</v>
      </c>
      <c r="H1099" s="53">
        <f>STOCK[[#This Row],[Precio Final]]</f>
        <v>18</v>
      </c>
      <c r="I1099" s="53">
        <f>STOCK[[#This Row],[Precio Venta Ideal (x1.5)]]</f>
        <v>19.2140625</v>
      </c>
      <c r="J1099" s="70">
        <v>1</v>
      </c>
      <c r="K1099" s="70">
        <f>SUMIFS(VENTAS[Cantidad],VENTAS[Código del producto Vendido],STOCK[[#This Row],[Code]])</f>
        <v>1</v>
      </c>
      <c r="L1099" s="70">
        <f>STOCK[[#This Row],[Entradas]]-STOCK[[#This Row],[Salidas]]</f>
        <v>0</v>
      </c>
      <c r="M1099" s="53">
        <f>STOCK[[#This Row],[Precio Final]]*10%</f>
        <v>1.8</v>
      </c>
      <c r="N1099" s="53">
        <v>153.59</v>
      </c>
      <c r="O1099" s="53">
        <v>16</v>
      </c>
      <c r="P1099" s="53">
        <v>9.599375</v>
      </c>
      <c r="Q1099" s="70">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54" t="s">
        <v>2304</v>
      </c>
      <c r="F1100" s="54" t="s">
        <v>49</v>
      </c>
      <c r="G1100" s="54" t="s">
        <v>1876</v>
      </c>
      <c r="H1100" s="54">
        <f>STOCK[[#This Row],[Precio Final]]</f>
        <v>18</v>
      </c>
      <c r="I1100" s="54">
        <f>STOCK[[#This Row],[Precio Venta Ideal (x1.5)]]</f>
        <v>19.2140625</v>
      </c>
      <c r="J1100" s="71">
        <v>1</v>
      </c>
      <c r="K1100" s="71">
        <f>SUMIFS(VENTAS[Cantidad],VENTAS[Código del producto Vendido],STOCK[[#This Row],[Code]])</f>
        <v>0</v>
      </c>
      <c r="L1100" s="71">
        <f>STOCK[[#This Row],[Entradas]]-STOCK[[#This Row],[Salidas]]</f>
        <v>1</v>
      </c>
      <c r="M1100" s="54">
        <f>STOCK[[#This Row],[Precio Final]]*10%</f>
        <v>1.8</v>
      </c>
      <c r="N1100" s="54">
        <v>153.59</v>
      </c>
      <c r="O1100" s="54">
        <v>16</v>
      </c>
      <c r="P1100" s="54">
        <v>9.599375</v>
      </c>
      <c r="Q1100" s="71">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53" t="s">
        <v>2311</v>
      </c>
      <c r="F1101" s="53" t="s">
        <v>49</v>
      </c>
      <c r="G1101" s="53" t="s">
        <v>1876</v>
      </c>
      <c r="H1101" s="53">
        <f>STOCK[[#This Row],[Precio Final]]</f>
        <v>15</v>
      </c>
      <c r="I1101" s="53">
        <f>STOCK[[#This Row],[Precio Venta Ideal (x1.5)]]</f>
        <v>15.3496875</v>
      </c>
      <c r="J1101" s="70">
        <v>1</v>
      </c>
      <c r="K1101" s="70">
        <f>SUMIFS(VENTAS[Cantidad],VENTAS[Código del producto Vendido],STOCK[[#This Row],[Code]])</f>
        <v>1</v>
      </c>
      <c r="L1101" s="70">
        <f>STOCK[[#This Row],[Entradas]]-STOCK[[#This Row],[Salidas]]</f>
        <v>0</v>
      </c>
      <c r="M1101" s="53">
        <f>STOCK[[#This Row],[Precio Final]]*10%</f>
        <v>1.5</v>
      </c>
      <c r="N1101" s="53">
        <v>117.17</v>
      </c>
      <c r="O1101" s="53">
        <v>16</v>
      </c>
      <c r="P1101" s="53">
        <v>7.323125</v>
      </c>
      <c r="Q1101" s="70">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54" t="s">
        <v>2311</v>
      </c>
      <c r="F1102" s="54" t="s">
        <v>46</v>
      </c>
      <c r="G1102" s="54" t="s">
        <v>1876</v>
      </c>
      <c r="H1102" s="54">
        <f>STOCK[[#This Row],[Precio Final]]</f>
        <v>15</v>
      </c>
      <c r="I1102" s="54">
        <f>STOCK[[#This Row],[Precio Venta Ideal (x1.5)]]</f>
        <v>15.3496875</v>
      </c>
      <c r="J1102" s="71">
        <v>1</v>
      </c>
      <c r="K1102" s="71">
        <f>SUMIFS(VENTAS[Cantidad],VENTAS[Código del producto Vendido],STOCK[[#This Row],[Code]])</f>
        <v>1</v>
      </c>
      <c r="L1102" s="71">
        <f>STOCK[[#This Row],[Entradas]]-STOCK[[#This Row],[Salidas]]</f>
        <v>0</v>
      </c>
      <c r="M1102" s="54">
        <f>STOCK[[#This Row],[Precio Final]]*10%</f>
        <v>1.5</v>
      </c>
      <c r="N1102" s="54">
        <v>117.17</v>
      </c>
      <c r="O1102" s="54">
        <v>16</v>
      </c>
      <c r="P1102" s="54">
        <v>7.323125</v>
      </c>
      <c r="Q1102" s="71">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53" t="s">
        <v>2311</v>
      </c>
      <c r="F1103" s="53" t="s">
        <v>62</v>
      </c>
      <c r="G1103" s="53" t="s">
        <v>1876</v>
      </c>
      <c r="H1103" s="53">
        <f>STOCK[[#This Row],[Precio Final]]</f>
        <v>15</v>
      </c>
      <c r="I1103" s="53">
        <f>STOCK[[#This Row],[Precio Venta Ideal (x1.5)]]</f>
        <v>15.3496875</v>
      </c>
      <c r="J1103" s="70">
        <v>1</v>
      </c>
      <c r="K1103" s="70">
        <f>SUMIFS(VENTAS[Cantidad],VENTAS[Código del producto Vendido],STOCK[[#This Row],[Code]])</f>
        <v>1</v>
      </c>
      <c r="L1103" s="70">
        <f>STOCK[[#This Row],[Entradas]]-STOCK[[#This Row],[Salidas]]</f>
        <v>0</v>
      </c>
      <c r="M1103" s="53">
        <f>STOCK[[#This Row],[Precio Final]]*10%</f>
        <v>1.5</v>
      </c>
      <c r="N1103" s="53">
        <v>117.17</v>
      </c>
      <c r="O1103" s="53">
        <v>16</v>
      </c>
      <c r="P1103" s="53">
        <v>7.323125</v>
      </c>
      <c r="Q1103" s="70">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54" t="s">
        <v>2319</v>
      </c>
      <c r="F1104" s="54" t="s">
        <v>42</v>
      </c>
      <c r="G1104" s="54" t="s">
        <v>1876</v>
      </c>
      <c r="H1104" s="54">
        <f>STOCK[[#This Row],[Precio Final]]</f>
        <v>30</v>
      </c>
      <c r="I1104" s="54">
        <f>STOCK[[#This Row],[Precio Venta Ideal (x1.5)]]</f>
        <v>26.5265625</v>
      </c>
      <c r="J1104" s="71">
        <v>2</v>
      </c>
      <c r="K1104" s="71">
        <f>SUMIFS(VENTAS[Cantidad],VENTAS[Código del producto Vendido],STOCK[[#This Row],[Code]])</f>
        <v>1</v>
      </c>
      <c r="L1104" s="71">
        <f>STOCK[[#This Row],[Entradas]]-STOCK[[#This Row],[Salidas]]</f>
        <v>1</v>
      </c>
      <c r="M1104" s="54">
        <f>STOCK[[#This Row],[Precio Final]]*10%</f>
        <v>3</v>
      </c>
      <c r="N1104" s="54">
        <v>212.39</v>
      </c>
      <c r="O1104" s="54">
        <v>16</v>
      </c>
      <c r="P1104" s="54">
        <v>13.274375</v>
      </c>
      <c r="Q1104" s="71">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53" t="s">
        <v>2322</v>
      </c>
      <c r="F1105" s="53" t="s">
        <v>62</v>
      </c>
      <c r="G1105" s="53" t="s">
        <v>1876</v>
      </c>
      <c r="H1105" s="53">
        <f>STOCK[[#This Row],[Precio Final]]</f>
        <v>30</v>
      </c>
      <c r="I1105" s="53">
        <f>STOCK[[#This Row],[Precio Venta Ideal (x1.5)]]</f>
        <v>30.3215625</v>
      </c>
      <c r="J1105" s="70">
        <v>1</v>
      </c>
      <c r="K1105" s="70">
        <f>SUMIFS(VENTAS[Cantidad],VENTAS[Código del producto Vendido],STOCK[[#This Row],[Code]])</f>
        <v>1</v>
      </c>
      <c r="L1105" s="70">
        <f>STOCK[[#This Row],[Entradas]]-STOCK[[#This Row],[Salidas]]</f>
        <v>0</v>
      </c>
      <c r="M1105" s="53">
        <f>STOCK[[#This Row],[Precio Final]]*10%</f>
        <v>3</v>
      </c>
      <c r="N1105" s="53">
        <v>252.87</v>
      </c>
      <c r="O1105" s="53">
        <v>16</v>
      </c>
      <c r="P1105" s="53">
        <v>15.804375</v>
      </c>
      <c r="Q1105" s="70">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54" t="s">
        <v>2325</v>
      </c>
      <c r="F1106" s="54" t="s">
        <v>62</v>
      </c>
      <c r="G1106" s="54" t="s">
        <v>1876</v>
      </c>
      <c r="H1106" s="54">
        <f>STOCK[[#This Row],[Precio Final]]</f>
        <v>20</v>
      </c>
      <c r="I1106" s="54">
        <f>STOCK[[#This Row],[Precio Venta Ideal (x1.5)]]</f>
        <v>19.3715625</v>
      </c>
      <c r="J1106" s="71">
        <v>1</v>
      </c>
      <c r="K1106" s="71">
        <f>SUMIFS(VENTAS[Cantidad],VENTAS[Código del producto Vendido],STOCK[[#This Row],[Code]])</f>
        <v>1</v>
      </c>
      <c r="L1106" s="71">
        <f>STOCK[[#This Row],[Entradas]]-STOCK[[#This Row],[Salidas]]</f>
        <v>0</v>
      </c>
      <c r="M1106" s="54">
        <f>STOCK[[#This Row],[Precio Final]]*10%</f>
        <v>2</v>
      </c>
      <c r="N1106" s="54">
        <v>152.07</v>
      </c>
      <c r="O1106" s="54">
        <v>16</v>
      </c>
      <c r="P1106" s="54">
        <v>9.504375</v>
      </c>
      <c r="Q1106" s="71">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53" t="s">
        <v>2325</v>
      </c>
      <c r="F1107" s="53" t="s">
        <v>49</v>
      </c>
      <c r="G1107" s="53" t="s">
        <v>1876</v>
      </c>
      <c r="H1107" s="53">
        <f>STOCK[[#This Row],[Precio Final]]</f>
        <v>20</v>
      </c>
      <c r="I1107" s="53">
        <f>STOCK[[#This Row],[Precio Venta Ideal (x1.5)]]</f>
        <v>19.3715625</v>
      </c>
      <c r="J1107" s="70">
        <v>1</v>
      </c>
      <c r="K1107" s="70">
        <f>SUMIFS(VENTAS[Cantidad],VENTAS[Código del producto Vendido],STOCK[[#This Row],[Code]])</f>
        <v>1</v>
      </c>
      <c r="L1107" s="70">
        <f>STOCK[[#This Row],[Entradas]]-STOCK[[#This Row],[Salidas]]</f>
        <v>0</v>
      </c>
      <c r="M1107" s="53">
        <f>STOCK[[#This Row],[Precio Final]]*10%</f>
        <v>2</v>
      </c>
      <c r="N1107" s="53">
        <v>152.07</v>
      </c>
      <c r="O1107" s="53">
        <v>16</v>
      </c>
      <c r="P1107" s="53">
        <v>9.504375</v>
      </c>
      <c r="Q1107" s="70">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54" t="s">
        <v>2325</v>
      </c>
      <c r="F1108" s="54" t="s">
        <v>46</v>
      </c>
      <c r="G1108" s="54" t="s">
        <v>1876</v>
      </c>
      <c r="H1108" s="54">
        <f>STOCK[[#This Row],[Precio Final]]</f>
        <v>20</v>
      </c>
      <c r="I1108" s="54">
        <f>STOCK[[#This Row],[Precio Venta Ideal (x1.5)]]</f>
        <v>19.3715625</v>
      </c>
      <c r="J1108" s="71">
        <v>1</v>
      </c>
      <c r="K1108" s="71">
        <f>SUMIFS(VENTAS[Cantidad],VENTAS[Código del producto Vendido],STOCK[[#This Row],[Code]])</f>
        <v>1</v>
      </c>
      <c r="L1108" s="71">
        <f>STOCK[[#This Row],[Entradas]]-STOCK[[#This Row],[Salidas]]</f>
        <v>0</v>
      </c>
      <c r="M1108" s="54">
        <f>STOCK[[#This Row],[Precio Final]]*10%</f>
        <v>2</v>
      </c>
      <c r="N1108" s="54">
        <v>152.07</v>
      </c>
      <c r="O1108" s="54">
        <v>16</v>
      </c>
      <c r="P1108" s="54">
        <v>9.504375</v>
      </c>
      <c r="Q1108" s="71">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53" t="s">
        <v>2325</v>
      </c>
      <c r="F1109" s="53" t="s">
        <v>42</v>
      </c>
      <c r="G1109" s="53" t="s">
        <v>1876</v>
      </c>
      <c r="H1109" s="53">
        <f>STOCK[[#This Row],[Precio Final]]</f>
        <v>20</v>
      </c>
      <c r="I1109" s="53">
        <f>STOCK[[#This Row],[Precio Venta Ideal (x1.5)]]</f>
        <v>19.3715625</v>
      </c>
      <c r="J1109" s="70">
        <v>1</v>
      </c>
      <c r="K1109" s="70">
        <f>SUMIFS(VENTAS[Cantidad],VENTAS[Código del producto Vendido],STOCK[[#This Row],[Code]])</f>
        <v>1</v>
      </c>
      <c r="L1109" s="70">
        <f>STOCK[[#This Row],[Entradas]]-STOCK[[#This Row],[Salidas]]</f>
        <v>0</v>
      </c>
      <c r="M1109" s="53">
        <f>STOCK[[#This Row],[Precio Final]]*10%</f>
        <v>2</v>
      </c>
      <c r="N1109" s="53">
        <v>152.07</v>
      </c>
      <c r="O1109" s="53">
        <v>16</v>
      </c>
      <c r="P1109" s="53">
        <v>9.504375</v>
      </c>
      <c r="Q1109" s="70">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54" t="s">
        <v>2335</v>
      </c>
      <c r="F1110" s="54" t="s">
        <v>62</v>
      </c>
      <c r="G1110" s="54" t="s">
        <v>1876</v>
      </c>
      <c r="H1110" s="54">
        <f>STOCK[[#This Row],[Precio Final]]</f>
        <v>20</v>
      </c>
      <c r="I1110" s="54">
        <f>STOCK[[#This Row],[Precio Venta Ideal (x1.5)]]</f>
        <v>23.1140625</v>
      </c>
      <c r="J1110" s="71">
        <v>2</v>
      </c>
      <c r="K1110" s="71">
        <f>SUMIFS(VENTAS[Cantidad],VENTAS[Código del producto Vendido],STOCK[[#This Row],[Code]])</f>
        <v>2</v>
      </c>
      <c r="L1110" s="71">
        <f>STOCK[[#This Row],[Entradas]]-STOCK[[#This Row],[Salidas]]</f>
        <v>0</v>
      </c>
      <c r="M1110" s="54">
        <f>STOCK[[#This Row],[Precio Final]]*10%</f>
        <v>2</v>
      </c>
      <c r="N1110" s="54">
        <v>191.99</v>
      </c>
      <c r="O1110" s="54">
        <v>16</v>
      </c>
      <c r="P1110" s="54">
        <v>11.999375</v>
      </c>
      <c r="Q1110" s="71">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53" t="s">
        <v>2338</v>
      </c>
      <c r="F1111" s="53" t="s">
        <v>46</v>
      </c>
      <c r="G1111" s="53" t="s">
        <v>1876</v>
      </c>
      <c r="H1111" s="53">
        <f>STOCK[[#This Row],[Precio Final]]</f>
        <v>18</v>
      </c>
      <c r="I1111" s="53">
        <f>STOCK[[#This Row],[Precio Venta Ideal (x1.5)]]</f>
        <v>15.3515625</v>
      </c>
      <c r="J1111" s="70">
        <v>2</v>
      </c>
      <c r="K1111" s="70">
        <f>SUMIFS(VENTAS[Cantidad],VENTAS[Código del producto Vendido],STOCK[[#This Row],[Code]])</f>
        <v>0</v>
      </c>
      <c r="L1111" s="70">
        <f>STOCK[[#This Row],[Entradas]]-STOCK[[#This Row],[Salidas]]</f>
        <v>2</v>
      </c>
      <c r="M1111" s="53">
        <f>STOCK[[#This Row],[Precio Final]]*10%</f>
        <v>1.8</v>
      </c>
      <c r="N1111" s="53">
        <v>112.39</v>
      </c>
      <c r="O1111" s="53">
        <v>16</v>
      </c>
      <c r="P1111" s="53">
        <v>7.024375</v>
      </c>
      <c r="Q1111" s="70">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54" t="s">
        <v>2338</v>
      </c>
      <c r="F1112" s="54" t="s">
        <v>62</v>
      </c>
      <c r="G1112" s="54" t="s">
        <v>1876</v>
      </c>
      <c r="H1112" s="54">
        <f>STOCK[[#This Row],[Precio Final]]</f>
        <v>18</v>
      </c>
      <c r="I1112" s="54">
        <f>STOCK[[#This Row],[Precio Venta Ideal (x1.5)]]</f>
        <v>15.3515625</v>
      </c>
      <c r="J1112" s="71">
        <v>2</v>
      </c>
      <c r="K1112" s="71">
        <f>SUMIFS(VENTAS[Cantidad],VENTAS[Código del producto Vendido],STOCK[[#This Row],[Code]])</f>
        <v>0</v>
      </c>
      <c r="L1112" s="71">
        <f>STOCK[[#This Row],[Entradas]]-STOCK[[#This Row],[Salidas]]</f>
        <v>2</v>
      </c>
      <c r="M1112" s="54">
        <f>STOCK[[#This Row],[Precio Final]]*10%</f>
        <v>1.8</v>
      </c>
      <c r="N1112" s="54">
        <v>112.39</v>
      </c>
      <c r="O1112" s="54">
        <v>16</v>
      </c>
      <c r="P1112" s="54">
        <v>7.024375</v>
      </c>
      <c r="Q1112" s="71">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53" t="s">
        <v>2338</v>
      </c>
      <c r="F1113" s="53" t="s">
        <v>49</v>
      </c>
      <c r="G1113" s="53" t="s">
        <v>1876</v>
      </c>
      <c r="H1113" s="53">
        <f>STOCK[[#This Row],[Precio Final]]</f>
        <v>18</v>
      </c>
      <c r="I1113" s="53">
        <f>STOCK[[#This Row],[Precio Venta Ideal (x1.5)]]</f>
        <v>15.3515625</v>
      </c>
      <c r="J1113" s="70">
        <v>2</v>
      </c>
      <c r="K1113" s="70">
        <f>SUMIFS(VENTAS[Cantidad],VENTAS[Código del producto Vendido],STOCK[[#This Row],[Code]])</f>
        <v>0</v>
      </c>
      <c r="L1113" s="70">
        <f>STOCK[[#This Row],[Entradas]]-STOCK[[#This Row],[Salidas]]</f>
        <v>2</v>
      </c>
      <c r="M1113" s="53">
        <f>STOCK[[#This Row],[Precio Final]]*10%</f>
        <v>1.8</v>
      </c>
      <c r="N1113" s="53">
        <v>112.39</v>
      </c>
      <c r="O1113" s="53">
        <v>16</v>
      </c>
      <c r="P1113" s="53">
        <v>7.024375</v>
      </c>
      <c r="Q1113" s="70">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54" t="s">
        <v>2345</v>
      </c>
      <c r="F1114" s="54" t="s">
        <v>46</v>
      </c>
      <c r="G1114" s="54" t="s">
        <v>1876</v>
      </c>
      <c r="H1114" s="54">
        <f>STOCK[[#This Row],[Precio Final]]</f>
        <v>28</v>
      </c>
      <c r="I1114" s="54">
        <f>STOCK[[#This Row],[Precio Venta Ideal (x1.5)]]</f>
        <v>30.6984375</v>
      </c>
      <c r="J1114" s="71">
        <v>1</v>
      </c>
      <c r="K1114" s="71">
        <f>SUMIFS(VENTAS[Cantidad],VENTAS[Código del producto Vendido],STOCK[[#This Row],[Code]])</f>
        <v>0</v>
      </c>
      <c r="L1114" s="71">
        <f>STOCK[[#This Row],[Entradas]]-STOCK[[#This Row],[Salidas]]</f>
        <v>1</v>
      </c>
      <c r="M1114" s="54">
        <f>STOCK[[#This Row],[Precio Final]]*10%</f>
        <v>2.8</v>
      </c>
      <c r="N1114" s="54">
        <v>260.09</v>
      </c>
      <c r="O1114" s="54">
        <v>16</v>
      </c>
      <c r="P1114" s="54">
        <v>16.255625</v>
      </c>
      <c r="Q1114" s="71">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53" t="s">
        <v>2345</v>
      </c>
      <c r="F1115" s="53" t="s">
        <v>49</v>
      </c>
      <c r="G1115" s="53" t="s">
        <v>1876</v>
      </c>
      <c r="H1115" s="53">
        <f>STOCK[[#This Row],[Precio Final]]</f>
        <v>28</v>
      </c>
      <c r="I1115" s="53">
        <f>STOCK[[#This Row],[Precio Venta Ideal (x1.5)]]</f>
        <v>30.6984375</v>
      </c>
      <c r="J1115" s="70">
        <v>1</v>
      </c>
      <c r="K1115" s="70">
        <f>SUMIFS(VENTAS[Cantidad],VENTAS[Código del producto Vendido],STOCK[[#This Row],[Code]])</f>
        <v>0</v>
      </c>
      <c r="L1115" s="70">
        <f>STOCK[[#This Row],[Entradas]]-STOCK[[#This Row],[Salidas]]</f>
        <v>1</v>
      </c>
      <c r="M1115" s="53">
        <f>STOCK[[#This Row],[Precio Final]]*10%</f>
        <v>2.8</v>
      </c>
      <c r="N1115" s="53">
        <v>260.09</v>
      </c>
      <c r="O1115" s="53">
        <v>16</v>
      </c>
      <c r="P1115" s="53">
        <v>16.255625</v>
      </c>
      <c r="Q1115" s="70">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54" t="s">
        <v>2345</v>
      </c>
      <c r="F1116" s="54" t="s">
        <v>62</v>
      </c>
      <c r="G1116" s="54" t="s">
        <v>1876</v>
      </c>
      <c r="H1116" s="54">
        <f>STOCK[[#This Row],[Precio Final]]</f>
        <v>28</v>
      </c>
      <c r="I1116" s="54">
        <f>STOCK[[#This Row],[Precio Venta Ideal (x1.5)]]</f>
        <v>30.6984375</v>
      </c>
      <c r="J1116" s="71">
        <v>1</v>
      </c>
      <c r="K1116" s="71">
        <f>SUMIFS(VENTAS[Cantidad],VENTAS[Código del producto Vendido],STOCK[[#This Row],[Code]])</f>
        <v>0</v>
      </c>
      <c r="L1116" s="71">
        <f>STOCK[[#This Row],[Entradas]]-STOCK[[#This Row],[Salidas]]</f>
        <v>1</v>
      </c>
      <c r="M1116" s="54">
        <f>STOCK[[#This Row],[Precio Final]]*10%</f>
        <v>2.8</v>
      </c>
      <c r="N1116" s="54">
        <v>260.09</v>
      </c>
      <c r="O1116" s="54">
        <v>16</v>
      </c>
      <c r="P1116" s="54">
        <v>16.255625</v>
      </c>
      <c r="Q1116" s="71">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53" t="s">
        <v>2345</v>
      </c>
      <c r="F1117" s="53" t="s">
        <v>40</v>
      </c>
      <c r="G1117" s="53" t="s">
        <v>1876</v>
      </c>
      <c r="H1117" s="53">
        <f>STOCK[[#This Row],[Precio Final]]</f>
        <v>28</v>
      </c>
      <c r="I1117" s="53">
        <f>STOCK[[#This Row],[Precio Venta Ideal (x1.5)]]</f>
        <v>30.6984375</v>
      </c>
      <c r="J1117" s="70">
        <v>1</v>
      </c>
      <c r="K1117" s="70">
        <f>SUMIFS(VENTAS[Cantidad],VENTAS[Código del producto Vendido],STOCK[[#This Row],[Code]])</f>
        <v>1</v>
      </c>
      <c r="L1117" s="70">
        <f>STOCK[[#This Row],[Entradas]]-STOCK[[#This Row],[Salidas]]</f>
        <v>0</v>
      </c>
      <c r="M1117" s="53">
        <f>STOCK[[#This Row],[Precio Final]]*10%</f>
        <v>2.8</v>
      </c>
      <c r="N1117" s="53">
        <v>260.09</v>
      </c>
      <c r="O1117" s="53">
        <v>16</v>
      </c>
      <c r="P1117" s="53">
        <v>16.255625</v>
      </c>
      <c r="Q1117" s="70">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54" t="s">
        <v>2354</v>
      </c>
      <c r="F1118" s="54" t="s">
        <v>525</v>
      </c>
      <c r="G1118" s="54" t="s">
        <v>1876</v>
      </c>
      <c r="H1118" s="54">
        <f>STOCK[[#This Row],[Precio Final]]</f>
        <v>10</v>
      </c>
      <c r="I1118" s="54">
        <f>STOCK[[#This Row],[Precio Venta Ideal (x1.5)]]</f>
        <v>10.996875</v>
      </c>
      <c r="J1118" s="71">
        <v>1</v>
      </c>
      <c r="K1118" s="71">
        <f>SUMIFS(VENTAS[Cantidad],VENTAS[Código del producto Vendido],STOCK[[#This Row],[Code]])</f>
        <v>0</v>
      </c>
      <c r="L1118" s="71">
        <f>STOCK[[#This Row],[Entradas]]-STOCK[[#This Row],[Salidas]]</f>
        <v>1</v>
      </c>
      <c r="M1118" s="54">
        <f>STOCK[[#This Row],[Precio Final]]*10%</f>
        <v>1</v>
      </c>
      <c r="N1118" s="54">
        <v>78.74</v>
      </c>
      <c r="O1118" s="54">
        <v>16</v>
      </c>
      <c r="P1118" s="54">
        <v>4.92125</v>
      </c>
      <c r="Q1118" s="71">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53" t="s">
        <v>2357</v>
      </c>
      <c r="F1119" s="53" t="s">
        <v>525</v>
      </c>
      <c r="G1119" s="53" t="s">
        <v>1876</v>
      </c>
      <c r="H1119" s="53">
        <f>STOCK[[#This Row],[Precio Final]]</f>
        <v>10</v>
      </c>
      <c r="I1119" s="53">
        <f>STOCK[[#This Row],[Precio Venta Ideal (x1.5)]]</f>
        <v>10.321875</v>
      </c>
      <c r="J1119" s="70">
        <v>2</v>
      </c>
      <c r="K1119" s="70">
        <f>SUMIFS(VENTAS[Cantidad],VENTAS[Código del producto Vendido],STOCK[[#This Row],[Code]])</f>
        <v>0</v>
      </c>
      <c r="L1119" s="70">
        <f>STOCK[[#This Row],[Entradas]]-STOCK[[#This Row],[Salidas]]</f>
        <v>2</v>
      </c>
      <c r="M1119" s="53">
        <f>STOCK[[#This Row],[Precio Final]]*10%</f>
        <v>1</v>
      </c>
      <c r="N1119" s="53">
        <v>71.54</v>
      </c>
      <c r="O1119" s="53">
        <v>16</v>
      </c>
      <c r="P1119" s="53">
        <v>4.47125</v>
      </c>
      <c r="Q1119" s="70">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54" t="s">
        <v>2360</v>
      </c>
      <c r="F1120" s="54" t="s">
        <v>525</v>
      </c>
      <c r="G1120" s="54" t="s">
        <v>1876</v>
      </c>
      <c r="H1120" s="54">
        <f>STOCK[[#This Row],[Precio Final]]</f>
        <v>10</v>
      </c>
      <c r="I1120" s="54">
        <f>STOCK[[#This Row],[Precio Venta Ideal (x1.5)]]</f>
        <v>10.996875</v>
      </c>
      <c r="J1120" s="71">
        <v>2</v>
      </c>
      <c r="K1120" s="71">
        <f>SUMIFS(VENTAS[Cantidad],VENTAS[Código del producto Vendido],STOCK[[#This Row],[Code]])</f>
        <v>2</v>
      </c>
      <c r="L1120" s="71">
        <f>STOCK[[#This Row],[Entradas]]-STOCK[[#This Row],[Salidas]]</f>
        <v>0</v>
      </c>
      <c r="M1120" s="54">
        <f>STOCK[[#This Row],[Precio Final]]*10%</f>
        <v>1</v>
      </c>
      <c r="N1120" s="54">
        <v>78.74</v>
      </c>
      <c r="O1120" s="54">
        <v>16</v>
      </c>
      <c r="P1120" s="54">
        <v>4.92125</v>
      </c>
      <c r="Q1120" s="71">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53" t="s">
        <v>2363</v>
      </c>
      <c r="F1121" s="53" t="s">
        <v>525</v>
      </c>
      <c r="G1121" s="53" t="s">
        <v>1876</v>
      </c>
      <c r="H1121" s="53">
        <f>STOCK[[#This Row],[Precio Final]]</f>
        <v>10</v>
      </c>
      <c r="I1121" s="53">
        <f>STOCK[[#This Row],[Precio Venta Ideal (x1.5)]]</f>
        <v>9.1828125</v>
      </c>
      <c r="J1121" s="70">
        <v>2</v>
      </c>
      <c r="K1121" s="70">
        <f>SUMIFS(VENTAS[Cantidad],VENTAS[Código del producto Vendido],STOCK[[#This Row],[Code]])</f>
        <v>2</v>
      </c>
      <c r="L1121" s="70">
        <f>STOCK[[#This Row],[Entradas]]-STOCK[[#This Row],[Salidas]]</f>
        <v>0</v>
      </c>
      <c r="M1121" s="53">
        <f>STOCK[[#This Row],[Precio Final]]*10%</f>
        <v>1</v>
      </c>
      <c r="N1121" s="53">
        <v>59.39</v>
      </c>
      <c r="O1121" s="53">
        <v>16</v>
      </c>
      <c r="P1121" s="53">
        <v>3.711875</v>
      </c>
      <c r="Q1121" s="70">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54" t="s">
        <v>2366</v>
      </c>
      <c r="F1122" s="54" t="s">
        <v>525</v>
      </c>
      <c r="G1122" s="54" t="s">
        <v>1876</v>
      </c>
      <c r="H1122" s="54">
        <f>STOCK[[#This Row],[Precio Final]]</f>
        <v>5</v>
      </c>
      <c r="I1122" s="54">
        <f>STOCK[[#This Row],[Precio Venta Ideal (x1.5)]]</f>
        <v>5.7534375</v>
      </c>
      <c r="J1122" s="71">
        <v>3</v>
      </c>
      <c r="K1122" s="71">
        <f>SUMIFS(VENTAS[Cantidad],VENTAS[Código del producto Vendido],STOCK[[#This Row],[Code]])</f>
        <v>2</v>
      </c>
      <c r="L1122" s="71">
        <f>STOCK[[#This Row],[Entradas]]-STOCK[[#This Row],[Salidas]]</f>
        <v>1</v>
      </c>
      <c r="M1122" s="54">
        <f>STOCK[[#This Row],[Precio Final]]*10%</f>
        <v>0.5</v>
      </c>
      <c r="N1122" s="54">
        <v>30.81</v>
      </c>
      <c r="O1122" s="54">
        <v>16</v>
      </c>
      <c r="P1122" s="54">
        <v>1.925625</v>
      </c>
      <c r="Q1122" s="71">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53" t="s">
        <v>2369</v>
      </c>
      <c r="F1123" s="53" t="s">
        <v>525</v>
      </c>
      <c r="G1123" s="53" t="s">
        <v>1876</v>
      </c>
      <c r="H1123" s="53">
        <f>STOCK[[#This Row],[Precio Final]]</f>
        <v>15</v>
      </c>
      <c r="I1123" s="53">
        <f>STOCK[[#This Row],[Precio Venta Ideal (x1.5)]]</f>
        <v>15.0778125</v>
      </c>
      <c r="J1123" s="70">
        <v>4</v>
      </c>
      <c r="K1123" s="70">
        <f>SUMIFS(VENTAS[Cantidad],VENTAS[Código del producto Vendido],STOCK[[#This Row],[Code]])</f>
        <v>4</v>
      </c>
      <c r="L1123" s="70">
        <f>STOCK[[#This Row],[Entradas]]-STOCK[[#This Row],[Salidas]]</f>
        <v>0</v>
      </c>
      <c r="M1123" s="53">
        <f>STOCK[[#This Row],[Precio Final]]*10%</f>
        <v>1.5</v>
      </c>
      <c r="N1123" s="53">
        <v>114.27</v>
      </c>
      <c r="O1123" s="53">
        <v>16</v>
      </c>
      <c r="P1123" s="53">
        <v>7.141875</v>
      </c>
      <c r="Q1123" s="70">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54" t="s">
        <v>2373</v>
      </c>
      <c r="F1124" s="54" t="s">
        <v>46</v>
      </c>
      <c r="G1124" s="54" t="s">
        <v>1876</v>
      </c>
      <c r="H1124" s="54">
        <f>STOCK[[#This Row],[Precio Final]]</f>
        <v>17</v>
      </c>
      <c r="I1124" s="54">
        <f>STOCK[[#This Row],[Precio Venta Ideal (x1.5)]]</f>
        <v>18.7828125</v>
      </c>
      <c r="J1124" s="71">
        <v>1</v>
      </c>
      <c r="K1124" s="71">
        <f>SUMIFS(VENTAS[Cantidad],VENTAS[Código del producto Vendido],STOCK[[#This Row],[Code]])</f>
        <v>1</v>
      </c>
      <c r="L1124" s="71">
        <f>STOCK[[#This Row],[Entradas]]-STOCK[[#This Row],[Salidas]]</f>
        <v>0</v>
      </c>
      <c r="M1124" s="54">
        <f>STOCK[[#This Row],[Precio Final]]*10%</f>
        <v>1.7</v>
      </c>
      <c r="N1124" s="54">
        <v>150.59</v>
      </c>
      <c r="O1124" s="54">
        <v>16</v>
      </c>
      <c r="P1124" s="54">
        <v>9.411875</v>
      </c>
      <c r="Q1124" s="71">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53" t="s">
        <v>2373</v>
      </c>
      <c r="F1125" s="53" t="s">
        <v>49</v>
      </c>
      <c r="G1125" s="53" t="s">
        <v>1876</v>
      </c>
      <c r="H1125" s="53">
        <f>STOCK[[#This Row],[Precio Final]]</f>
        <v>17</v>
      </c>
      <c r="I1125" s="53">
        <f>STOCK[[#This Row],[Precio Venta Ideal (x1.5)]]</f>
        <v>18.7828125</v>
      </c>
      <c r="J1125" s="70">
        <v>1</v>
      </c>
      <c r="K1125" s="70">
        <f>SUMIFS(VENTAS[Cantidad],VENTAS[Código del producto Vendido],STOCK[[#This Row],[Code]])</f>
        <v>1</v>
      </c>
      <c r="L1125" s="70">
        <f>STOCK[[#This Row],[Entradas]]-STOCK[[#This Row],[Salidas]]</f>
        <v>0</v>
      </c>
      <c r="M1125" s="53">
        <f>STOCK[[#This Row],[Precio Final]]*10%</f>
        <v>1.7</v>
      </c>
      <c r="N1125" s="53">
        <v>150.59</v>
      </c>
      <c r="O1125" s="53">
        <v>16</v>
      </c>
      <c r="P1125" s="53">
        <v>9.411875</v>
      </c>
      <c r="Q1125" s="70">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54" t="s">
        <v>2379</v>
      </c>
      <c r="F1126" s="54" t="s">
        <v>42</v>
      </c>
      <c r="G1126" s="54" t="s">
        <v>1876</v>
      </c>
      <c r="H1126" s="54">
        <f>STOCK[[#This Row],[Precio Final]]</f>
        <v>35</v>
      </c>
      <c r="I1126" s="54">
        <f>STOCK[[#This Row],[Precio Venta Ideal (x1.5)]]</f>
        <v>42.1640625</v>
      </c>
      <c r="J1126" s="71">
        <v>1</v>
      </c>
      <c r="K1126" s="71">
        <f>SUMIFS(VENTAS[Cantidad],VENTAS[Código del producto Vendido],STOCK[[#This Row],[Code]])</f>
        <v>1</v>
      </c>
      <c r="L1126" s="71">
        <f>STOCK[[#This Row],[Entradas]]-STOCK[[#This Row],[Salidas]]</f>
        <v>0</v>
      </c>
      <c r="M1126" s="54">
        <f>STOCK[[#This Row],[Precio Final]]*10%</f>
        <v>3.5</v>
      </c>
      <c r="N1126" s="54">
        <v>371.19</v>
      </c>
      <c r="O1126" s="54">
        <v>16</v>
      </c>
      <c r="P1126" s="54">
        <v>23.199375</v>
      </c>
      <c r="Q1126" s="71">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53" t="s">
        <v>2379</v>
      </c>
      <c r="F1127" s="53" t="s">
        <v>49</v>
      </c>
      <c r="G1127" s="53" t="s">
        <v>1876</v>
      </c>
      <c r="H1127" s="53">
        <f>STOCK[[#This Row],[Precio Final]]</f>
        <v>35</v>
      </c>
      <c r="I1127" s="53">
        <f>STOCK[[#This Row],[Precio Venta Ideal (x1.5)]]</f>
        <v>42.1640625</v>
      </c>
      <c r="J1127" s="70">
        <v>1</v>
      </c>
      <c r="K1127" s="70">
        <f>SUMIFS(VENTAS[Cantidad],VENTAS[Código del producto Vendido],STOCK[[#This Row],[Code]])</f>
        <v>1</v>
      </c>
      <c r="L1127" s="70">
        <f>STOCK[[#This Row],[Entradas]]-STOCK[[#This Row],[Salidas]]</f>
        <v>0</v>
      </c>
      <c r="M1127" s="53">
        <f>STOCK[[#This Row],[Precio Final]]*10%</f>
        <v>3.5</v>
      </c>
      <c r="N1127" s="53">
        <v>371.19</v>
      </c>
      <c r="O1127" s="53">
        <v>16</v>
      </c>
      <c r="P1127" s="53">
        <v>23.199375</v>
      </c>
      <c r="Q1127" s="70">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54" t="s">
        <v>2379</v>
      </c>
      <c r="F1128" s="54" t="s">
        <v>62</v>
      </c>
      <c r="G1128" s="54" t="s">
        <v>1876</v>
      </c>
      <c r="H1128" s="54">
        <f>STOCK[[#This Row],[Precio Final]]</f>
        <v>35</v>
      </c>
      <c r="I1128" s="54">
        <f>STOCK[[#This Row],[Precio Venta Ideal (x1.5)]]</f>
        <v>42.1640625</v>
      </c>
      <c r="J1128" s="71">
        <v>1</v>
      </c>
      <c r="K1128" s="71">
        <f>SUMIFS(VENTAS[Cantidad],VENTAS[Código del producto Vendido],STOCK[[#This Row],[Code]])</f>
        <v>1</v>
      </c>
      <c r="L1128" s="71">
        <f>STOCK[[#This Row],[Entradas]]-STOCK[[#This Row],[Salidas]]</f>
        <v>0</v>
      </c>
      <c r="M1128" s="54">
        <f>STOCK[[#This Row],[Precio Final]]*10%</f>
        <v>3.5</v>
      </c>
      <c r="N1128" s="54">
        <v>371.19</v>
      </c>
      <c r="O1128" s="54">
        <v>16</v>
      </c>
      <c r="P1128" s="54">
        <v>23.199375</v>
      </c>
      <c r="Q1128" s="71">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53" t="s">
        <v>2386</v>
      </c>
      <c r="F1129" s="53" t="s">
        <v>525</v>
      </c>
      <c r="G1129" s="53" t="s">
        <v>1876</v>
      </c>
      <c r="H1129" s="53">
        <f>STOCK[[#This Row],[Precio Final]]</f>
        <v>10</v>
      </c>
      <c r="I1129" s="53">
        <f>STOCK[[#This Row],[Precio Venta Ideal (x1.5)]]</f>
        <v>8.59125</v>
      </c>
      <c r="J1129" s="70">
        <v>3</v>
      </c>
      <c r="K1129" s="70">
        <f>SUMIFS(VENTAS[Cantidad],VENTAS[Código del producto Vendido],STOCK[[#This Row],[Code]])</f>
        <v>1</v>
      </c>
      <c r="L1129" s="70">
        <f>STOCK[[#This Row],[Entradas]]-STOCK[[#This Row],[Salidas]]</f>
        <v>2</v>
      </c>
      <c r="M1129" s="53">
        <f>STOCK[[#This Row],[Precio Final]]*10%</f>
        <v>1</v>
      </c>
      <c r="N1129" s="53">
        <v>53.08</v>
      </c>
      <c r="O1129" s="53">
        <v>16</v>
      </c>
      <c r="P1129" s="53">
        <v>3.3175</v>
      </c>
      <c r="Q1129" s="70">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54" t="s">
        <v>2389</v>
      </c>
      <c r="F1130" s="54" t="s">
        <v>540</v>
      </c>
      <c r="G1130" s="54" t="s">
        <v>1296</v>
      </c>
      <c r="H1130" s="54">
        <f>STOCK[[#This Row],[Precio Final]]</f>
        <v>30</v>
      </c>
      <c r="I1130" s="54">
        <f>STOCK[[#This Row],[Precio Venta Ideal (x1.5)]]</f>
        <v>23.25</v>
      </c>
      <c r="J1130" s="71">
        <v>1</v>
      </c>
      <c r="K1130" s="71">
        <f>SUMIFS(VENTAS[Cantidad],VENTAS[Código del producto Vendido],STOCK[[#This Row],[Code]])</f>
        <v>1</v>
      </c>
      <c r="L1130" s="71">
        <f>STOCK[[#This Row],[Entradas]]-STOCK[[#This Row],[Salidas]]</f>
        <v>0</v>
      </c>
      <c r="M1130" s="54">
        <f>STOCK[[#This Row],[Precio Final]]*10%</f>
        <v>3</v>
      </c>
      <c r="N1130" s="54">
        <v>200</v>
      </c>
      <c r="O1130" s="54">
        <v>16</v>
      </c>
      <c r="P1130" s="54">
        <v>12.5</v>
      </c>
      <c r="Q1130" s="71"/>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5"/>
      <c r="C1131" s="53" t="s">
        <v>32</v>
      </c>
      <c r="D1131" s="53" t="s">
        <v>174</v>
      </c>
      <c r="E1131" s="53" t="s">
        <v>1171</v>
      </c>
      <c r="F1131" s="53" t="s">
        <v>211</v>
      </c>
      <c r="G1131" s="53" t="s">
        <v>36</v>
      </c>
      <c r="H1131" s="53">
        <f>STOCK[[#This Row],[Precio Final]]</f>
        <v>13</v>
      </c>
      <c r="I1131" s="53">
        <f>STOCK[[#This Row],[Precio Venta Ideal (x1.5)]]</f>
        <v>14.865</v>
      </c>
      <c r="J1131" s="70">
        <v>2</v>
      </c>
      <c r="K1131" s="70">
        <f>SUMIFS(VENTAS[Cantidad],VENTAS[Código del producto Vendido],STOCK[[#This Row],[Code]])</f>
        <v>2</v>
      </c>
      <c r="L1131" s="70">
        <f>STOCK[[#This Row],[Entradas]]-STOCK[[#This Row],[Salidas]]</f>
        <v>0</v>
      </c>
      <c r="M1131" s="53">
        <f>STOCK[[#This Row],[Precio Final]]*10%</f>
        <v>1.3</v>
      </c>
      <c r="N1131" s="53">
        <v>4.72</v>
      </c>
      <c r="O1131" s="53">
        <v>0</v>
      </c>
      <c r="P1131" s="53">
        <v>7.61</v>
      </c>
      <c r="Q1131" s="70">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54" t="s">
        <v>1500</v>
      </c>
      <c r="F1132" s="54" t="s">
        <v>88</v>
      </c>
      <c r="G1132" s="54" t="s">
        <v>36</v>
      </c>
      <c r="H1132" s="54">
        <f>STOCK[[#This Row],[Precio Final]]</f>
        <v>13</v>
      </c>
      <c r="I1132" s="54">
        <f>STOCK[[#This Row],[Precio Venta Ideal (x1.5)]]</f>
        <v>13.365</v>
      </c>
      <c r="J1132" s="71">
        <v>2</v>
      </c>
      <c r="K1132" s="71">
        <f>SUMIFS(VENTAS[Cantidad],VENTAS[Código del producto Vendido],STOCK[[#This Row],[Code]])</f>
        <v>2</v>
      </c>
      <c r="L1132" s="71">
        <f>STOCK[[#This Row],[Entradas]]-STOCK[[#This Row],[Salidas]]</f>
        <v>0</v>
      </c>
      <c r="M1132" s="54">
        <f>STOCK[[#This Row],[Precio Final]]*10%</f>
        <v>1.3</v>
      </c>
      <c r="N1132" s="54">
        <v>4.72</v>
      </c>
      <c r="O1132" s="54">
        <v>0</v>
      </c>
      <c r="P1132" s="54">
        <v>7.61</v>
      </c>
      <c r="Q1132" s="71">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53" t="s">
        <v>2394</v>
      </c>
      <c r="F1133" s="53" t="s">
        <v>517</v>
      </c>
      <c r="G1133" s="53" t="s">
        <v>2395</v>
      </c>
      <c r="H1133" s="53">
        <f>STOCK[[#This Row],[Precio Final]]</f>
        <v>35</v>
      </c>
      <c r="I1133" s="53">
        <f>STOCK[[#This Row],[Precio Venta Ideal (x1.5)]]</f>
        <v>31.1280317273796</v>
      </c>
      <c r="J1133" s="70">
        <v>1</v>
      </c>
      <c r="K1133" s="70">
        <f>SUMIFS(VENTAS[Cantidad],VENTAS[Código del producto Vendido],STOCK[[#This Row],[Code]])</f>
        <v>1</v>
      </c>
      <c r="L1133" s="70">
        <f>STOCK[[#This Row],[Entradas]]-STOCK[[#This Row],[Salidas]]</f>
        <v>0</v>
      </c>
      <c r="M1133" s="53">
        <f>STOCK[[#This Row],[Precio Final]]*10%</f>
        <v>3.5</v>
      </c>
      <c r="N1133" s="53">
        <v>260.1</v>
      </c>
      <c r="O1133" s="53">
        <v>17.02</v>
      </c>
      <c r="P1133" s="53">
        <v>15.2820211515864</v>
      </c>
      <c r="Q1133" s="70">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54" t="s">
        <v>2398</v>
      </c>
      <c r="F1134" s="54" t="s">
        <v>766</v>
      </c>
      <c r="G1134" s="54" t="s">
        <v>2395</v>
      </c>
      <c r="H1134" s="54">
        <f>STOCK[[#This Row],[Precio Final]]</f>
        <v>35</v>
      </c>
      <c r="I1134" s="54">
        <f>STOCK[[#This Row],[Precio Venta Ideal (x1.5)]]</f>
        <v>31.1280317273796</v>
      </c>
      <c r="J1134" s="71">
        <v>1</v>
      </c>
      <c r="K1134" s="71">
        <f>SUMIFS(VENTAS[Cantidad],VENTAS[Código del producto Vendido],STOCK[[#This Row],[Code]])</f>
        <v>1</v>
      </c>
      <c r="L1134" s="71">
        <f>STOCK[[#This Row],[Entradas]]-STOCK[[#This Row],[Salidas]]</f>
        <v>0</v>
      </c>
      <c r="M1134" s="54">
        <f>STOCK[[#This Row],[Precio Final]]*10%</f>
        <v>3.5</v>
      </c>
      <c r="N1134" s="54">
        <v>260.1</v>
      </c>
      <c r="O1134" s="54">
        <v>17.02</v>
      </c>
      <c r="P1134" s="54">
        <v>15.2820211515864</v>
      </c>
      <c r="Q1134" s="71">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53" t="s">
        <v>2398</v>
      </c>
      <c r="F1135" s="53" t="s">
        <v>540</v>
      </c>
      <c r="G1135" s="53" t="s">
        <v>2395</v>
      </c>
      <c r="H1135" s="53">
        <f>STOCK[[#This Row],[Precio Final]]</f>
        <v>35</v>
      </c>
      <c r="I1135" s="53">
        <f>STOCK[[#This Row],[Precio Venta Ideal (x1.5)]]</f>
        <v>31.1280317273796</v>
      </c>
      <c r="J1135" s="70">
        <v>1</v>
      </c>
      <c r="K1135" s="70">
        <f>SUMIFS(VENTAS[Cantidad],VENTAS[Código del producto Vendido],STOCK[[#This Row],[Code]])</f>
        <v>1</v>
      </c>
      <c r="L1135" s="70">
        <f>STOCK[[#This Row],[Entradas]]-STOCK[[#This Row],[Salidas]]</f>
        <v>0</v>
      </c>
      <c r="M1135" s="53">
        <f>STOCK[[#This Row],[Precio Final]]*10%</f>
        <v>3.5</v>
      </c>
      <c r="N1135" s="53">
        <v>260.1</v>
      </c>
      <c r="O1135" s="53">
        <v>17.02</v>
      </c>
      <c r="P1135" s="53">
        <v>15.2820211515864</v>
      </c>
      <c r="Q1135" s="70">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54" t="s">
        <v>2398</v>
      </c>
      <c r="F1136" s="54" t="s">
        <v>764</v>
      </c>
      <c r="G1136" s="54" t="s">
        <v>2395</v>
      </c>
      <c r="H1136" s="54">
        <f>STOCK[[#This Row],[Precio Final]]</f>
        <v>35</v>
      </c>
      <c r="I1136" s="54">
        <f>STOCK[[#This Row],[Precio Venta Ideal (x1.5)]]</f>
        <v>31.1280317273796</v>
      </c>
      <c r="J1136" s="71">
        <v>1</v>
      </c>
      <c r="K1136" s="71">
        <f>SUMIFS(VENTAS[Cantidad],VENTAS[Código del producto Vendido],STOCK[[#This Row],[Code]])</f>
        <v>1</v>
      </c>
      <c r="L1136" s="71">
        <f>STOCK[[#This Row],[Entradas]]-STOCK[[#This Row],[Salidas]]</f>
        <v>0</v>
      </c>
      <c r="M1136" s="54">
        <f>STOCK[[#This Row],[Precio Final]]*10%</f>
        <v>3.5</v>
      </c>
      <c r="N1136" s="54">
        <v>260.1</v>
      </c>
      <c r="O1136" s="54">
        <v>17.02</v>
      </c>
      <c r="P1136" s="54">
        <v>15.2820211515864</v>
      </c>
      <c r="Q1136" s="71">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53" t="s">
        <v>2398</v>
      </c>
      <c r="F1137" s="53" t="s">
        <v>759</v>
      </c>
      <c r="G1137" s="53" t="s">
        <v>2395</v>
      </c>
      <c r="H1137" s="53">
        <f>STOCK[[#This Row],[Precio Final]]</f>
        <v>35</v>
      </c>
      <c r="I1137" s="53">
        <f>STOCK[[#This Row],[Precio Venta Ideal (x1.5)]]</f>
        <v>31.1280317273796</v>
      </c>
      <c r="J1137" s="70">
        <v>1</v>
      </c>
      <c r="K1137" s="70">
        <f>SUMIFS(VENTAS[Cantidad],VENTAS[Código del producto Vendido],STOCK[[#This Row],[Code]])</f>
        <v>1</v>
      </c>
      <c r="L1137" s="70">
        <f>STOCK[[#This Row],[Entradas]]-STOCK[[#This Row],[Salidas]]</f>
        <v>0</v>
      </c>
      <c r="M1137" s="53">
        <f>STOCK[[#This Row],[Precio Final]]*10%</f>
        <v>3.5</v>
      </c>
      <c r="N1137" s="53">
        <v>260.1</v>
      </c>
      <c r="O1137" s="53">
        <v>17.02</v>
      </c>
      <c r="P1137" s="53">
        <v>15.2820211515864</v>
      </c>
      <c r="Q1137" s="70">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54" t="s">
        <v>2407</v>
      </c>
      <c r="F1138" s="54" t="s">
        <v>40</v>
      </c>
      <c r="G1138" s="54" t="s">
        <v>2395</v>
      </c>
      <c r="H1138" s="54">
        <f>STOCK[[#This Row],[Precio Final]]</f>
        <v>35</v>
      </c>
      <c r="I1138" s="54">
        <f>STOCK[[#This Row],[Precio Venta Ideal (x1.5)]]</f>
        <v>31.1280317273796</v>
      </c>
      <c r="J1138" s="71">
        <v>2</v>
      </c>
      <c r="K1138" s="71">
        <f>SUMIFS(VENTAS[Cantidad],VENTAS[Código del producto Vendido],STOCK[[#This Row],[Code]])</f>
        <v>2</v>
      </c>
      <c r="L1138" s="71">
        <f>STOCK[[#This Row],[Entradas]]-STOCK[[#This Row],[Salidas]]</f>
        <v>0</v>
      </c>
      <c r="M1138" s="54">
        <f>STOCK[[#This Row],[Precio Final]]*10%</f>
        <v>3.5</v>
      </c>
      <c r="N1138" s="54">
        <v>260.1</v>
      </c>
      <c r="O1138" s="54">
        <v>17.02</v>
      </c>
      <c r="P1138" s="54">
        <v>15.2820211515864</v>
      </c>
      <c r="Q1138" s="71">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53" t="s">
        <v>2407</v>
      </c>
      <c r="F1139" s="53" t="s">
        <v>62</v>
      </c>
      <c r="G1139" s="53" t="s">
        <v>2395</v>
      </c>
      <c r="H1139" s="53">
        <f>STOCK[[#This Row],[Precio Final]]</f>
        <v>35</v>
      </c>
      <c r="I1139" s="53">
        <f>STOCK[[#This Row],[Precio Venta Ideal (x1.5)]]</f>
        <v>31.1280317273796</v>
      </c>
      <c r="J1139" s="70">
        <v>2</v>
      </c>
      <c r="K1139" s="70">
        <f>SUMIFS(VENTAS[Cantidad],VENTAS[Código del producto Vendido],STOCK[[#This Row],[Code]])</f>
        <v>2</v>
      </c>
      <c r="L1139" s="70">
        <f>STOCK[[#This Row],[Entradas]]-STOCK[[#This Row],[Salidas]]</f>
        <v>0</v>
      </c>
      <c r="M1139" s="53">
        <f>STOCK[[#This Row],[Precio Final]]*10%</f>
        <v>3.5</v>
      </c>
      <c r="N1139" s="53">
        <v>260.1</v>
      </c>
      <c r="O1139" s="53">
        <v>17.02</v>
      </c>
      <c r="P1139" s="53">
        <v>15.2820211515864</v>
      </c>
      <c r="Q1139" s="70">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54" t="s">
        <v>2407</v>
      </c>
      <c r="F1140" s="54" t="s">
        <v>49</v>
      </c>
      <c r="G1140" s="54" t="s">
        <v>2395</v>
      </c>
      <c r="H1140" s="54">
        <f>STOCK[[#This Row],[Precio Final]]</f>
        <v>35</v>
      </c>
      <c r="I1140" s="54">
        <f>STOCK[[#This Row],[Precio Venta Ideal (x1.5)]]</f>
        <v>31.1280317273796</v>
      </c>
      <c r="J1140" s="71">
        <v>3</v>
      </c>
      <c r="K1140" s="71">
        <f>SUMIFS(VENTAS[Cantidad],VENTAS[Código del producto Vendido],STOCK[[#This Row],[Code]])</f>
        <v>3</v>
      </c>
      <c r="L1140" s="71">
        <f>STOCK[[#This Row],[Entradas]]-STOCK[[#This Row],[Salidas]]</f>
        <v>0</v>
      </c>
      <c r="M1140" s="54">
        <f>STOCK[[#This Row],[Precio Final]]*10%</f>
        <v>3.5</v>
      </c>
      <c r="N1140" s="54">
        <v>260.1</v>
      </c>
      <c r="O1140" s="54">
        <v>17.02</v>
      </c>
      <c r="P1140" s="54">
        <v>15.2820211515864</v>
      </c>
      <c r="Q1140" s="71">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53" t="s">
        <v>2407</v>
      </c>
      <c r="F1141" s="53" t="s">
        <v>46</v>
      </c>
      <c r="G1141" s="53" t="s">
        <v>2395</v>
      </c>
      <c r="H1141" s="53">
        <f>STOCK[[#This Row],[Precio Final]]</f>
        <v>35</v>
      </c>
      <c r="I1141" s="53">
        <f>STOCK[[#This Row],[Precio Venta Ideal (x1.5)]]</f>
        <v>31.1280317273796</v>
      </c>
      <c r="J1141" s="70">
        <v>1</v>
      </c>
      <c r="K1141" s="70">
        <f>SUMIFS(VENTAS[Cantidad],VENTAS[Código del producto Vendido],STOCK[[#This Row],[Code]])</f>
        <v>0</v>
      </c>
      <c r="L1141" s="70">
        <f>STOCK[[#This Row],[Entradas]]-STOCK[[#This Row],[Salidas]]</f>
        <v>1</v>
      </c>
      <c r="M1141" s="53">
        <f>STOCK[[#This Row],[Precio Final]]*10%</f>
        <v>3.5</v>
      </c>
      <c r="N1141" s="53">
        <v>260.1</v>
      </c>
      <c r="O1141" s="53">
        <v>17.02</v>
      </c>
      <c r="P1141" s="53">
        <v>15.2820211515864</v>
      </c>
      <c r="Q1141" s="70">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54" t="s">
        <v>2407</v>
      </c>
      <c r="F1142" s="54" t="s">
        <v>42</v>
      </c>
      <c r="G1142" s="54" t="s">
        <v>2395</v>
      </c>
      <c r="H1142" s="54">
        <f>STOCK[[#This Row],[Precio Final]]</f>
        <v>35</v>
      </c>
      <c r="I1142" s="54">
        <f>STOCK[[#This Row],[Precio Venta Ideal (x1.5)]]</f>
        <v>31.1280317273796</v>
      </c>
      <c r="J1142" s="71">
        <v>2</v>
      </c>
      <c r="K1142" s="71">
        <f>SUMIFS(VENTAS[Cantidad],VENTAS[Código del producto Vendido],STOCK[[#This Row],[Code]])</f>
        <v>1</v>
      </c>
      <c r="L1142" s="71">
        <f>STOCK[[#This Row],[Entradas]]-STOCK[[#This Row],[Salidas]]</f>
        <v>1</v>
      </c>
      <c r="M1142" s="54">
        <f>STOCK[[#This Row],[Precio Final]]*10%</f>
        <v>3.5</v>
      </c>
      <c r="N1142" s="54">
        <v>260.1</v>
      </c>
      <c r="O1142" s="54">
        <v>17.02</v>
      </c>
      <c r="P1142" s="54">
        <v>15.2820211515864</v>
      </c>
      <c r="Q1142" s="71">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53" t="s">
        <v>2419</v>
      </c>
      <c r="F1143" s="53" t="s">
        <v>62</v>
      </c>
      <c r="G1143" s="53" t="s">
        <v>2395</v>
      </c>
      <c r="H1143" s="53">
        <f>STOCK[[#This Row],[Precio Final]]</f>
        <v>25</v>
      </c>
      <c r="I1143" s="53">
        <f>STOCK[[#This Row],[Precio Venta Ideal (x1.5)]]</f>
        <v>30.4212162162162</v>
      </c>
      <c r="J1143" s="70">
        <v>3</v>
      </c>
      <c r="K1143" s="70">
        <f>SUMIFS(VENTAS[Cantidad],VENTAS[Código del producto Vendido],STOCK[[#This Row],[Code]])</f>
        <v>3</v>
      </c>
      <c r="L1143" s="70">
        <f>STOCK[[#This Row],[Entradas]]-STOCK[[#This Row],[Salidas]]</f>
        <v>0</v>
      </c>
      <c r="M1143" s="53">
        <f>STOCK[[#This Row],[Precio Final]]*10%</f>
        <v>2.5</v>
      </c>
      <c r="N1143" s="53">
        <v>269.1</v>
      </c>
      <c r="O1143" s="53">
        <v>17.02</v>
      </c>
      <c r="P1143" s="53">
        <v>15.8108108108108</v>
      </c>
      <c r="Q1143" s="70">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54" t="s">
        <v>2419</v>
      </c>
      <c r="F1144" s="54" t="s">
        <v>49</v>
      </c>
      <c r="G1144" s="54" t="s">
        <v>2395</v>
      </c>
      <c r="H1144" s="54">
        <f>STOCK[[#This Row],[Precio Final]]</f>
        <v>25</v>
      </c>
      <c r="I1144" s="54">
        <f>STOCK[[#This Row],[Precio Venta Ideal (x1.5)]]</f>
        <v>30.4212162162162</v>
      </c>
      <c r="J1144" s="71">
        <v>3</v>
      </c>
      <c r="K1144" s="71">
        <f>SUMIFS(VENTAS[Cantidad],VENTAS[Código del producto Vendido],STOCK[[#This Row],[Code]])</f>
        <v>3</v>
      </c>
      <c r="L1144" s="71">
        <f>STOCK[[#This Row],[Entradas]]-STOCK[[#This Row],[Salidas]]</f>
        <v>0</v>
      </c>
      <c r="M1144" s="54">
        <f>STOCK[[#This Row],[Precio Final]]*10%</f>
        <v>2.5</v>
      </c>
      <c r="N1144" s="54">
        <v>269.1</v>
      </c>
      <c r="O1144" s="54">
        <v>17.02</v>
      </c>
      <c r="P1144" s="54">
        <v>15.8108108108108</v>
      </c>
      <c r="Q1144" s="71">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53" t="s">
        <v>2419</v>
      </c>
      <c r="F1145" s="53" t="s">
        <v>46</v>
      </c>
      <c r="G1145" s="53" t="s">
        <v>2395</v>
      </c>
      <c r="H1145" s="53">
        <f>STOCK[[#This Row],[Precio Final]]</f>
        <v>25</v>
      </c>
      <c r="I1145" s="53">
        <f>STOCK[[#This Row],[Precio Venta Ideal (x1.5)]]</f>
        <v>30.4212162162162</v>
      </c>
      <c r="J1145" s="70">
        <v>3</v>
      </c>
      <c r="K1145" s="70">
        <f>SUMIFS(VENTAS[Cantidad],VENTAS[Código del producto Vendido],STOCK[[#This Row],[Code]])</f>
        <v>0</v>
      </c>
      <c r="L1145" s="70">
        <f>STOCK[[#This Row],[Entradas]]-STOCK[[#This Row],[Salidas]]</f>
        <v>3</v>
      </c>
      <c r="M1145" s="53">
        <f>STOCK[[#This Row],[Precio Final]]*10%</f>
        <v>2.5</v>
      </c>
      <c r="N1145" s="53">
        <v>269.1</v>
      </c>
      <c r="O1145" s="53">
        <v>17.02</v>
      </c>
      <c r="P1145" s="53">
        <v>15.8108108108108</v>
      </c>
      <c r="Q1145" s="70">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54" t="s">
        <v>2426</v>
      </c>
      <c r="F1146" s="54" t="s">
        <v>40</v>
      </c>
      <c r="G1146" s="54" t="s">
        <v>2395</v>
      </c>
      <c r="H1146" s="54">
        <f>STOCK[[#This Row],[Precio Final]]</f>
        <v>23</v>
      </c>
      <c r="I1146" s="54">
        <f>STOCK[[#This Row],[Precio Venta Ideal (x1.5)]]</f>
        <v>20.6030023501763</v>
      </c>
      <c r="J1146" s="71">
        <v>2</v>
      </c>
      <c r="K1146" s="71">
        <f>SUMIFS(VENTAS[Cantidad],VENTAS[Código del producto Vendido],STOCK[[#This Row],[Code]])</f>
        <v>2</v>
      </c>
      <c r="L1146" s="71">
        <f>STOCK[[#This Row],[Entradas]]-STOCK[[#This Row],[Salidas]]</f>
        <v>0</v>
      </c>
      <c r="M1146" s="54">
        <f>STOCK[[#This Row],[Precio Final]]*10%</f>
        <v>2.3</v>
      </c>
      <c r="N1146" s="54">
        <v>161.1</v>
      </c>
      <c r="O1146" s="54">
        <v>17.02</v>
      </c>
      <c r="P1146" s="54">
        <v>9.46533490011751</v>
      </c>
      <c r="Q1146" s="71">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53" t="s">
        <v>2426</v>
      </c>
      <c r="F1147" s="53" t="s">
        <v>62</v>
      </c>
      <c r="G1147" s="53" t="s">
        <v>2395</v>
      </c>
      <c r="H1147" s="53">
        <f>STOCK[[#This Row],[Precio Final]]</f>
        <v>23</v>
      </c>
      <c r="I1147" s="53">
        <f>STOCK[[#This Row],[Precio Venta Ideal (x1.5)]]</f>
        <v>20.6030023501763</v>
      </c>
      <c r="J1147" s="70">
        <v>1</v>
      </c>
      <c r="K1147" s="70">
        <f>SUMIFS(VENTAS[Cantidad],VENTAS[Código del producto Vendido],STOCK[[#This Row],[Code]])</f>
        <v>1</v>
      </c>
      <c r="L1147" s="70">
        <f>STOCK[[#This Row],[Entradas]]-STOCK[[#This Row],[Salidas]]</f>
        <v>0</v>
      </c>
      <c r="M1147" s="53">
        <f>STOCK[[#This Row],[Precio Final]]*10%</f>
        <v>2.3</v>
      </c>
      <c r="N1147" s="53">
        <v>161.1</v>
      </c>
      <c r="O1147" s="53">
        <v>17.02</v>
      </c>
      <c r="P1147" s="53">
        <v>9.46533490011751</v>
      </c>
      <c r="Q1147" s="70">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54" t="s">
        <v>2426</v>
      </c>
      <c r="F1148" s="54" t="s">
        <v>49</v>
      </c>
      <c r="G1148" s="54" t="s">
        <v>2395</v>
      </c>
      <c r="H1148" s="54">
        <f>STOCK[[#This Row],[Precio Final]]</f>
        <v>23</v>
      </c>
      <c r="I1148" s="54">
        <f>STOCK[[#This Row],[Precio Venta Ideal (x1.5)]]</f>
        <v>20.6030023501763</v>
      </c>
      <c r="J1148" s="71">
        <v>2</v>
      </c>
      <c r="K1148" s="71">
        <f>SUMIFS(VENTAS[Cantidad],VENTAS[Código del producto Vendido],STOCK[[#This Row],[Code]])</f>
        <v>3</v>
      </c>
      <c r="L1148" s="71">
        <f>STOCK[[#This Row],[Entradas]]-STOCK[[#This Row],[Salidas]]</f>
        <v>-1</v>
      </c>
      <c r="M1148" s="54">
        <f>STOCK[[#This Row],[Precio Final]]*10%</f>
        <v>2.3</v>
      </c>
      <c r="N1148" s="54">
        <v>161.1</v>
      </c>
      <c r="O1148" s="54">
        <v>17.02</v>
      </c>
      <c r="P1148" s="54">
        <v>9.46533490011751</v>
      </c>
      <c r="Q1148" s="71">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53" t="s">
        <v>2426</v>
      </c>
      <c r="F1149" s="53" t="s">
        <v>46</v>
      </c>
      <c r="G1149" s="53" t="s">
        <v>2395</v>
      </c>
      <c r="H1149" s="53">
        <f>STOCK[[#This Row],[Precio Final]]</f>
        <v>23</v>
      </c>
      <c r="I1149" s="53">
        <f>STOCK[[#This Row],[Precio Venta Ideal (x1.5)]]</f>
        <v>20.6030023501763</v>
      </c>
      <c r="J1149" s="70">
        <v>2</v>
      </c>
      <c r="K1149" s="70">
        <f>SUMIFS(VENTAS[Cantidad],VENTAS[Código del producto Vendido],STOCK[[#This Row],[Code]])</f>
        <v>2</v>
      </c>
      <c r="L1149" s="70">
        <f>STOCK[[#This Row],[Entradas]]-STOCK[[#This Row],[Salidas]]</f>
        <v>0</v>
      </c>
      <c r="M1149" s="53">
        <f>STOCK[[#This Row],[Precio Final]]*10%</f>
        <v>2.3</v>
      </c>
      <c r="N1149" s="53">
        <v>161.1</v>
      </c>
      <c r="O1149" s="53">
        <v>17.02</v>
      </c>
      <c r="P1149" s="53">
        <v>9.46533490011751</v>
      </c>
      <c r="Q1149" s="70">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54" t="s">
        <v>2426</v>
      </c>
      <c r="F1150" s="54" t="s">
        <v>42</v>
      </c>
      <c r="G1150" s="54" t="s">
        <v>2395</v>
      </c>
      <c r="H1150" s="54">
        <f>STOCK[[#This Row],[Precio Final]]</f>
        <v>23</v>
      </c>
      <c r="I1150" s="54">
        <f>STOCK[[#This Row],[Precio Venta Ideal (x1.5)]]</f>
        <v>20.6030023501763</v>
      </c>
      <c r="J1150" s="71">
        <v>2</v>
      </c>
      <c r="K1150" s="71">
        <f>SUMIFS(VENTAS[Cantidad],VENTAS[Código del producto Vendido],STOCK[[#This Row],[Code]])</f>
        <v>2</v>
      </c>
      <c r="L1150" s="71">
        <f>STOCK[[#This Row],[Entradas]]-STOCK[[#This Row],[Salidas]]</f>
        <v>0</v>
      </c>
      <c r="M1150" s="54">
        <f>STOCK[[#This Row],[Precio Final]]*10%</f>
        <v>2.3</v>
      </c>
      <c r="N1150" s="54">
        <v>161.1</v>
      </c>
      <c r="O1150" s="54">
        <v>17.02</v>
      </c>
      <c r="P1150" s="54">
        <v>9.46533490011751</v>
      </c>
      <c r="Q1150" s="71">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53" t="s">
        <v>2437</v>
      </c>
      <c r="F1151" s="53" t="s">
        <v>49</v>
      </c>
      <c r="G1151" s="53" t="s">
        <v>2395</v>
      </c>
      <c r="H1151" s="53">
        <f>STOCK[[#This Row],[Precio Final]]</f>
        <v>35</v>
      </c>
      <c r="I1151" s="53">
        <f>STOCK[[#This Row],[Precio Venta Ideal (x1.5)]]</f>
        <v>29.5416627497062</v>
      </c>
      <c r="J1151" s="70">
        <v>3</v>
      </c>
      <c r="K1151" s="70">
        <f>SUMIFS(VENTAS[Cantidad],VENTAS[Código del producto Vendido],STOCK[[#This Row],[Code]])</f>
        <v>2</v>
      </c>
      <c r="L1151" s="70">
        <f>STOCK[[#This Row],[Entradas]]-STOCK[[#This Row],[Salidas]]</f>
        <v>1</v>
      </c>
      <c r="M1151" s="53">
        <f>STOCK[[#This Row],[Precio Final]]*10%</f>
        <v>3.5</v>
      </c>
      <c r="N1151" s="53">
        <v>242.1</v>
      </c>
      <c r="O1151" s="53">
        <v>17.02</v>
      </c>
      <c r="P1151" s="53">
        <v>14.2244418331375</v>
      </c>
      <c r="Q1151" s="70">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54" t="s">
        <v>2437</v>
      </c>
      <c r="F1152" s="54" t="s">
        <v>62</v>
      </c>
      <c r="G1152" s="54" t="s">
        <v>2395</v>
      </c>
      <c r="H1152" s="54">
        <f>STOCK[[#This Row],[Precio Final]]</f>
        <v>35</v>
      </c>
      <c r="I1152" s="54">
        <f>STOCK[[#This Row],[Precio Venta Ideal (x1.5)]]</f>
        <v>29.5416627497062</v>
      </c>
      <c r="J1152" s="71">
        <v>3</v>
      </c>
      <c r="K1152" s="71">
        <f>SUMIFS(VENTAS[Cantidad],VENTAS[Código del producto Vendido],STOCK[[#This Row],[Code]])</f>
        <v>1</v>
      </c>
      <c r="L1152" s="71">
        <f>STOCK[[#This Row],[Entradas]]-STOCK[[#This Row],[Salidas]]</f>
        <v>2</v>
      </c>
      <c r="M1152" s="54">
        <f>STOCK[[#This Row],[Precio Final]]*10%</f>
        <v>3.5</v>
      </c>
      <c r="N1152" s="54">
        <v>242.1</v>
      </c>
      <c r="O1152" s="54">
        <v>17.02</v>
      </c>
      <c r="P1152" s="54">
        <v>14.2244418331375</v>
      </c>
      <c r="Q1152" s="71">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53" t="s">
        <v>2442</v>
      </c>
      <c r="F1153" s="53" t="s">
        <v>49</v>
      </c>
      <c r="G1153" s="53" t="s">
        <v>2395</v>
      </c>
      <c r="H1153" s="53">
        <f>STOCK[[#This Row],[Precio Final]]</f>
        <v>35</v>
      </c>
      <c r="I1153" s="53">
        <f>STOCK[[#This Row],[Precio Venta Ideal (x1.5)]]</f>
        <v>28.1730317273796</v>
      </c>
      <c r="J1153" s="70">
        <v>2</v>
      </c>
      <c r="K1153" s="70">
        <f>SUMIFS(VENTAS[Cantidad],VENTAS[Código del producto Vendido],STOCK[[#This Row],[Code]])</f>
        <v>2</v>
      </c>
      <c r="L1153" s="70">
        <f>STOCK[[#This Row],[Entradas]]-STOCK[[#This Row],[Salidas]]</f>
        <v>0</v>
      </c>
      <c r="M1153" s="53">
        <f>STOCK[[#This Row],[Precio Final]]*10%</f>
        <v>3.5</v>
      </c>
      <c r="N1153" s="53">
        <v>260.1</v>
      </c>
      <c r="O1153" s="53">
        <v>17.02</v>
      </c>
      <c r="P1153" s="53">
        <v>15.2820211515864</v>
      </c>
      <c r="Q1153" s="70">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53" t="s">
        <v>2442</v>
      </c>
      <c r="F1154" s="54" t="s">
        <v>42</v>
      </c>
      <c r="G1154" s="54" t="s">
        <v>2395</v>
      </c>
      <c r="H1154" s="54">
        <f>STOCK[[#This Row],[Precio Final]]</f>
        <v>35</v>
      </c>
      <c r="I1154" s="54">
        <f>STOCK[[#This Row],[Precio Venta Ideal (x1.5)]]</f>
        <v>28.1730317273796</v>
      </c>
      <c r="J1154" s="71">
        <v>2</v>
      </c>
      <c r="K1154" s="71">
        <f>SUMIFS(VENTAS[Cantidad],VENTAS[Código del producto Vendido],STOCK[[#This Row],[Code]])</f>
        <v>1</v>
      </c>
      <c r="L1154" s="71">
        <f>STOCK[[#This Row],[Entradas]]-STOCK[[#This Row],[Salidas]]</f>
        <v>1</v>
      </c>
      <c r="M1154" s="54">
        <f>STOCK[[#This Row],[Precio Final]]*10%</f>
        <v>3.5</v>
      </c>
      <c r="N1154" s="54">
        <v>260.1</v>
      </c>
      <c r="O1154" s="54">
        <v>17.02</v>
      </c>
      <c r="P1154" s="54">
        <v>15.2820211515864</v>
      </c>
      <c r="Q1154" s="71">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53" t="s">
        <v>2442</v>
      </c>
      <c r="F1155" s="53" t="s">
        <v>46</v>
      </c>
      <c r="G1155" s="53" t="s">
        <v>2395</v>
      </c>
      <c r="H1155" s="53">
        <f>STOCK[[#This Row],[Precio Final]]</f>
        <v>35</v>
      </c>
      <c r="I1155" s="53">
        <f>STOCK[[#This Row],[Precio Venta Ideal (x1.5)]]</f>
        <v>28.1730317273796</v>
      </c>
      <c r="J1155" s="70">
        <v>2</v>
      </c>
      <c r="K1155" s="70">
        <f>SUMIFS(VENTAS[Cantidad],VENTAS[Código del producto Vendido],STOCK[[#This Row],[Code]])</f>
        <v>0</v>
      </c>
      <c r="L1155" s="70">
        <f>STOCK[[#This Row],[Entradas]]-STOCK[[#This Row],[Salidas]]</f>
        <v>2</v>
      </c>
      <c r="M1155" s="53">
        <f>STOCK[[#This Row],[Precio Final]]*10%</f>
        <v>3.5</v>
      </c>
      <c r="N1155" s="53">
        <v>260.1</v>
      </c>
      <c r="O1155" s="53">
        <v>17.02</v>
      </c>
      <c r="P1155" s="53">
        <v>15.2820211515864</v>
      </c>
      <c r="Q1155" s="70">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54" t="s">
        <v>2449</v>
      </c>
      <c r="F1156" s="53" t="s">
        <v>2450</v>
      </c>
      <c r="G1156" s="53" t="s">
        <v>2451</v>
      </c>
      <c r="H1156" s="53">
        <f>STOCK[[#This Row],[Precio Final]]</f>
        <v>35</v>
      </c>
      <c r="I1156" s="53">
        <f>STOCK[[#This Row],[Precio Venta Ideal (x1.5)]]</f>
        <v>34.455</v>
      </c>
      <c r="J1156" s="70">
        <v>3</v>
      </c>
      <c r="K1156" s="70">
        <f>SUMIFS(VENTAS[Cantidad],VENTAS[Código del producto Vendido],STOCK[[#This Row],[Code]])</f>
        <v>2</v>
      </c>
      <c r="L1156" s="70">
        <f>STOCK[[#This Row],[Entradas]]-STOCK[[#This Row],[Salidas]]</f>
        <v>1</v>
      </c>
      <c r="M1156" s="53">
        <f>STOCK[[#This Row],[Precio Final]]*10%</f>
        <v>3.5</v>
      </c>
      <c r="N1156" s="53">
        <v>0</v>
      </c>
      <c r="O1156" s="53">
        <v>0</v>
      </c>
      <c r="P1156" s="53">
        <v>17.5</v>
      </c>
      <c r="Q1156" s="70">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54" t="s">
        <v>2449</v>
      </c>
      <c r="F1157" s="53" t="s">
        <v>2454</v>
      </c>
      <c r="G1157" s="53" t="s">
        <v>2451</v>
      </c>
      <c r="H1157" s="53">
        <f>STOCK[[#This Row],[Precio Final]]</f>
        <v>36</v>
      </c>
      <c r="I1157" s="53">
        <f>STOCK[[#This Row],[Precio Venta Ideal (x1.5)]]</f>
        <v>34.605</v>
      </c>
      <c r="J1157" s="70">
        <v>3</v>
      </c>
      <c r="K1157" s="70">
        <f>SUMIFS(VENTAS[Cantidad],VENTAS[Código del producto Vendido],STOCK[[#This Row],[Code]])</f>
        <v>3</v>
      </c>
      <c r="L1157" s="70">
        <f>STOCK[[#This Row],[Entradas]]-STOCK[[#This Row],[Salidas]]</f>
        <v>0</v>
      </c>
      <c r="M1157" s="53">
        <f>STOCK[[#This Row],[Precio Final]]*10%</f>
        <v>3.6</v>
      </c>
      <c r="N1157" s="53">
        <v>0</v>
      </c>
      <c r="O1157" s="53">
        <v>0</v>
      </c>
      <c r="P1157" s="53">
        <v>17.5</v>
      </c>
      <c r="Q1157" s="70">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54" t="s">
        <v>2456</v>
      </c>
      <c r="F1158" s="54" t="s">
        <v>540</v>
      </c>
      <c r="G1158" s="54" t="s">
        <v>2451</v>
      </c>
      <c r="H1158" s="54">
        <f>STOCK[[#This Row],[Precio Final]]</f>
        <v>35</v>
      </c>
      <c r="I1158" s="54">
        <f>STOCK[[#This Row],[Precio Venta Ideal (x1.5)]]</f>
        <v>38.205</v>
      </c>
      <c r="J1158" s="71">
        <v>3</v>
      </c>
      <c r="K1158" s="71">
        <f>SUMIFS(VENTAS[Cantidad],VENTAS[Código del producto Vendido],STOCK[[#This Row],[Code]])</f>
        <v>3</v>
      </c>
      <c r="L1158" s="71">
        <f>STOCK[[#This Row],[Entradas]]-STOCK[[#This Row],[Salidas]]</f>
        <v>0</v>
      </c>
      <c r="M1158" s="54">
        <f>STOCK[[#This Row],[Precio Final]]*10%</f>
        <v>3.5</v>
      </c>
      <c r="N1158" s="54">
        <v>0</v>
      </c>
      <c r="O1158" s="54">
        <v>0</v>
      </c>
      <c r="P1158" s="54">
        <v>20</v>
      </c>
      <c r="Q1158" s="71">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53" t="s">
        <v>2456</v>
      </c>
      <c r="F1159" s="53" t="s">
        <v>766</v>
      </c>
      <c r="G1159" s="53" t="s">
        <v>2451</v>
      </c>
      <c r="H1159" s="53">
        <f>STOCK[[#This Row],[Precio Final]]</f>
        <v>35</v>
      </c>
      <c r="I1159" s="53">
        <f>STOCK[[#This Row],[Precio Venta Ideal (x1.5)]]</f>
        <v>38.205</v>
      </c>
      <c r="J1159" s="70">
        <v>2</v>
      </c>
      <c r="K1159" s="70">
        <f>SUMIFS(VENTAS[Cantidad],VENTAS[Código del producto Vendido],STOCK[[#This Row],[Code]])</f>
        <v>2</v>
      </c>
      <c r="L1159" s="70">
        <f>STOCK[[#This Row],[Entradas]]-STOCK[[#This Row],[Salidas]]</f>
        <v>0</v>
      </c>
      <c r="M1159" s="53">
        <f>STOCK[[#This Row],[Precio Final]]*10%</f>
        <v>3.5</v>
      </c>
      <c r="N1159" s="53">
        <v>0</v>
      </c>
      <c r="O1159" s="53">
        <v>0</v>
      </c>
      <c r="P1159" s="53">
        <v>20</v>
      </c>
      <c r="Q1159" s="70">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54" t="s">
        <v>2456</v>
      </c>
      <c r="F1160" s="54" t="s">
        <v>517</v>
      </c>
      <c r="G1160" s="54" t="s">
        <v>2451</v>
      </c>
      <c r="H1160" s="54">
        <f>STOCK[[#This Row],[Precio Final]]</f>
        <v>35</v>
      </c>
      <c r="I1160" s="54">
        <f>STOCK[[#This Row],[Precio Venta Ideal (x1.5)]]</f>
        <v>38.205</v>
      </c>
      <c r="J1160" s="71">
        <v>2</v>
      </c>
      <c r="K1160" s="71">
        <f>SUMIFS(VENTAS[Cantidad],VENTAS[Código del producto Vendido],STOCK[[#This Row],[Code]])</f>
        <v>2</v>
      </c>
      <c r="L1160" s="71">
        <f>STOCK[[#This Row],[Entradas]]-STOCK[[#This Row],[Salidas]]</f>
        <v>0</v>
      </c>
      <c r="M1160" s="54">
        <f>STOCK[[#This Row],[Precio Final]]*10%</f>
        <v>3.5</v>
      </c>
      <c r="N1160" s="54">
        <v>0</v>
      </c>
      <c r="O1160" s="54">
        <v>0</v>
      </c>
      <c r="P1160" s="54">
        <v>20</v>
      </c>
      <c r="Q1160" s="71">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53" t="s">
        <v>2456</v>
      </c>
      <c r="F1161" s="53" t="s">
        <v>764</v>
      </c>
      <c r="G1161" s="53" t="s">
        <v>2451</v>
      </c>
      <c r="H1161" s="53">
        <f>STOCK[[#This Row],[Precio Final]]</f>
        <v>35</v>
      </c>
      <c r="I1161" s="53">
        <f>STOCK[[#This Row],[Precio Venta Ideal (x1.5)]]</f>
        <v>38.205</v>
      </c>
      <c r="J1161" s="70">
        <v>2</v>
      </c>
      <c r="K1161" s="70">
        <f>SUMIFS(VENTAS[Cantidad],VENTAS[Código del producto Vendido],STOCK[[#This Row],[Code]])</f>
        <v>2</v>
      </c>
      <c r="L1161" s="70">
        <f>STOCK[[#This Row],[Entradas]]-STOCK[[#This Row],[Salidas]]</f>
        <v>0</v>
      </c>
      <c r="M1161" s="53">
        <f>STOCK[[#This Row],[Precio Final]]*10%</f>
        <v>3.5</v>
      </c>
      <c r="N1161" s="53">
        <v>0</v>
      </c>
      <c r="O1161" s="53">
        <v>0</v>
      </c>
      <c r="P1161" s="53">
        <v>20</v>
      </c>
      <c r="Q1161" s="70">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53" t="s">
        <v>2461</v>
      </c>
      <c r="F1162" s="53" t="s">
        <v>764</v>
      </c>
      <c r="G1162" s="53" t="s">
        <v>2451</v>
      </c>
      <c r="H1162" s="53">
        <f>STOCK[[#This Row],[Precio Final]]</f>
        <v>45</v>
      </c>
      <c r="I1162" s="53">
        <f>STOCK[[#This Row],[Precio Venta Ideal (x1.5)]]</f>
        <v>43.455</v>
      </c>
      <c r="J1162" s="70">
        <v>2</v>
      </c>
      <c r="K1162" s="70">
        <f>SUMIFS(VENTAS[Cantidad],VENTAS[Código del producto Vendido],STOCK[[#This Row],[Code]])</f>
        <v>0</v>
      </c>
      <c r="L1162" s="70">
        <f>STOCK[[#This Row],[Entradas]]-STOCK[[#This Row],[Salidas]]</f>
        <v>2</v>
      </c>
      <c r="M1162" s="53">
        <f>STOCK[[#This Row],[Precio Final]]*10%</f>
        <v>4.5</v>
      </c>
      <c r="N1162" s="53">
        <v>0</v>
      </c>
      <c r="O1162" s="53">
        <v>0</v>
      </c>
      <c r="P1162" s="53">
        <v>22.5</v>
      </c>
      <c r="Q1162" s="70">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54" t="s">
        <v>2461</v>
      </c>
      <c r="F1163" s="54" t="s">
        <v>759</v>
      </c>
      <c r="G1163" s="54" t="s">
        <v>2451</v>
      </c>
      <c r="H1163" s="54">
        <f>STOCK[[#This Row],[Precio Final]]</f>
        <v>45</v>
      </c>
      <c r="I1163" s="54">
        <f>STOCK[[#This Row],[Precio Venta Ideal (x1.5)]]</f>
        <v>43.455</v>
      </c>
      <c r="J1163" s="71">
        <v>2</v>
      </c>
      <c r="K1163" s="71">
        <f>SUMIFS(VENTAS[Cantidad],VENTAS[Código del producto Vendido],STOCK[[#This Row],[Code]])</f>
        <v>0</v>
      </c>
      <c r="L1163" s="71">
        <f>STOCK[[#This Row],[Entradas]]-STOCK[[#This Row],[Salidas]]</f>
        <v>2</v>
      </c>
      <c r="M1163" s="54">
        <f>STOCK[[#This Row],[Precio Final]]*10%</f>
        <v>4.5</v>
      </c>
      <c r="N1163" s="54">
        <v>0</v>
      </c>
      <c r="O1163" s="54">
        <v>0</v>
      </c>
      <c r="P1163" s="54">
        <v>22.5</v>
      </c>
      <c r="Q1163" s="71">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53" t="s">
        <v>2464</v>
      </c>
      <c r="F1164" s="53" t="s">
        <v>764</v>
      </c>
      <c r="G1164" s="53" t="s">
        <v>2451</v>
      </c>
      <c r="H1164" s="53">
        <f>STOCK[[#This Row],[Precio Final]]</f>
        <v>35</v>
      </c>
      <c r="I1164" s="53">
        <f>STOCK[[#This Row],[Precio Venta Ideal (x1.5)]]</f>
        <v>38.205</v>
      </c>
      <c r="J1164" s="70">
        <v>2</v>
      </c>
      <c r="K1164" s="70">
        <f>SUMIFS(VENTAS[Cantidad],VENTAS[Código del producto Vendido],STOCK[[#This Row],[Code]])</f>
        <v>2</v>
      </c>
      <c r="L1164" s="70">
        <f>STOCK[[#This Row],[Entradas]]-STOCK[[#This Row],[Salidas]]</f>
        <v>0</v>
      </c>
      <c r="M1164" s="53">
        <f>STOCK[[#This Row],[Precio Final]]*10%</f>
        <v>3.5</v>
      </c>
      <c r="N1164" s="53">
        <v>0</v>
      </c>
      <c r="O1164" s="53">
        <v>0</v>
      </c>
      <c r="P1164" s="53">
        <v>20</v>
      </c>
      <c r="Q1164" s="70">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54" t="s">
        <v>2464</v>
      </c>
      <c r="F1165" s="54" t="s">
        <v>517</v>
      </c>
      <c r="G1165" s="54" t="s">
        <v>2451</v>
      </c>
      <c r="H1165" s="54">
        <f>STOCK[[#This Row],[Precio Final]]</f>
        <v>35</v>
      </c>
      <c r="I1165" s="54">
        <f>STOCK[[#This Row],[Precio Venta Ideal (x1.5)]]</f>
        <v>38.205</v>
      </c>
      <c r="J1165" s="71">
        <v>2</v>
      </c>
      <c r="K1165" s="71">
        <f>SUMIFS(VENTAS[Cantidad],VENTAS[Código del producto Vendido],STOCK[[#This Row],[Code]])</f>
        <v>2</v>
      </c>
      <c r="L1165" s="71">
        <f>STOCK[[#This Row],[Entradas]]-STOCK[[#This Row],[Salidas]]</f>
        <v>0</v>
      </c>
      <c r="M1165" s="54">
        <f>STOCK[[#This Row],[Precio Final]]*10%</f>
        <v>3.5</v>
      </c>
      <c r="N1165" s="54">
        <v>0</v>
      </c>
      <c r="O1165" s="54">
        <v>0</v>
      </c>
      <c r="P1165" s="54">
        <v>20</v>
      </c>
      <c r="Q1165" s="71">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53" t="s">
        <v>2464</v>
      </c>
      <c r="F1166" s="53" t="s">
        <v>540</v>
      </c>
      <c r="G1166" s="53" t="s">
        <v>2451</v>
      </c>
      <c r="H1166" s="53">
        <f>STOCK[[#This Row],[Precio Final]]</f>
        <v>35</v>
      </c>
      <c r="I1166" s="53">
        <f>STOCK[[#This Row],[Precio Venta Ideal (x1.5)]]</f>
        <v>38.205</v>
      </c>
      <c r="J1166" s="70">
        <v>2</v>
      </c>
      <c r="K1166" s="70">
        <f>SUMIFS(VENTAS[Cantidad],VENTAS[Código del producto Vendido],STOCK[[#This Row],[Code]])</f>
        <v>2</v>
      </c>
      <c r="L1166" s="70">
        <f>STOCK[[#This Row],[Entradas]]-STOCK[[#This Row],[Salidas]]</f>
        <v>0</v>
      </c>
      <c r="M1166" s="53">
        <f>STOCK[[#This Row],[Precio Final]]*10%</f>
        <v>3.5</v>
      </c>
      <c r="N1166" s="53">
        <v>0</v>
      </c>
      <c r="O1166" s="53">
        <v>0</v>
      </c>
      <c r="P1166" s="53">
        <v>20</v>
      </c>
      <c r="Q1166" s="70">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54" t="s">
        <v>2464</v>
      </c>
      <c r="F1167" s="54" t="s">
        <v>766</v>
      </c>
      <c r="G1167" s="54" t="s">
        <v>2451</v>
      </c>
      <c r="H1167" s="54">
        <f>STOCK[[#This Row],[Precio Final]]</f>
        <v>35</v>
      </c>
      <c r="I1167" s="54">
        <f>STOCK[[#This Row],[Precio Venta Ideal (x1.5)]]</f>
        <v>38.205</v>
      </c>
      <c r="J1167" s="71">
        <v>2</v>
      </c>
      <c r="K1167" s="71">
        <f>SUMIFS(VENTAS[Cantidad],VENTAS[Código del producto Vendido],STOCK[[#This Row],[Code]])</f>
        <v>2</v>
      </c>
      <c r="L1167" s="71">
        <f>STOCK[[#This Row],[Entradas]]-STOCK[[#This Row],[Salidas]]</f>
        <v>0</v>
      </c>
      <c r="M1167" s="54">
        <f>STOCK[[#This Row],[Precio Final]]*10%</f>
        <v>3.5</v>
      </c>
      <c r="N1167" s="54">
        <v>0</v>
      </c>
      <c r="O1167" s="54">
        <v>0</v>
      </c>
      <c r="P1167" s="54">
        <v>20</v>
      </c>
      <c r="Q1167" s="71">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53" t="s">
        <v>2469</v>
      </c>
      <c r="F1168" s="53" t="s">
        <v>766</v>
      </c>
      <c r="G1168" s="53" t="s">
        <v>2451</v>
      </c>
      <c r="H1168" s="53">
        <f>STOCK[[#This Row],[Precio Final]]</f>
        <v>40</v>
      </c>
      <c r="I1168" s="53">
        <f>STOCK[[#This Row],[Precio Venta Ideal (x1.5)]]</f>
        <v>35.13105</v>
      </c>
      <c r="J1168" s="70">
        <v>1</v>
      </c>
      <c r="K1168" s="70">
        <f>SUMIFS(VENTAS[Cantidad],VENTAS[Código del producto Vendido],STOCK[[#This Row],[Code]])</f>
        <v>0</v>
      </c>
      <c r="L1168" s="70">
        <f>STOCK[[#This Row],[Entradas]]-STOCK[[#This Row],[Salidas]]</f>
        <v>1</v>
      </c>
      <c r="M1168" s="53">
        <f>STOCK[[#This Row],[Precio Final]]*10%</f>
        <v>4</v>
      </c>
      <c r="N1168" s="53">
        <v>0</v>
      </c>
      <c r="O1168" s="53">
        <v>0</v>
      </c>
      <c r="P1168" s="53">
        <v>15.75</v>
      </c>
      <c r="Q1168" s="70">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54" t="s">
        <v>2471</v>
      </c>
      <c r="F1169" s="54" t="s">
        <v>766</v>
      </c>
      <c r="G1169" s="54" t="s">
        <v>2451</v>
      </c>
      <c r="H1169" s="54">
        <f>STOCK[[#This Row],[Precio Final]]</f>
        <v>35</v>
      </c>
      <c r="I1169" s="54">
        <f>STOCK[[#This Row],[Precio Venta Ideal (x1.5)]]</f>
        <v>36.947475</v>
      </c>
      <c r="J1169" s="71">
        <v>1</v>
      </c>
      <c r="K1169" s="71">
        <f>SUMIFS(VENTAS[Cantidad],VENTAS[Código del producto Vendido],STOCK[[#This Row],[Code]])</f>
        <v>1</v>
      </c>
      <c r="L1169" s="71">
        <f>STOCK[[#This Row],[Entradas]]-STOCK[[#This Row],[Salidas]]</f>
        <v>0</v>
      </c>
      <c r="M1169" s="54">
        <f>STOCK[[#This Row],[Precio Final]]*10%</f>
        <v>3.5</v>
      </c>
      <c r="N1169" s="54">
        <v>0</v>
      </c>
      <c r="O1169" s="54">
        <v>0</v>
      </c>
      <c r="P1169" s="54">
        <v>17.5</v>
      </c>
      <c r="Q1169" s="71">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53" t="s">
        <v>2471</v>
      </c>
      <c r="F1170" s="53" t="s">
        <v>517</v>
      </c>
      <c r="G1170" s="53" t="s">
        <v>2451</v>
      </c>
      <c r="H1170" s="53">
        <f>STOCK[[#This Row],[Precio Final]]</f>
        <v>35</v>
      </c>
      <c r="I1170" s="53">
        <f>STOCK[[#This Row],[Precio Venta Ideal (x1.5)]]</f>
        <v>36.947475</v>
      </c>
      <c r="J1170" s="70">
        <v>1</v>
      </c>
      <c r="K1170" s="70">
        <f>SUMIFS(VENTAS[Cantidad],VENTAS[Código del producto Vendido],STOCK[[#This Row],[Code]])</f>
        <v>0</v>
      </c>
      <c r="L1170" s="70">
        <f>STOCK[[#This Row],[Entradas]]-STOCK[[#This Row],[Salidas]]</f>
        <v>1</v>
      </c>
      <c r="M1170" s="53">
        <f>STOCK[[#This Row],[Precio Final]]*10%</f>
        <v>3.5</v>
      </c>
      <c r="N1170" s="53">
        <v>0</v>
      </c>
      <c r="O1170" s="53">
        <v>0</v>
      </c>
      <c r="P1170" s="53">
        <v>17.5</v>
      </c>
      <c r="Q1170" s="70">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54" t="s">
        <v>2474</v>
      </c>
      <c r="F1171" s="54" t="s">
        <v>540</v>
      </c>
      <c r="G1171" s="54" t="s">
        <v>2451</v>
      </c>
      <c r="H1171" s="54">
        <f>STOCK[[#This Row],[Precio Final]]</f>
        <v>30</v>
      </c>
      <c r="I1171" s="54">
        <f>STOCK[[#This Row],[Precio Venta Ideal (x1.5)]]</f>
        <v>50</v>
      </c>
      <c r="J1171" s="71">
        <v>1</v>
      </c>
      <c r="K1171" s="71">
        <f>SUMIFS(VENTAS[Cantidad],VENTAS[Código del producto Vendido],STOCK[[#This Row],[Code]])</f>
        <v>1</v>
      </c>
      <c r="L1171" s="71">
        <f>STOCK[[#This Row],[Entradas]]-STOCK[[#This Row],[Salidas]]</f>
        <v>0</v>
      </c>
      <c r="M1171" s="54">
        <f>STOCK[[#This Row],[Precio Final]]*10%</f>
        <v>3</v>
      </c>
      <c r="N1171" s="54">
        <v>0</v>
      </c>
      <c r="O1171" s="54">
        <v>0</v>
      </c>
      <c r="P1171" s="54">
        <v>27.5</v>
      </c>
      <c r="Q1171" s="71">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53" t="s">
        <v>2476</v>
      </c>
      <c r="F1172" s="53" t="s">
        <v>766</v>
      </c>
      <c r="G1172" s="53" t="s">
        <v>2451</v>
      </c>
      <c r="H1172" s="53">
        <f>STOCK[[#This Row],[Precio Final]]</f>
        <v>45</v>
      </c>
      <c r="I1172" s="53">
        <f>STOCK[[#This Row],[Precio Venta Ideal (x1.5)]]</f>
        <v>54.67755</v>
      </c>
      <c r="J1172" s="70">
        <v>1</v>
      </c>
      <c r="K1172" s="70">
        <f>SUMIFS(VENTAS[Cantidad],VENTAS[Código del producto Vendido],STOCK[[#This Row],[Code]])</f>
        <v>1</v>
      </c>
      <c r="L1172" s="70">
        <f>STOCK[[#This Row],[Entradas]]-STOCK[[#This Row],[Salidas]]</f>
        <v>0</v>
      </c>
      <c r="M1172" s="53">
        <f>STOCK[[#This Row],[Precio Final]]*10%</f>
        <v>4.5</v>
      </c>
      <c r="N1172" s="53">
        <v>0</v>
      </c>
      <c r="O1172" s="53">
        <v>0</v>
      </c>
      <c r="P1172" s="53">
        <v>27.5</v>
      </c>
      <c r="Q1172" s="70">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54" t="s">
        <v>2476</v>
      </c>
      <c r="F1173" s="54" t="s">
        <v>540</v>
      </c>
      <c r="G1173" s="54" t="s">
        <v>2451</v>
      </c>
      <c r="H1173" s="54">
        <f>STOCK[[#This Row],[Precio Final]]</f>
        <v>45</v>
      </c>
      <c r="I1173" s="54">
        <f>STOCK[[#This Row],[Precio Venta Ideal (x1.5)]]</f>
        <v>54.67755</v>
      </c>
      <c r="J1173" s="71">
        <v>2</v>
      </c>
      <c r="K1173" s="71">
        <f>SUMIFS(VENTAS[Cantidad],VENTAS[Código del producto Vendido],STOCK[[#This Row],[Code]])</f>
        <v>2</v>
      </c>
      <c r="L1173" s="71">
        <f>STOCK[[#This Row],[Entradas]]-STOCK[[#This Row],[Salidas]]</f>
        <v>0</v>
      </c>
      <c r="M1173" s="54">
        <f>STOCK[[#This Row],[Precio Final]]*10%</f>
        <v>4.5</v>
      </c>
      <c r="N1173" s="54">
        <v>0</v>
      </c>
      <c r="O1173" s="54">
        <v>0</v>
      </c>
      <c r="P1173" s="54">
        <v>27.5</v>
      </c>
      <c r="Q1173" s="71">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53" t="s">
        <v>2479</v>
      </c>
      <c r="F1174" s="53" t="s">
        <v>540</v>
      </c>
      <c r="G1174" s="53" t="s">
        <v>2451</v>
      </c>
      <c r="H1174" s="53">
        <f>STOCK[[#This Row],[Precio Final]]</f>
        <v>35</v>
      </c>
      <c r="I1174" s="53">
        <f>STOCK[[#This Row],[Precio Venta Ideal (x1.5)]]</f>
        <v>27.279</v>
      </c>
      <c r="J1174" s="70">
        <v>1</v>
      </c>
      <c r="K1174" s="70">
        <f>SUMIFS(VENTAS[Cantidad],VENTAS[Código del producto Vendido],STOCK[[#This Row],[Code]])</f>
        <v>0</v>
      </c>
      <c r="L1174" s="70">
        <f>STOCK[[#This Row],[Entradas]]-STOCK[[#This Row],[Salidas]]</f>
        <v>1</v>
      </c>
      <c r="M1174" s="53">
        <f>STOCK[[#This Row],[Precio Final]]*10%</f>
        <v>3.5</v>
      </c>
      <c r="N1174" s="53">
        <v>0</v>
      </c>
      <c r="O1174" s="53">
        <v>0</v>
      </c>
      <c r="P1174" s="53">
        <v>10</v>
      </c>
      <c r="Q1174" s="70">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54" t="s">
        <v>2481</v>
      </c>
      <c r="F1175" s="54" t="s">
        <v>517</v>
      </c>
      <c r="G1175" s="54" t="s">
        <v>2451</v>
      </c>
      <c r="H1175" s="54">
        <f>STOCK[[#This Row],[Precio Final]]</f>
        <v>40</v>
      </c>
      <c r="I1175" s="54">
        <f>STOCK[[#This Row],[Precio Venta Ideal (x1.5)]]</f>
        <v>37.228875</v>
      </c>
      <c r="J1175" s="71">
        <v>1</v>
      </c>
      <c r="K1175" s="71">
        <f>SUMIFS(VENTAS[Cantidad],VENTAS[Código del producto Vendido],STOCK[[#This Row],[Code]])</f>
        <v>1</v>
      </c>
      <c r="L1175" s="71">
        <f>STOCK[[#This Row],[Entradas]]-STOCK[[#This Row],[Salidas]]</f>
        <v>0</v>
      </c>
      <c r="M1175" s="54">
        <f>STOCK[[#This Row],[Precio Final]]*10%</f>
        <v>4</v>
      </c>
      <c r="N1175" s="54">
        <v>0</v>
      </c>
      <c r="O1175" s="54">
        <v>0</v>
      </c>
      <c r="P1175" s="54">
        <v>17.5</v>
      </c>
      <c r="Q1175" s="71">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53" t="s">
        <v>2481</v>
      </c>
      <c r="F1176" s="53" t="s">
        <v>766</v>
      </c>
      <c r="G1176" s="53" t="s">
        <v>2451</v>
      </c>
      <c r="H1176" s="53">
        <f>STOCK[[#This Row],[Precio Final]]</f>
        <v>40</v>
      </c>
      <c r="I1176" s="53">
        <f>STOCK[[#This Row],[Precio Venta Ideal (x1.5)]]</f>
        <v>37.228875</v>
      </c>
      <c r="J1176" s="70">
        <v>1</v>
      </c>
      <c r="K1176" s="70">
        <f>SUMIFS(VENTAS[Cantidad],VENTAS[Código del producto Vendido],STOCK[[#This Row],[Code]])</f>
        <v>1</v>
      </c>
      <c r="L1176" s="70">
        <f>STOCK[[#This Row],[Entradas]]-STOCK[[#This Row],[Salidas]]</f>
        <v>0</v>
      </c>
      <c r="M1176" s="53">
        <f>STOCK[[#This Row],[Precio Final]]*10%</f>
        <v>4</v>
      </c>
      <c r="N1176" s="53">
        <v>0</v>
      </c>
      <c r="O1176" s="53">
        <v>0</v>
      </c>
      <c r="P1176" s="53">
        <v>17.5</v>
      </c>
      <c r="Q1176" s="70">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54" t="s">
        <v>2484</v>
      </c>
      <c r="F1177" s="54" t="s">
        <v>540</v>
      </c>
      <c r="G1177" s="54" t="s">
        <v>2451</v>
      </c>
      <c r="H1177" s="54">
        <f>STOCK[[#This Row],[Precio Final]]</f>
        <v>50</v>
      </c>
      <c r="I1177" s="54">
        <f>STOCK[[#This Row],[Precio Venta Ideal (x1.5)]]</f>
        <v>52.416075</v>
      </c>
      <c r="J1177" s="71">
        <v>1</v>
      </c>
      <c r="K1177" s="71">
        <f>SUMIFS(VENTAS[Cantidad],VENTAS[Código del producto Vendido],STOCK[[#This Row],[Code]])</f>
        <v>0</v>
      </c>
      <c r="L1177" s="71">
        <f>STOCK[[#This Row],[Entradas]]-STOCK[[#This Row],[Salidas]]</f>
        <v>1</v>
      </c>
      <c r="M1177" s="54">
        <f>STOCK[[#This Row],[Precio Final]]*10%</f>
        <v>5</v>
      </c>
      <c r="N1177" s="54">
        <v>0</v>
      </c>
      <c r="O1177" s="54">
        <v>0</v>
      </c>
      <c r="P1177" s="54">
        <v>26</v>
      </c>
      <c r="Q1177" s="71">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53" t="s">
        <v>2486</v>
      </c>
      <c r="F1178" s="53" t="s">
        <v>540</v>
      </c>
      <c r="G1178" s="53" t="s">
        <v>2451</v>
      </c>
      <c r="H1178" s="53">
        <f>STOCK[[#This Row],[Precio Final]]</f>
        <v>40</v>
      </c>
      <c r="I1178" s="53">
        <f>STOCK[[#This Row],[Precio Venta Ideal (x1.5)]]</f>
        <v>37.671075</v>
      </c>
      <c r="J1178" s="70">
        <v>1</v>
      </c>
      <c r="K1178" s="70">
        <f>SUMIFS(VENTAS[Cantidad],VENTAS[Código del producto Vendido],STOCK[[#This Row],[Code]])</f>
        <v>1</v>
      </c>
      <c r="L1178" s="70">
        <f>STOCK[[#This Row],[Entradas]]-STOCK[[#This Row],[Salidas]]</f>
        <v>0</v>
      </c>
      <c r="M1178" s="53">
        <f>STOCK[[#This Row],[Precio Final]]*10%</f>
        <v>4</v>
      </c>
      <c r="N1178" s="53">
        <v>0</v>
      </c>
      <c r="O1178" s="53">
        <v>0</v>
      </c>
      <c r="P1178" s="53">
        <v>17.17</v>
      </c>
      <c r="Q1178" s="70">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54" t="s">
        <v>2488</v>
      </c>
      <c r="F1179" s="54" t="s">
        <v>517</v>
      </c>
      <c r="G1179" s="54" t="s">
        <v>2451</v>
      </c>
      <c r="H1179" s="54">
        <f>STOCK[[#This Row],[Precio Final]]</f>
        <v>35</v>
      </c>
      <c r="I1179" s="54">
        <f>STOCK[[#This Row],[Precio Venta Ideal (x1.5)]]</f>
        <v>41.5761</v>
      </c>
      <c r="J1179" s="71">
        <v>2</v>
      </c>
      <c r="K1179" s="71">
        <f>SUMIFS(VENTAS[Cantidad],VENTAS[Código del producto Vendido],STOCK[[#This Row],[Code]])</f>
        <v>1</v>
      </c>
      <c r="L1179" s="71">
        <f>STOCK[[#This Row],[Entradas]]-STOCK[[#This Row],[Salidas]]</f>
        <v>1</v>
      </c>
      <c r="M1179" s="54">
        <f>STOCK[[#This Row],[Precio Final]]*10%</f>
        <v>3.5</v>
      </c>
      <c r="N1179" s="54">
        <v>0</v>
      </c>
      <c r="O1179" s="54">
        <v>0</v>
      </c>
      <c r="P1179" s="54">
        <v>20</v>
      </c>
      <c r="Q1179" s="71">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53" t="s">
        <v>2488</v>
      </c>
      <c r="F1180" s="53" t="s">
        <v>766</v>
      </c>
      <c r="G1180" s="53" t="s">
        <v>2451</v>
      </c>
      <c r="H1180" s="53">
        <f>STOCK[[#This Row],[Precio Final]]</f>
        <v>35</v>
      </c>
      <c r="I1180" s="53">
        <f>STOCK[[#This Row],[Precio Venta Ideal (x1.5)]]</f>
        <v>41.5761</v>
      </c>
      <c r="J1180" s="70">
        <v>2</v>
      </c>
      <c r="K1180" s="70">
        <f>SUMIFS(VENTAS[Cantidad],VENTAS[Código del producto Vendido],STOCK[[#This Row],[Code]])</f>
        <v>2</v>
      </c>
      <c r="L1180" s="70">
        <f>STOCK[[#This Row],[Entradas]]-STOCK[[#This Row],[Salidas]]</f>
        <v>0</v>
      </c>
      <c r="M1180" s="53">
        <f>STOCK[[#This Row],[Precio Final]]*10%</f>
        <v>3.5</v>
      </c>
      <c r="N1180" s="53">
        <v>0</v>
      </c>
      <c r="O1180" s="53">
        <v>0</v>
      </c>
      <c r="P1180" s="53">
        <v>20</v>
      </c>
      <c r="Q1180" s="70">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54" t="s">
        <v>2488</v>
      </c>
      <c r="F1181" s="54" t="s">
        <v>540</v>
      </c>
      <c r="G1181" s="54" t="s">
        <v>2451</v>
      </c>
      <c r="H1181" s="54">
        <f>STOCK[[#This Row],[Precio Final]]</f>
        <v>35</v>
      </c>
      <c r="I1181" s="54">
        <f>STOCK[[#This Row],[Precio Venta Ideal (x1.5)]]</f>
        <v>41.5761</v>
      </c>
      <c r="J1181" s="71">
        <v>2</v>
      </c>
      <c r="K1181" s="71">
        <f>SUMIFS(VENTAS[Cantidad],VENTAS[Código del producto Vendido],STOCK[[#This Row],[Code]])</f>
        <v>2</v>
      </c>
      <c r="L1181" s="71">
        <f>STOCK[[#This Row],[Entradas]]-STOCK[[#This Row],[Salidas]]</f>
        <v>0</v>
      </c>
      <c r="M1181" s="54">
        <f>STOCK[[#This Row],[Precio Final]]*10%</f>
        <v>3.5</v>
      </c>
      <c r="N1181" s="54">
        <v>0</v>
      </c>
      <c r="O1181" s="54">
        <v>0</v>
      </c>
      <c r="P1181" s="54">
        <v>20</v>
      </c>
      <c r="Q1181" s="71">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53" t="s">
        <v>2488</v>
      </c>
      <c r="F1182" s="53" t="s">
        <v>764</v>
      </c>
      <c r="G1182" s="53" t="s">
        <v>2451</v>
      </c>
      <c r="H1182" s="53">
        <f>STOCK[[#This Row],[Precio Final]]</f>
        <v>35</v>
      </c>
      <c r="I1182" s="53">
        <f>STOCK[[#This Row],[Precio Venta Ideal (x1.5)]]</f>
        <v>41.5761</v>
      </c>
      <c r="J1182" s="70">
        <v>3</v>
      </c>
      <c r="K1182" s="70">
        <f>SUMIFS(VENTAS[Cantidad],VENTAS[Código del producto Vendido],STOCK[[#This Row],[Code]])</f>
        <v>3</v>
      </c>
      <c r="L1182" s="70">
        <f>STOCK[[#This Row],[Entradas]]-STOCK[[#This Row],[Salidas]]</f>
        <v>0</v>
      </c>
      <c r="M1182" s="53">
        <f>STOCK[[#This Row],[Precio Final]]*10%</f>
        <v>3.5</v>
      </c>
      <c r="N1182" s="53">
        <v>0</v>
      </c>
      <c r="O1182" s="53">
        <v>0</v>
      </c>
      <c r="P1182" s="53">
        <v>20</v>
      </c>
      <c r="Q1182" s="70">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54" t="s">
        <v>2493</v>
      </c>
      <c r="F1183" s="54" t="s">
        <v>40</v>
      </c>
      <c r="G1183" s="54" t="s">
        <v>36</v>
      </c>
      <c r="H1183" s="54">
        <f>STOCK[[#This Row],[Precio Final]]</f>
        <v>18</v>
      </c>
      <c r="I1183" s="54">
        <f>STOCK[[#This Row],[Precio Venta Ideal (x1.5)]]</f>
        <v>19.11</v>
      </c>
      <c r="J1183" s="71">
        <v>2</v>
      </c>
      <c r="K1183" s="71">
        <f>SUMIFS(VENTAS[Cantidad],VENTAS[Código del producto Vendido],STOCK[[#This Row],[Code]])</f>
        <v>0</v>
      </c>
      <c r="L1183" s="71">
        <f>STOCK[[#This Row],[Entradas]]-STOCK[[#This Row],[Salidas]]</f>
        <v>2</v>
      </c>
      <c r="M1183" s="54">
        <f>STOCK[[#This Row],[Precio Final]]*10%</f>
        <v>1.8</v>
      </c>
      <c r="N1183" s="54">
        <v>0</v>
      </c>
      <c r="O1183" s="54">
        <v>0</v>
      </c>
      <c r="P1183" s="54">
        <v>8.97</v>
      </c>
      <c r="Q1183" s="71">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53" t="s">
        <v>2493</v>
      </c>
      <c r="F1184" s="53" t="s">
        <v>49</v>
      </c>
      <c r="G1184" s="53" t="s">
        <v>36</v>
      </c>
      <c r="H1184" s="53">
        <f>STOCK[[#This Row],[Precio Final]]</f>
        <v>18</v>
      </c>
      <c r="I1184" s="53">
        <f>STOCK[[#This Row],[Precio Venta Ideal (x1.5)]]</f>
        <v>19.11</v>
      </c>
      <c r="J1184" s="70">
        <v>2</v>
      </c>
      <c r="K1184" s="70">
        <f>SUMIFS(VENTAS[Cantidad],VENTAS[Código del producto Vendido],STOCK[[#This Row],[Code]])</f>
        <v>2</v>
      </c>
      <c r="L1184" s="70">
        <f>STOCK[[#This Row],[Entradas]]-STOCK[[#This Row],[Salidas]]</f>
        <v>0</v>
      </c>
      <c r="M1184" s="53">
        <f>STOCK[[#This Row],[Precio Final]]*10%</f>
        <v>1.8</v>
      </c>
      <c r="N1184" s="53">
        <v>0</v>
      </c>
      <c r="O1184" s="53">
        <v>0</v>
      </c>
      <c r="P1184" s="53">
        <v>8.97</v>
      </c>
      <c r="Q1184" s="70">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54" t="s">
        <v>2493</v>
      </c>
      <c r="F1185" s="54" t="s">
        <v>62</v>
      </c>
      <c r="G1185" s="54" t="s">
        <v>36</v>
      </c>
      <c r="H1185" s="54">
        <f>STOCK[[#This Row],[Precio Final]]</f>
        <v>18</v>
      </c>
      <c r="I1185" s="54">
        <f>STOCK[[#This Row],[Precio Venta Ideal (x1.5)]]</f>
        <v>19.11</v>
      </c>
      <c r="J1185" s="71">
        <v>3</v>
      </c>
      <c r="K1185" s="71">
        <f>SUMIFS(VENTAS[Cantidad],VENTAS[Código del producto Vendido],STOCK[[#This Row],[Code]])</f>
        <v>1</v>
      </c>
      <c r="L1185" s="71">
        <f>STOCK[[#This Row],[Entradas]]-STOCK[[#This Row],[Salidas]]</f>
        <v>2</v>
      </c>
      <c r="M1185" s="54">
        <f>STOCK[[#This Row],[Precio Final]]*10%</f>
        <v>1.8</v>
      </c>
      <c r="N1185" s="54">
        <v>0</v>
      </c>
      <c r="O1185" s="54">
        <v>0</v>
      </c>
      <c r="P1185" s="54">
        <v>8.97</v>
      </c>
      <c r="Q1185" s="71">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53" t="s">
        <v>2497</v>
      </c>
      <c r="F1186" s="53" t="s">
        <v>2498</v>
      </c>
      <c r="G1186" s="53" t="s">
        <v>36</v>
      </c>
      <c r="H1186" s="53">
        <f>STOCK[[#This Row],[Precio Final]]</f>
        <v>25</v>
      </c>
      <c r="I1186" s="53">
        <f>STOCK[[#This Row],[Precio Venta Ideal (x1.5)]]</f>
        <v>20.835</v>
      </c>
      <c r="J1186" s="70">
        <v>3</v>
      </c>
      <c r="K1186" s="70">
        <f>SUMIFS(VENTAS[Cantidad],VENTAS[Código del producto Vendido],STOCK[[#This Row],[Code]])</f>
        <v>2</v>
      </c>
      <c r="L1186" s="70">
        <f>STOCK[[#This Row],[Entradas]]-STOCK[[#This Row],[Salidas]]</f>
        <v>1</v>
      </c>
      <c r="M1186" s="53">
        <f>STOCK[[#This Row],[Precio Final]]*10%</f>
        <v>2.5</v>
      </c>
      <c r="N1186" s="53">
        <v>0</v>
      </c>
      <c r="O1186" s="53">
        <v>0</v>
      </c>
      <c r="P1186" s="53">
        <v>9.42</v>
      </c>
      <c r="Q1186" s="70">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54" t="s">
        <v>2500</v>
      </c>
      <c r="G1187" s="54" t="s">
        <v>36</v>
      </c>
      <c r="H1187" s="54">
        <f>STOCK[[#This Row],[Precio Final]]</f>
        <v>25</v>
      </c>
      <c r="I1187" s="54">
        <f>STOCK[[#This Row],[Precio Venta Ideal (x1.5)]]</f>
        <v>21.255</v>
      </c>
      <c r="J1187" s="71">
        <v>4</v>
      </c>
      <c r="K1187" s="71">
        <f>SUMIFS(VENTAS[Cantidad],VENTAS[Código del producto Vendido],STOCK[[#This Row],[Code]])</f>
        <v>4</v>
      </c>
      <c r="L1187" s="71">
        <f>STOCK[[#This Row],[Entradas]]-STOCK[[#This Row],[Salidas]]</f>
        <v>0</v>
      </c>
      <c r="M1187" s="54">
        <f>STOCK[[#This Row],[Precio Final]]*10%</f>
        <v>2.5</v>
      </c>
      <c r="N1187" s="54">
        <v>0</v>
      </c>
      <c r="O1187" s="54">
        <v>0</v>
      </c>
      <c r="P1187" s="54">
        <v>9.7</v>
      </c>
      <c r="Q1187" s="71">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53" t="s">
        <v>2502</v>
      </c>
      <c r="G1188" s="53" t="s">
        <v>36</v>
      </c>
      <c r="H1188" s="53">
        <f>STOCK[[#This Row],[Precio Final]]</f>
        <v>22</v>
      </c>
      <c r="I1188" s="53">
        <f>STOCK[[#This Row],[Precio Venta Ideal (x1.5)]]</f>
        <v>20.25</v>
      </c>
      <c r="J1188" s="70">
        <v>3</v>
      </c>
      <c r="K1188" s="70">
        <f>SUMIFS(VENTAS[Cantidad],VENTAS[Código del producto Vendido],STOCK[[#This Row],[Code]])</f>
        <v>3</v>
      </c>
      <c r="L1188" s="70">
        <f>STOCK[[#This Row],[Entradas]]-STOCK[[#This Row],[Salidas]]</f>
        <v>0</v>
      </c>
      <c r="M1188" s="53">
        <f>STOCK[[#This Row],[Precio Final]]*10%</f>
        <v>2.2</v>
      </c>
      <c r="N1188" s="53">
        <v>0</v>
      </c>
      <c r="O1188" s="53">
        <v>0</v>
      </c>
      <c r="P1188" s="53">
        <v>9.33</v>
      </c>
      <c r="Q1188" s="70">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54" t="s">
        <v>2504</v>
      </c>
      <c r="F1189" s="54" t="s">
        <v>62</v>
      </c>
      <c r="G1189" s="54" t="s">
        <v>36</v>
      </c>
      <c r="H1189" s="54">
        <f>STOCK[[#This Row],[Precio Final]]</f>
        <v>20</v>
      </c>
      <c r="I1189" s="54">
        <f>STOCK[[#This Row],[Precio Venta Ideal (x1.5)]]</f>
        <v>19.38</v>
      </c>
      <c r="J1189" s="71">
        <v>1</v>
      </c>
      <c r="K1189" s="71">
        <f>SUMIFS(VENTAS[Cantidad],VENTAS[Código del producto Vendido],STOCK[[#This Row],[Code]])</f>
        <v>1</v>
      </c>
      <c r="L1189" s="71">
        <f>STOCK[[#This Row],[Entradas]]-STOCK[[#This Row],[Salidas]]</f>
        <v>0</v>
      </c>
      <c r="M1189" s="54">
        <f>STOCK[[#This Row],[Precio Final]]*10%</f>
        <v>2</v>
      </c>
      <c r="N1189" s="54">
        <v>0</v>
      </c>
      <c r="O1189" s="54">
        <v>0</v>
      </c>
      <c r="P1189" s="54">
        <v>8.95</v>
      </c>
      <c r="Q1189" s="71">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53" t="s">
        <v>2504</v>
      </c>
      <c r="F1190" s="53" t="s">
        <v>49</v>
      </c>
      <c r="G1190" s="53" t="s">
        <v>36</v>
      </c>
      <c r="H1190" s="53">
        <f>STOCK[[#This Row],[Precio Final]]</f>
        <v>20</v>
      </c>
      <c r="I1190" s="53">
        <f>STOCK[[#This Row],[Precio Venta Ideal (x1.5)]]</f>
        <v>19.38</v>
      </c>
      <c r="J1190" s="70">
        <v>1</v>
      </c>
      <c r="K1190" s="70">
        <f>SUMIFS(VENTAS[Cantidad],VENTAS[Código del producto Vendido],STOCK[[#This Row],[Code]])</f>
        <v>0</v>
      </c>
      <c r="L1190" s="70">
        <f>STOCK[[#This Row],[Entradas]]-STOCK[[#This Row],[Salidas]]</f>
        <v>1</v>
      </c>
      <c r="M1190" s="53">
        <f>STOCK[[#This Row],[Precio Final]]*10%</f>
        <v>2</v>
      </c>
      <c r="N1190" s="53">
        <v>0</v>
      </c>
      <c r="O1190" s="53">
        <v>0</v>
      </c>
      <c r="P1190" s="53">
        <v>8.95</v>
      </c>
      <c r="Q1190" s="70">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54" t="s">
        <v>2504</v>
      </c>
      <c r="F1191" s="54" t="s">
        <v>46</v>
      </c>
      <c r="G1191" s="54" t="s">
        <v>36</v>
      </c>
      <c r="H1191" s="54">
        <f>STOCK[[#This Row],[Precio Final]]</f>
        <v>20</v>
      </c>
      <c r="I1191" s="54">
        <f>STOCK[[#This Row],[Precio Venta Ideal (x1.5)]]</f>
        <v>19.38</v>
      </c>
      <c r="J1191" s="71">
        <v>1</v>
      </c>
      <c r="K1191" s="71">
        <f>SUMIFS(VENTAS[Cantidad],VENTAS[Código del producto Vendido],STOCK[[#This Row],[Code]])</f>
        <v>1</v>
      </c>
      <c r="L1191" s="71">
        <f>STOCK[[#This Row],[Entradas]]-STOCK[[#This Row],[Salidas]]</f>
        <v>0</v>
      </c>
      <c r="M1191" s="54">
        <f>STOCK[[#This Row],[Precio Final]]*10%</f>
        <v>2</v>
      </c>
      <c r="N1191" s="54">
        <v>0</v>
      </c>
      <c r="O1191" s="54">
        <v>0</v>
      </c>
      <c r="P1191" s="54">
        <v>8.95</v>
      </c>
      <c r="Q1191" s="71">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53" t="s">
        <v>2508</v>
      </c>
      <c r="F1192" s="53" t="s">
        <v>40</v>
      </c>
      <c r="G1192" s="53" t="s">
        <v>36</v>
      </c>
      <c r="H1192" s="53">
        <f>STOCK[[#This Row],[Precio Final]]</f>
        <v>30</v>
      </c>
      <c r="I1192" s="53">
        <f>STOCK[[#This Row],[Precio Venta Ideal (x1.5)]]</f>
        <v>33.285</v>
      </c>
      <c r="J1192" s="70">
        <v>1</v>
      </c>
      <c r="K1192" s="70">
        <f>SUMIFS(VENTAS[Cantidad],VENTAS[Código del producto Vendido],STOCK[[#This Row],[Code]])</f>
        <v>0</v>
      </c>
      <c r="L1192" s="70">
        <f>STOCK[[#This Row],[Entradas]]-STOCK[[#This Row],[Salidas]]</f>
        <v>1</v>
      </c>
      <c r="M1192" s="53">
        <f>STOCK[[#This Row],[Precio Final]]*10%</f>
        <v>3</v>
      </c>
      <c r="N1192" s="53">
        <v>0</v>
      </c>
      <c r="O1192" s="53">
        <v>0</v>
      </c>
      <c r="P1192" s="53">
        <v>17.22</v>
      </c>
      <c r="Q1192" s="70">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54" t="s">
        <v>2508</v>
      </c>
      <c r="F1193" s="54" t="s">
        <v>62</v>
      </c>
      <c r="G1193" s="54" t="s">
        <v>36</v>
      </c>
      <c r="H1193" s="54">
        <f>STOCK[[#This Row],[Precio Final]]</f>
        <v>30</v>
      </c>
      <c r="I1193" s="54">
        <f>STOCK[[#This Row],[Precio Venta Ideal (x1.5)]]</f>
        <v>33.285</v>
      </c>
      <c r="J1193" s="71">
        <v>1</v>
      </c>
      <c r="K1193" s="71">
        <f>SUMIFS(VENTAS[Cantidad],VENTAS[Código del producto Vendido],STOCK[[#This Row],[Code]])</f>
        <v>1</v>
      </c>
      <c r="L1193" s="71">
        <f>STOCK[[#This Row],[Entradas]]-STOCK[[#This Row],[Salidas]]</f>
        <v>0</v>
      </c>
      <c r="M1193" s="54">
        <f>STOCK[[#This Row],[Precio Final]]*10%</f>
        <v>3</v>
      </c>
      <c r="N1193" s="54">
        <v>0</v>
      </c>
      <c r="O1193" s="54">
        <v>0</v>
      </c>
      <c r="P1193" s="54">
        <v>17.22</v>
      </c>
      <c r="Q1193" s="71">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53" t="s">
        <v>2508</v>
      </c>
      <c r="F1194" s="53" t="s">
        <v>49</v>
      </c>
      <c r="G1194" s="53" t="s">
        <v>36</v>
      </c>
      <c r="H1194" s="53">
        <f>STOCK[[#This Row],[Precio Final]]</f>
        <v>30</v>
      </c>
      <c r="I1194" s="53">
        <f>STOCK[[#This Row],[Precio Venta Ideal (x1.5)]]</f>
        <v>33.285</v>
      </c>
      <c r="J1194" s="70">
        <v>1</v>
      </c>
      <c r="K1194" s="70">
        <f>SUMIFS(VENTAS[Cantidad],VENTAS[Código del producto Vendido],STOCK[[#This Row],[Code]])</f>
        <v>1</v>
      </c>
      <c r="L1194" s="70">
        <f>STOCK[[#This Row],[Entradas]]-STOCK[[#This Row],[Salidas]]</f>
        <v>0</v>
      </c>
      <c r="M1194" s="53">
        <f>STOCK[[#This Row],[Precio Final]]*10%</f>
        <v>3</v>
      </c>
      <c r="N1194" s="53">
        <v>0</v>
      </c>
      <c r="O1194" s="53">
        <v>0</v>
      </c>
      <c r="P1194" s="53">
        <v>17.22</v>
      </c>
      <c r="Q1194" s="70">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54" t="s">
        <v>2512</v>
      </c>
      <c r="F1195" s="54" t="s">
        <v>62</v>
      </c>
      <c r="G1195" s="54" t="s">
        <v>36</v>
      </c>
      <c r="H1195" s="54">
        <f>STOCK[[#This Row],[Precio Final]]</f>
        <v>22</v>
      </c>
      <c r="I1195" s="54">
        <f>STOCK[[#This Row],[Precio Venta Ideal (x1.5)]]</f>
        <v>20.25</v>
      </c>
      <c r="J1195" s="71">
        <v>2</v>
      </c>
      <c r="K1195" s="71">
        <f>SUMIFS(VENTAS[Cantidad],VENTAS[Código del producto Vendido],STOCK[[#This Row],[Code]])</f>
        <v>2</v>
      </c>
      <c r="L1195" s="71">
        <f>STOCK[[#This Row],[Entradas]]-STOCK[[#This Row],[Salidas]]</f>
        <v>0</v>
      </c>
      <c r="M1195" s="54">
        <f>STOCK[[#This Row],[Precio Final]]*10%</f>
        <v>2.2</v>
      </c>
      <c r="N1195" s="54">
        <v>0</v>
      </c>
      <c r="O1195" s="54">
        <v>0</v>
      </c>
      <c r="P1195" s="54">
        <v>9.33</v>
      </c>
      <c r="Q1195" s="71">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53" t="s">
        <v>2512</v>
      </c>
      <c r="F1196" s="53" t="s">
        <v>49</v>
      </c>
      <c r="G1196" s="53" t="s">
        <v>36</v>
      </c>
      <c r="H1196" s="53">
        <f>STOCK[[#This Row],[Precio Final]]</f>
        <v>22</v>
      </c>
      <c r="I1196" s="53">
        <f>STOCK[[#This Row],[Precio Venta Ideal (x1.5)]]</f>
        <v>20.25</v>
      </c>
      <c r="J1196" s="70">
        <v>2</v>
      </c>
      <c r="K1196" s="70">
        <f>SUMIFS(VENTAS[Cantidad],VENTAS[Código del producto Vendido],STOCK[[#This Row],[Code]])</f>
        <v>1</v>
      </c>
      <c r="L1196" s="70">
        <f>STOCK[[#This Row],[Entradas]]-STOCK[[#This Row],[Salidas]]</f>
        <v>1</v>
      </c>
      <c r="M1196" s="53">
        <f>STOCK[[#This Row],[Precio Final]]*10%</f>
        <v>2.2</v>
      </c>
      <c r="N1196" s="53">
        <v>0</v>
      </c>
      <c r="O1196" s="53">
        <v>0</v>
      </c>
      <c r="P1196" s="53">
        <v>9.33</v>
      </c>
      <c r="Q1196" s="70">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54" t="s">
        <v>2512</v>
      </c>
      <c r="F1197" s="54" t="s">
        <v>46</v>
      </c>
      <c r="G1197" s="54" t="s">
        <v>36</v>
      </c>
      <c r="H1197" s="54">
        <f>STOCK[[#This Row],[Precio Final]]</f>
        <v>22</v>
      </c>
      <c r="I1197" s="54">
        <f>STOCK[[#This Row],[Precio Venta Ideal (x1.5)]]</f>
        <v>20.25</v>
      </c>
      <c r="J1197" s="71">
        <v>2</v>
      </c>
      <c r="K1197" s="71">
        <f>SUMIFS(VENTAS[Cantidad],VENTAS[Código del producto Vendido],STOCK[[#This Row],[Code]])</f>
        <v>2</v>
      </c>
      <c r="L1197" s="71">
        <f>STOCK[[#This Row],[Entradas]]-STOCK[[#This Row],[Salidas]]</f>
        <v>0</v>
      </c>
      <c r="M1197" s="54">
        <f>STOCK[[#This Row],[Precio Final]]*10%</f>
        <v>2.2</v>
      </c>
      <c r="N1197" s="54">
        <v>0</v>
      </c>
      <c r="O1197" s="54">
        <v>0</v>
      </c>
      <c r="P1197" s="54">
        <v>9.33</v>
      </c>
      <c r="Q1197" s="71">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53" t="s">
        <v>2516</v>
      </c>
      <c r="F1198" s="53" t="s">
        <v>2216</v>
      </c>
      <c r="G1198" s="53" t="s">
        <v>36</v>
      </c>
      <c r="H1198" s="53">
        <f>STOCK[[#This Row],[Precio Final]]</f>
        <v>20</v>
      </c>
      <c r="I1198" s="53">
        <f>STOCK[[#This Row],[Precio Venta Ideal (x1.5)]]</f>
        <v>20.235</v>
      </c>
      <c r="J1198" s="70">
        <v>3</v>
      </c>
      <c r="K1198" s="70">
        <f>SUMIFS(VENTAS[Cantidad],VENTAS[Código del producto Vendido],STOCK[[#This Row],[Code]])</f>
        <v>3</v>
      </c>
      <c r="L1198" s="70">
        <f>STOCK[[#This Row],[Entradas]]-STOCK[[#This Row],[Salidas]]</f>
        <v>0</v>
      </c>
      <c r="M1198" s="53">
        <f>STOCK[[#This Row],[Precio Final]]*10%</f>
        <v>2</v>
      </c>
      <c r="N1198" s="53">
        <v>0</v>
      </c>
      <c r="O1198" s="53">
        <v>0</v>
      </c>
      <c r="P1198" s="53">
        <v>9.52</v>
      </c>
      <c r="Q1198" s="70">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54" t="s">
        <v>2518</v>
      </c>
      <c r="F1199" s="54" t="s">
        <v>1534</v>
      </c>
      <c r="G1199" s="54" t="s">
        <v>36</v>
      </c>
      <c r="H1199" s="54">
        <f>STOCK[[#This Row],[Precio Final]]</f>
        <v>22</v>
      </c>
      <c r="I1199" s="54">
        <f>STOCK[[#This Row],[Precio Venta Ideal (x1.5)]]</f>
        <v>22.545</v>
      </c>
      <c r="J1199" s="71">
        <v>2</v>
      </c>
      <c r="K1199" s="71">
        <f>SUMIFS(VENTAS[Cantidad],VENTAS[Código del producto Vendido],STOCK[[#This Row],[Code]])</f>
        <v>2</v>
      </c>
      <c r="L1199" s="71">
        <f>STOCK[[#This Row],[Entradas]]-STOCK[[#This Row],[Salidas]]</f>
        <v>0</v>
      </c>
      <c r="M1199" s="54">
        <f>STOCK[[#This Row],[Precio Final]]*10%</f>
        <v>2.2</v>
      </c>
      <c r="N1199" s="54">
        <v>0</v>
      </c>
      <c r="O1199" s="54">
        <v>0</v>
      </c>
      <c r="P1199" s="54">
        <v>10.86</v>
      </c>
      <c r="Q1199" s="71">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53" t="s">
        <v>2520</v>
      </c>
      <c r="F1200" s="53" t="s">
        <v>62</v>
      </c>
      <c r="G1200" s="53" t="s">
        <v>36</v>
      </c>
      <c r="H1200" s="53">
        <f>STOCK[[#This Row],[Precio Final]]</f>
        <v>25</v>
      </c>
      <c r="I1200" s="53">
        <f>STOCK[[#This Row],[Precio Venta Ideal (x1.5)]]</f>
        <v>27.435</v>
      </c>
      <c r="J1200" s="70">
        <v>2</v>
      </c>
      <c r="K1200" s="70">
        <f>SUMIFS(VENTAS[Cantidad],VENTAS[Código del producto Vendido],STOCK[[#This Row],[Code]])</f>
        <v>0</v>
      </c>
      <c r="L1200" s="70">
        <f>STOCK[[#This Row],[Entradas]]-STOCK[[#This Row],[Salidas]]</f>
        <v>2</v>
      </c>
      <c r="M1200" s="53">
        <f>STOCK[[#This Row],[Precio Final]]*10%</f>
        <v>2.5</v>
      </c>
      <c r="N1200" s="53">
        <v>0</v>
      </c>
      <c r="O1200" s="53">
        <v>0</v>
      </c>
      <c r="P1200" s="53">
        <v>13.82</v>
      </c>
      <c r="Q1200" s="70">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54" t="s">
        <v>2520</v>
      </c>
      <c r="F1201" s="54" t="s">
        <v>49</v>
      </c>
      <c r="G1201" s="54" t="s">
        <v>36</v>
      </c>
      <c r="H1201" s="54">
        <f>STOCK[[#This Row],[Precio Final]]</f>
        <v>25</v>
      </c>
      <c r="I1201" s="54">
        <f>STOCK[[#This Row],[Precio Venta Ideal (x1.5)]]</f>
        <v>27.435</v>
      </c>
      <c r="J1201" s="71">
        <v>2</v>
      </c>
      <c r="K1201" s="71">
        <f>SUMIFS(VENTAS[Cantidad],VENTAS[Código del producto Vendido],STOCK[[#This Row],[Code]])</f>
        <v>2</v>
      </c>
      <c r="L1201" s="71">
        <f>STOCK[[#This Row],[Entradas]]-STOCK[[#This Row],[Salidas]]</f>
        <v>0</v>
      </c>
      <c r="M1201" s="54">
        <f>STOCK[[#This Row],[Precio Final]]*10%</f>
        <v>2.5</v>
      </c>
      <c r="N1201" s="54">
        <v>0</v>
      </c>
      <c r="O1201" s="54">
        <v>0</v>
      </c>
      <c r="P1201" s="54">
        <v>13.82</v>
      </c>
      <c r="Q1201" s="71">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53" t="s">
        <v>2520</v>
      </c>
      <c r="F1202" s="53" t="s">
        <v>46</v>
      </c>
      <c r="G1202" s="53" t="s">
        <v>36</v>
      </c>
      <c r="H1202" s="53">
        <f>STOCK[[#This Row],[Precio Final]]</f>
        <v>25</v>
      </c>
      <c r="I1202" s="53">
        <f>STOCK[[#This Row],[Precio Venta Ideal (x1.5)]]</f>
        <v>27.435</v>
      </c>
      <c r="J1202" s="70">
        <v>2</v>
      </c>
      <c r="K1202" s="70">
        <f>SUMIFS(VENTAS[Cantidad],VENTAS[Código del producto Vendido],STOCK[[#This Row],[Code]])</f>
        <v>1</v>
      </c>
      <c r="L1202" s="70">
        <f>STOCK[[#This Row],[Entradas]]-STOCK[[#This Row],[Salidas]]</f>
        <v>1</v>
      </c>
      <c r="M1202" s="53">
        <f>STOCK[[#This Row],[Precio Final]]*10%</f>
        <v>2.5</v>
      </c>
      <c r="N1202" s="53">
        <v>0</v>
      </c>
      <c r="O1202" s="53">
        <v>0</v>
      </c>
      <c r="P1202" s="53">
        <v>13.82</v>
      </c>
      <c r="Q1202" s="70">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54" t="s">
        <v>2524</v>
      </c>
      <c r="F1203" s="54" t="s">
        <v>525</v>
      </c>
      <c r="G1203" s="54" t="s">
        <v>36</v>
      </c>
      <c r="H1203" s="54">
        <f>STOCK[[#This Row],[Precio Final]]</f>
        <v>12</v>
      </c>
      <c r="I1203" s="54">
        <f>STOCK[[#This Row],[Precio Venta Ideal (x1.5)]]</f>
        <v>9.495</v>
      </c>
      <c r="J1203" s="71">
        <v>5</v>
      </c>
      <c r="K1203" s="71">
        <f>SUMIFS(VENTAS[Cantidad],VENTAS[Código del producto Vendido],STOCK[[#This Row],[Code]])</f>
        <v>2</v>
      </c>
      <c r="L1203" s="71">
        <f>STOCK[[#This Row],[Entradas]]-STOCK[[#This Row],[Salidas]]</f>
        <v>3</v>
      </c>
      <c r="M1203" s="54">
        <f>STOCK[[#This Row],[Precio Final]]*10%</f>
        <v>1.2</v>
      </c>
      <c r="N1203" s="54">
        <v>0</v>
      </c>
      <c r="O1203" s="54">
        <v>0</v>
      </c>
      <c r="P1203" s="54">
        <v>3.16</v>
      </c>
      <c r="Q1203" s="71">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53" t="s">
        <v>2526</v>
      </c>
      <c r="F1204" s="53" t="s">
        <v>525</v>
      </c>
      <c r="G1204" s="53" t="s">
        <v>36</v>
      </c>
      <c r="H1204" s="53">
        <f>STOCK[[#This Row],[Precio Final]]</f>
        <v>12</v>
      </c>
      <c r="I1204" s="53">
        <f>STOCK[[#This Row],[Precio Venta Ideal (x1.5)]]</f>
        <v>9.495</v>
      </c>
      <c r="J1204" s="70">
        <v>5</v>
      </c>
      <c r="K1204" s="70">
        <f>SUMIFS(VENTAS[Cantidad],VENTAS[Código del producto Vendido],STOCK[[#This Row],[Code]])</f>
        <v>1</v>
      </c>
      <c r="L1204" s="70">
        <f>STOCK[[#This Row],[Entradas]]-STOCK[[#This Row],[Salidas]]</f>
        <v>4</v>
      </c>
      <c r="M1204" s="53">
        <f>STOCK[[#This Row],[Precio Final]]*10%</f>
        <v>1.2</v>
      </c>
      <c r="N1204" s="53">
        <v>0</v>
      </c>
      <c r="O1204" s="53">
        <v>0</v>
      </c>
      <c r="P1204" s="53">
        <v>3.16</v>
      </c>
      <c r="Q1204" s="70">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54" t="s">
        <v>2528</v>
      </c>
      <c r="F1205" s="54" t="s">
        <v>62</v>
      </c>
      <c r="G1205" s="54" t="s">
        <v>36</v>
      </c>
      <c r="H1205" s="54">
        <f>STOCK[[#This Row],[Precio Final]]</f>
        <v>18</v>
      </c>
      <c r="I1205" s="54">
        <f>STOCK[[#This Row],[Precio Venta Ideal (x1.5)]]</f>
        <v>18.03</v>
      </c>
      <c r="J1205" s="71">
        <v>1</v>
      </c>
      <c r="K1205" s="71">
        <f>SUMIFS(VENTAS[Cantidad],VENTAS[Código del producto Vendido],STOCK[[#This Row],[Code]])</f>
        <v>1</v>
      </c>
      <c r="L1205" s="71">
        <f>STOCK[[#This Row],[Entradas]]-STOCK[[#This Row],[Salidas]]</f>
        <v>0</v>
      </c>
      <c r="M1205" s="54">
        <f>STOCK[[#This Row],[Precio Final]]*10%</f>
        <v>1.8</v>
      </c>
      <c r="N1205" s="54">
        <v>0</v>
      </c>
      <c r="O1205" s="54">
        <v>0</v>
      </c>
      <c r="P1205" s="54">
        <v>8.25</v>
      </c>
      <c r="Q1205" s="71">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53" t="s">
        <v>2528</v>
      </c>
      <c r="F1206" s="53" t="s">
        <v>49</v>
      </c>
      <c r="G1206" s="53" t="s">
        <v>36</v>
      </c>
      <c r="H1206" s="53">
        <f>STOCK[[#This Row],[Precio Final]]</f>
        <v>18</v>
      </c>
      <c r="I1206" s="53">
        <f>STOCK[[#This Row],[Precio Venta Ideal (x1.5)]]</f>
        <v>18.03</v>
      </c>
      <c r="J1206" s="70">
        <v>1</v>
      </c>
      <c r="K1206" s="70">
        <f>SUMIFS(VENTAS[Cantidad],VENTAS[Código del producto Vendido],STOCK[[#This Row],[Code]])</f>
        <v>1</v>
      </c>
      <c r="L1206" s="70">
        <f>STOCK[[#This Row],[Entradas]]-STOCK[[#This Row],[Salidas]]</f>
        <v>0</v>
      </c>
      <c r="M1206" s="53">
        <f>STOCK[[#This Row],[Precio Final]]*10%</f>
        <v>1.8</v>
      </c>
      <c r="N1206" s="53">
        <v>0</v>
      </c>
      <c r="O1206" s="53">
        <v>0</v>
      </c>
      <c r="P1206" s="53">
        <v>8.25</v>
      </c>
      <c r="Q1206" s="70">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54" t="s">
        <v>2528</v>
      </c>
      <c r="F1207" s="54" t="s">
        <v>46</v>
      </c>
      <c r="G1207" s="54" t="s">
        <v>36</v>
      </c>
      <c r="H1207" s="54">
        <f>STOCK[[#This Row],[Precio Final]]</f>
        <v>18</v>
      </c>
      <c r="I1207" s="54">
        <f>STOCK[[#This Row],[Precio Venta Ideal (x1.5)]]</f>
        <v>18.03</v>
      </c>
      <c r="J1207" s="71">
        <v>1</v>
      </c>
      <c r="K1207" s="71">
        <f>SUMIFS(VENTAS[Cantidad],VENTAS[Código del producto Vendido],STOCK[[#This Row],[Code]])</f>
        <v>1</v>
      </c>
      <c r="L1207" s="71">
        <f>STOCK[[#This Row],[Entradas]]-STOCK[[#This Row],[Salidas]]</f>
        <v>0</v>
      </c>
      <c r="M1207" s="54">
        <f>STOCK[[#This Row],[Precio Final]]*10%</f>
        <v>1.8</v>
      </c>
      <c r="N1207" s="54">
        <v>0</v>
      </c>
      <c r="O1207" s="54">
        <v>0</v>
      </c>
      <c r="P1207" s="54">
        <v>8.25</v>
      </c>
      <c r="Q1207" s="71">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53" t="s">
        <v>2532</v>
      </c>
      <c r="F1208" s="53" t="s">
        <v>62</v>
      </c>
      <c r="G1208" s="53" t="s">
        <v>36</v>
      </c>
      <c r="H1208" s="53">
        <f>STOCK[[#This Row],[Precio Final]]</f>
        <v>10</v>
      </c>
      <c r="I1208" s="53">
        <f>STOCK[[#This Row],[Precio Venta Ideal (x1.5)]]</f>
        <v>7.98</v>
      </c>
      <c r="J1208" s="70">
        <v>2</v>
      </c>
      <c r="K1208" s="70">
        <f>SUMIFS(VENTAS[Cantidad],VENTAS[Código del producto Vendido],STOCK[[#This Row],[Code]])</f>
        <v>0</v>
      </c>
      <c r="L1208" s="70">
        <f>STOCK[[#This Row],[Entradas]]-STOCK[[#This Row],[Salidas]]</f>
        <v>2</v>
      </c>
      <c r="M1208" s="53">
        <f>STOCK[[#This Row],[Precio Final]]*10%</f>
        <v>1</v>
      </c>
      <c r="N1208" s="53">
        <v>0</v>
      </c>
      <c r="O1208" s="53">
        <v>0</v>
      </c>
      <c r="P1208" s="53">
        <v>2.35</v>
      </c>
      <c r="Q1208" s="70">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54" t="s">
        <v>2532</v>
      </c>
      <c r="F1209" s="54" t="s">
        <v>49</v>
      </c>
      <c r="G1209" s="54" t="s">
        <v>36</v>
      </c>
      <c r="H1209" s="54">
        <f>STOCK[[#This Row],[Precio Final]]</f>
        <v>10</v>
      </c>
      <c r="I1209" s="54">
        <f>STOCK[[#This Row],[Precio Venta Ideal (x1.5)]]</f>
        <v>7.98</v>
      </c>
      <c r="J1209" s="71">
        <v>3</v>
      </c>
      <c r="K1209" s="71">
        <f>SUMIFS(VENTAS[Cantidad],VENTAS[Código del producto Vendido],STOCK[[#This Row],[Code]])</f>
        <v>3</v>
      </c>
      <c r="L1209" s="71">
        <f>STOCK[[#This Row],[Entradas]]-STOCK[[#This Row],[Salidas]]</f>
        <v>0</v>
      </c>
      <c r="M1209" s="54">
        <f>STOCK[[#This Row],[Precio Final]]*10%</f>
        <v>1</v>
      </c>
      <c r="N1209" s="54">
        <v>0</v>
      </c>
      <c r="O1209" s="54">
        <v>0</v>
      </c>
      <c r="P1209" s="54">
        <v>2.35</v>
      </c>
      <c r="Q1209" s="71">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53" t="s">
        <v>2532</v>
      </c>
      <c r="F1210" s="53" t="s">
        <v>46</v>
      </c>
      <c r="G1210" s="53" t="s">
        <v>36</v>
      </c>
      <c r="H1210" s="53">
        <f>STOCK[[#This Row],[Precio Final]]</f>
        <v>10</v>
      </c>
      <c r="I1210" s="53">
        <f>STOCK[[#This Row],[Precio Venta Ideal (x1.5)]]</f>
        <v>7.98</v>
      </c>
      <c r="J1210" s="70">
        <v>2</v>
      </c>
      <c r="K1210" s="70">
        <f>SUMIFS(VENTAS[Cantidad],VENTAS[Código del producto Vendido],STOCK[[#This Row],[Code]])</f>
        <v>1</v>
      </c>
      <c r="L1210" s="70">
        <f>STOCK[[#This Row],[Entradas]]-STOCK[[#This Row],[Salidas]]</f>
        <v>1</v>
      </c>
      <c r="M1210" s="53">
        <f>STOCK[[#This Row],[Precio Final]]*10%</f>
        <v>1</v>
      </c>
      <c r="N1210" s="53">
        <v>0</v>
      </c>
      <c r="O1210" s="53">
        <v>0</v>
      </c>
      <c r="P1210" s="53">
        <v>2.35</v>
      </c>
      <c r="Q1210" s="70">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54" t="s">
        <v>2536</v>
      </c>
      <c r="F1211" s="54" t="s">
        <v>62</v>
      </c>
      <c r="G1211" s="54" t="s">
        <v>36</v>
      </c>
      <c r="H1211" s="54">
        <f>STOCK[[#This Row],[Precio Final]]</f>
        <v>10</v>
      </c>
      <c r="I1211" s="54">
        <f>STOCK[[#This Row],[Precio Venta Ideal (x1.5)]]</f>
        <v>7.98</v>
      </c>
      <c r="J1211" s="71">
        <v>2</v>
      </c>
      <c r="K1211" s="71">
        <f>SUMIFS(VENTAS[Cantidad],VENTAS[Código del producto Vendido],STOCK[[#This Row],[Code]])</f>
        <v>1</v>
      </c>
      <c r="L1211" s="71">
        <f>STOCK[[#This Row],[Entradas]]-STOCK[[#This Row],[Salidas]]</f>
        <v>1</v>
      </c>
      <c r="M1211" s="54">
        <f>STOCK[[#This Row],[Precio Final]]*10%</f>
        <v>1</v>
      </c>
      <c r="N1211" s="54">
        <v>0</v>
      </c>
      <c r="O1211" s="54">
        <v>0</v>
      </c>
      <c r="P1211" s="54">
        <v>2.35</v>
      </c>
      <c r="Q1211" s="71">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53" t="s">
        <v>2536</v>
      </c>
      <c r="F1212" s="53" t="s">
        <v>49</v>
      </c>
      <c r="G1212" s="53" t="s">
        <v>36</v>
      </c>
      <c r="H1212" s="53">
        <f>STOCK[[#This Row],[Precio Final]]</f>
        <v>10</v>
      </c>
      <c r="I1212" s="53">
        <f>STOCK[[#This Row],[Precio Venta Ideal (x1.5)]]</f>
        <v>7.98</v>
      </c>
      <c r="J1212" s="70">
        <v>2</v>
      </c>
      <c r="K1212" s="70">
        <f>SUMIFS(VENTAS[Cantidad],VENTAS[Código del producto Vendido],STOCK[[#This Row],[Code]])</f>
        <v>2</v>
      </c>
      <c r="L1212" s="70">
        <f>STOCK[[#This Row],[Entradas]]-STOCK[[#This Row],[Salidas]]</f>
        <v>0</v>
      </c>
      <c r="M1212" s="53">
        <f>STOCK[[#This Row],[Precio Final]]*10%</f>
        <v>1</v>
      </c>
      <c r="N1212" s="53">
        <v>0</v>
      </c>
      <c r="O1212" s="53">
        <v>0</v>
      </c>
      <c r="P1212" s="53">
        <v>2.35</v>
      </c>
      <c r="Q1212" s="70">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54" t="s">
        <v>2536</v>
      </c>
      <c r="F1213" s="54" t="s">
        <v>46</v>
      </c>
      <c r="G1213" s="54" t="s">
        <v>36</v>
      </c>
      <c r="H1213" s="54">
        <f>STOCK[[#This Row],[Precio Final]]</f>
        <v>10</v>
      </c>
      <c r="I1213" s="54">
        <f>STOCK[[#This Row],[Precio Venta Ideal (x1.5)]]</f>
        <v>7.98</v>
      </c>
      <c r="J1213" s="71">
        <v>2</v>
      </c>
      <c r="K1213" s="71">
        <f>SUMIFS(VENTAS[Cantidad],VENTAS[Código del producto Vendido],STOCK[[#This Row],[Code]])</f>
        <v>2</v>
      </c>
      <c r="L1213" s="71">
        <f>STOCK[[#This Row],[Entradas]]-STOCK[[#This Row],[Salidas]]</f>
        <v>0</v>
      </c>
      <c r="M1213" s="54">
        <f>STOCK[[#This Row],[Precio Final]]*10%</f>
        <v>1</v>
      </c>
      <c r="N1213" s="54">
        <v>0</v>
      </c>
      <c r="O1213" s="54">
        <v>0</v>
      </c>
      <c r="P1213" s="54">
        <v>2.35</v>
      </c>
      <c r="Q1213" s="71">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53" t="s">
        <v>2540</v>
      </c>
      <c r="F1214" s="53" t="s">
        <v>46</v>
      </c>
      <c r="G1214" s="53" t="s">
        <v>36</v>
      </c>
      <c r="H1214" s="53">
        <f>STOCK[[#This Row],[Precio Final]]</f>
        <v>10</v>
      </c>
      <c r="I1214" s="53">
        <f>STOCK[[#This Row],[Precio Venta Ideal (x1.5)]]</f>
        <v>5.025</v>
      </c>
      <c r="J1214" s="70">
        <v>2</v>
      </c>
      <c r="K1214" s="70">
        <f>SUMIFS(VENTAS[Cantidad],VENTAS[Código del producto Vendido],STOCK[[#This Row],[Code]])</f>
        <v>2</v>
      </c>
      <c r="L1214" s="70">
        <f>STOCK[[#This Row],[Entradas]]-STOCK[[#This Row],[Salidas]]</f>
        <v>0</v>
      </c>
      <c r="M1214" s="53">
        <f>STOCK[[#This Row],[Precio Final]]*10%</f>
        <v>1</v>
      </c>
      <c r="N1214" s="53">
        <v>0</v>
      </c>
      <c r="O1214" s="53">
        <v>0</v>
      </c>
      <c r="P1214" s="54">
        <v>2.35</v>
      </c>
      <c r="Q1214" s="70">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53" t="s">
        <v>2540</v>
      </c>
      <c r="F1215" s="53" t="s">
        <v>62</v>
      </c>
      <c r="G1215" s="53" t="s">
        <v>36</v>
      </c>
      <c r="H1215" s="53">
        <f>STOCK[[#This Row],[Precio Final]]</f>
        <v>10</v>
      </c>
      <c r="I1215" s="53">
        <f>STOCK[[#This Row],[Precio Venta Ideal (x1.5)]]</f>
        <v>4</v>
      </c>
      <c r="J1215" s="70">
        <v>2</v>
      </c>
      <c r="K1215" s="70">
        <f>SUMIFS(VENTAS[Cantidad],VENTAS[Código del producto Vendido],STOCK[[#This Row],[Code]])</f>
        <v>0</v>
      </c>
      <c r="L1215" s="70">
        <f>STOCK[[#This Row],[Entradas]]-STOCK[[#This Row],[Salidas]]</f>
        <v>2</v>
      </c>
      <c r="M1215" s="53">
        <f>STOCK[[#This Row],[Precio Final]]*10%</f>
        <v>1</v>
      </c>
      <c r="N1215" s="53">
        <v>0</v>
      </c>
      <c r="O1215" s="53">
        <v>0</v>
      </c>
      <c r="P1215" s="54">
        <v>2.33</v>
      </c>
      <c r="Q1215" s="70">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54" t="s">
        <v>2540</v>
      </c>
      <c r="F1216" s="54" t="s">
        <v>49</v>
      </c>
      <c r="G1216" s="54" t="s">
        <v>36</v>
      </c>
      <c r="H1216" s="54">
        <f>STOCK[[#This Row],[Precio Final]]</f>
        <v>10</v>
      </c>
      <c r="I1216" s="54">
        <f>STOCK[[#This Row],[Precio Venta Ideal (x1.5)]]</f>
        <v>7.98</v>
      </c>
      <c r="J1216" s="71">
        <v>2</v>
      </c>
      <c r="K1216" s="71">
        <f>SUMIFS(VENTAS[Cantidad],VENTAS[Código del producto Vendido],STOCK[[#This Row],[Code]])</f>
        <v>2</v>
      </c>
      <c r="L1216" s="71">
        <f>STOCK[[#This Row],[Entradas]]-STOCK[[#This Row],[Salidas]]</f>
        <v>0</v>
      </c>
      <c r="M1216" s="54">
        <f>STOCK[[#This Row],[Precio Final]]*10%</f>
        <v>1</v>
      </c>
      <c r="N1216" s="54">
        <v>0</v>
      </c>
      <c r="O1216" s="54">
        <v>0</v>
      </c>
      <c r="P1216" s="54">
        <v>2.35</v>
      </c>
      <c r="Q1216" s="71">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53" t="s">
        <v>2544</v>
      </c>
      <c r="F1217" s="53" t="s">
        <v>62</v>
      </c>
      <c r="G1217" s="53" t="s">
        <v>36</v>
      </c>
      <c r="H1217" s="53">
        <f>STOCK[[#This Row],[Precio Final]]</f>
        <v>10</v>
      </c>
      <c r="I1217" s="53">
        <f>STOCK[[#This Row],[Precio Venta Ideal (x1.5)]]</f>
        <v>7.98</v>
      </c>
      <c r="J1217" s="70">
        <v>2</v>
      </c>
      <c r="K1217" s="70">
        <f>SUMIFS(VENTAS[Cantidad],VENTAS[Código del producto Vendido],STOCK[[#This Row],[Code]])</f>
        <v>0</v>
      </c>
      <c r="L1217" s="70">
        <f>STOCK[[#This Row],[Entradas]]-STOCK[[#This Row],[Salidas]]</f>
        <v>2</v>
      </c>
      <c r="M1217" s="53">
        <f>STOCK[[#This Row],[Precio Final]]*10%</f>
        <v>1</v>
      </c>
      <c r="N1217" s="53">
        <v>0</v>
      </c>
      <c r="O1217" s="53">
        <v>0</v>
      </c>
      <c r="P1217" s="53">
        <v>2.35</v>
      </c>
      <c r="Q1217" s="70">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54" t="s">
        <v>2544</v>
      </c>
      <c r="F1218" s="54" t="s">
        <v>49</v>
      </c>
      <c r="G1218" s="54" t="s">
        <v>36</v>
      </c>
      <c r="H1218" s="54">
        <f>STOCK[[#This Row],[Precio Final]]</f>
        <v>10</v>
      </c>
      <c r="I1218" s="54">
        <f>STOCK[[#This Row],[Precio Venta Ideal (x1.5)]]</f>
        <v>7.98</v>
      </c>
      <c r="J1218" s="71">
        <v>2</v>
      </c>
      <c r="K1218" s="71">
        <f>SUMIFS(VENTAS[Cantidad],VENTAS[Código del producto Vendido],STOCK[[#This Row],[Code]])</f>
        <v>2</v>
      </c>
      <c r="L1218" s="71">
        <f>STOCK[[#This Row],[Entradas]]-STOCK[[#This Row],[Salidas]]</f>
        <v>0</v>
      </c>
      <c r="M1218" s="54">
        <f>STOCK[[#This Row],[Precio Final]]*10%</f>
        <v>1</v>
      </c>
      <c r="N1218" s="54">
        <v>0</v>
      </c>
      <c r="O1218" s="54">
        <v>0</v>
      </c>
      <c r="P1218" s="54">
        <v>2.35</v>
      </c>
      <c r="Q1218" s="71">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53" t="s">
        <v>2544</v>
      </c>
      <c r="F1219" s="53" t="s">
        <v>46</v>
      </c>
      <c r="G1219" s="53" t="s">
        <v>36</v>
      </c>
      <c r="H1219" s="53">
        <f>STOCK[[#This Row],[Precio Final]]</f>
        <v>10</v>
      </c>
      <c r="I1219" s="53">
        <f>STOCK[[#This Row],[Precio Venta Ideal (x1.5)]]</f>
        <v>7.98</v>
      </c>
      <c r="J1219" s="70">
        <v>2</v>
      </c>
      <c r="K1219" s="70">
        <f>SUMIFS(VENTAS[Cantidad],VENTAS[Código del producto Vendido],STOCK[[#This Row],[Code]])</f>
        <v>3</v>
      </c>
      <c r="L1219" s="70">
        <f>STOCK[[#This Row],[Entradas]]-STOCK[[#This Row],[Salidas]]</f>
        <v>-1</v>
      </c>
      <c r="M1219" s="53">
        <f>STOCK[[#This Row],[Precio Final]]*10%</f>
        <v>1</v>
      </c>
      <c r="N1219" s="53">
        <v>0</v>
      </c>
      <c r="O1219" s="53">
        <v>0</v>
      </c>
      <c r="P1219" s="53">
        <v>2.35</v>
      </c>
      <c r="Q1219" s="70">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53" t="s">
        <v>2548</v>
      </c>
      <c r="F1220" s="53" t="s">
        <v>49</v>
      </c>
      <c r="G1220" s="53" t="s">
        <v>36</v>
      </c>
      <c r="H1220" s="53">
        <f>STOCK[[#This Row],[Precio Final]]</f>
        <v>10</v>
      </c>
      <c r="I1220" s="53">
        <f>STOCK[[#This Row],[Precio Venta Ideal (x1.5)]]</f>
        <v>6</v>
      </c>
      <c r="J1220" s="70">
        <v>2</v>
      </c>
      <c r="K1220" s="70">
        <f>SUMIFS(VENTAS[Cantidad],VENTAS[Código del producto Vendido],STOCK[[#This Row],[Code]])</f>
        <v>2</v>
      </c>
      <c r="L1220" s="70">
        <f>STOCK[[#This Row],[Entradas]]-STOCK[[#This Row],[Salidas]]</f>
        <v>0</v>
      </c>
      <c r="M1220" s="53">
        <f>STOCK[[#This Row],[Precio Final]]*10%</f>
        <v>1</v>
      </c>
      <c r="N1220" s="53">
        <v>0</v>
      </c>
      <c r="O1220" s="53">
        <v>0</v>
      </c>
      <c r="P1220" s="53">
        <v>2.35</v>
      </c>
      <c r="Q1220" s="70">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53" t="s">
        <v>2548</v>
      </c>
      <c r="F1221" s="53" t="s">
        <v>62</v>
      </c>
      <c r="G1221" s="53" t="s">
        <v>36</v>
      </c>
      <c r="H1221" s="53">
        <f>STOCK[[#This Row],[Precio Final]]</f>
        <v>10</v>
      </c>
      <c r="I1221" s="53">
        <f>STOCK[[#This Row],[Precio Venta Ideal (x1.5)]]</f>
        <v>6</v>
      </c>
      <c r="J1221" s="70">
        <v>2</v>
      </c>
      <c r="K1221" s="70">
        <f>SUMIFS(VENTAS[Cantidad],VENTAS[Código del producto Vendido],STOCK[[#This Row],[Code]])</f>
        <v>1</v>
      </c>
      <c r="L1221" s="70">
        <f>STOCK[[#This Row],[Entradas]]-STOCK[[#This Row],[Salidas]]</f>
        <v>1</v>
      </c>
      <c r="M1221" s="53">
        <f>STOCK[[#This Row],[Precio Final]]*10%</f>
        <v>1</v>
      </c>
      <c r="N1221" s="53">
        <v>0</v>
      </c>
      <c r="O1221" s="53">
        <v>0</v>
      </c>
      <c r="P1221" s="53">
        <v>2.35</v>
      </c>
      <c r="Q1221" s="70">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53" t="s">
        <v>2548</v>
      </c>
      <c r="F1222" s="53" t="s">
        <v>46</v>
      </c>
      <c r="G1222" s="53" t="s">
        <v>36</v>
      </c>
      <c r="H1222" s="53">
        <f>STOCK[[#This Row],[Precio Final]]</f>
        <v>10</v>
      </c>
      <c r="I1222" s="53">
        <f>STOCK[[#This Row],[Precio Venta Ideal (x1.5)]]</f>
        <v>6</v>
      </c>
      <c r="J1222" s="70">
        <v>2</v>
      </c>
      <c r="K1222" s="70">
        <f>SUMIFS(VENTAS[Cantidad],VENTAS[Código del producto Vendido],STOCK[[#This Row],[Code]])</f>
        <v>2</v>
      </c>
      <c r="L1222" s="70">
        <f>STOCK[[#This Row],[Entradas]]-STOCK[[#This Row],[Salidas]]</f>
        <v>0</v>
      </c>
      <c r="M1222" s="53">
        <f>STOCK[[#This Row],[Precio Final]]*10%</f>
        <v>1</v>
      </c>
      <c r="N1222" s="53">
        <v>0</v>
      </c>
      <c r="O1222" s="53">
        <v>0</v>
      </c>
      <c r="P1222" s="53">
        <v>2.35</v>
      </c>
      <c r="Q1222" s="70">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53" t="s">
        <v>2552</v>
      </c>
      <c r="F1223" s="53" t="s">
        <v>49</v>
      </c>
      <c r="G1223" s="53" t="s">
        <v>36</v>
      </c>
      <c r="H1223" s="53">
        <f>STOCK[[#This Row],[Precio Final]]</f>
        <v>10</v>
      </c>
      <c r="I1223" s="53">
        <f>STOCK[[#This Row],[Precio Venta Ideal (x1.5)]]</f>
        <v>6</v>
      </c>
      <c r="J1223" s="70">
        <v>2</v>
      </c>
      <c r="K1223" s="70">
        <f>SUMIFS(VENTAS[Cantidad],VENTAS[Código del producto Vendido],STOCK[[#This Row],[Code]])</f>
        <v>1</v>
      </c>
      <c r="L1223" s="70">
        <f>STOCK[[#This Row],[Entradas]]-STOCK[[#This Row],[Salidas]]</f>
        <v>1</v>
      </c>
      <c r="M1223" s="53">
        <f>STOCK[[#This Row],[Precio Final]]*10%</f>
        <v>1</v>
      </c>
      <c r="N1223" s="53">
        <v>0</v>
      </c>
      <c r="O1223" s="53">
        <v>0</v>
      </c>
      <c r="P1223" s="53">
        <v>2.35</v>
      </c>
      <c r="Q1223" s="70">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53" t="s">
        <v>2552</v>
      </c>
      <c r="F1224" s="53" t="s">
        <v>46</v>
      </c>
      <c r="G1224" s="53" t="s">
        <v>36</v>
      </c>
      <c r="H1224" s="53">
        <f>STOCK[[#This Row],[Precio Final]]</f>
        <v>10</v>
      </c>
      <c r="I1224" s="53">
        <f>STOCK[[#This Row],[Precio Venta Ideal (x1.5)]]</f>
        <v>6</v>
      </c>
      <c r="J1224" s="70">
        <v>2</v>
      </c>
      <c r="K1224" s="70">
        <f>SUMIFS(VENTAS[Cantidad],VENTAS[Código del producto Vendido],STOCK[[#This Row],[Code]])</f>
        <v>2</v>
      </c>
      <c r="L1224" s="70">
        <f>STOCK[[#This Row],[Entradas]]-STOCK[[#This Row],[Salidas]]</f>
        <v>0</v>
      </c>
      <c r="M1224" s="53">
        <f>STOCK[[#This Row],[Precio Final]]*10%</f>
        <v>1</v>
      </c>
      <c r="N1224" s="53">
        <v>0</v>
      </c>
      <c r="O1224" s="53">
        <v>0</v>
      </c>
      <c r="P1224" s="53">
        <v>2.35</v>
      </c>
      <c r="Q1224" s="70">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53" t="s">
        <v>2555</v>
      </c>
      <c r="F1225" s="53" t="s">
        <v>62</v>
      </c>
      <c r="G1225" s="53" t="s">
        <v>36</v>
      </c>
      <c r="H1225" s="53">
        <f>STOCK[[#This Row],[Precio Final]]</f>
        <v>10</v>
      </c>
      <c r="I1225" s="53">
        <f>STOCK[[#This Row],[Precio Venta Ideal (x1.5)]]</f>
        <v>6</v>
      </c>
      <c r="J1225" s="70">
        <v>2</v>
      </c>
      <c r="K1225" s="70">
        <f>SUMIFS(VENTAS[Cantidad],VENTAS[Código del producto Vendido],STOCK[[#This Row],[Code]])</f>
        <v>1</v>
      </c>
      <c r="L1225" s="70">
        <f>STOCK[[#This Row],[Entradas]]-STOCK[[#This Row],[Salidas]]</f>
        <v>1</v>
      </c>
      <c r="M1225" s="53">
        <f>STOCK[[#This Row],[Precio Final]]*10%</f>
        <v>1</v>
      </c>
      <c r="N1225" s="53">
        <v>0</v>
      </c>
      <c r="O1225" s="53">
        <v>0</v>
      </c>
      <c r="P1225" s="53">
        <v>2.35</v>
      </c>
      <c r="Q1225" s="70">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53" t="s">
        <v>2555</v>
      </c>
      <c r="F1226" s="53" t="s">
        <v>49</v>
      </c>
      <c r="G1226" s="53" t="s">
        <v>36</v>
      </c>
      <c r="H1226" s="53">
        <f>STOCK[[#This Row],[Precio Final]]</f>
        <v>10</v>
      </c>
      <c r="I1226" s="53">
        <f>STOCK[[#This Row],[Precio Venta Ideal (x1.5)]]</f>
        <v>6</v>
      </c>
      <c r="J1226" s="70">
        <v>2</v>
      </c>
      <c r="K1226" s="70">
        <f>SUMIFS(VENTAS[Cantidad],VENTAS[Código del producto Vendido],STOCK[[#This Row],[Code]])</f>
        <v>2</v>
      </c>
      <c r="L1226" s="70">
        <f>STOCK[[#This Row],[Entradas]]-STOCK[[#This Row],[Salidas]]</f>
        <v>0</v>
      </c>
      <c r="M1226" s="53">
        <f>STOCK[[#This Row],[Precio Final]]*10%</f>
        <v>1</v>
      </c>
      <c r="N1226" s="53">
        <v>0</v>
      </c>
      <c r="O1226" s="53">
        <v>0</v>
      </c>
      <c r="P1226" s="53">
        <v>2.35</v>
      </c>
      <c r="Q1226" s="70">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53" t="s">
        <v>2555</v>
      </c>
      <c r="F1227" s="53" t="s">
        <v>46</v>
      </c>
      <c r="G1227" s="53" t="s">
        <v>36</v>
      </c>
      <c r="H1227" s="53">
        <f>STOCK[[#This Row],[Precio Final]]</f>
        <v>10</v>
      </c>
      <c r="I1227" s="53">
        <f>STOCK[[#This Row],[Precio Venta Ideal (x1.5)]]</f>
        <v>6</v>
      </c>
      <c r="J1227" s="70">
        <v>2</v>
      </c>
      <c r="K1227" s="70">
        <f>SUMIFS(VENTAS[Cantidad],VENTAS[Código del producto Vendido],STOCK[[#This Row],[Code]])</f>
        <v>2</v>
      </c>
      <c r="L1227" s="70">
        <f>STOCK[[#This Row],[Entradas]]-STOCK[[#This Row],[Salidas]]</f>
        <v>0</v>
      </c>
      <c r="M1227" s="53">
        <f>STOCK[[#This Row],[Precio Final]]*10%</f>
        <v>1</v>
      </c>
      <c r="N1227" s="53">
        <v>0</v>
      </c>
      <c r="O1227" s="53">
        <v>0</v>
      </c>
      <c r="P1227" s="53">
        <v>2.35</v>
      </c>
      <c r="Q1227" s="70">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54" t="s">
        <v>2552</v>
      </c>
      <c r="F1228" s="54" t="s">
        <v>62</v>
      </c>
      <c r="G1228" s="53" t="s">
        <v>36</v>
      </c>
      <c r="H1228" s="54">
        <f>STOCK[[#This Row],[Precio Final]]</f>
        <v>10</v>
      </c>
      <c r="I1228" s="54">
        <f>STOCK[[#This Row],[Precio Venta Ideal (x1.5)]]</f>
        <v>7.98</v>
      </c>
      <c r="J1228" s="71">
        <v>2</v>
      </c>
      <c r="K1228" s="71">
        <f>SUMIFS(VENTAS[Cantidad],VENTAS[Código del producto Vendido],STOCK[[#This Row],[Code]])</f>
        <v>2</v>
      </c>
      <c r="L1228" s="71">
        <f>STOCK[[#This Row],[Entradas]]-STOCK[[#This Row],[Salidas]]</f>
        <v>0</v>
      </c>
      <c r="M1228" s="54">
        <f>STOCK[[#This Row],[Precio Final]]*10%</f>
        <v>1</v>
      </c>
      <c r="N1228" s="54">
        <v>0</v>
      </c>
      <c r="O1228" s="54">
        <v>0</v>
      </c>
      <c r="P1228" s="54">
        <v>2.35</v>
      </c>
      <c r="Q1228" s="71">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53" t="s">
        <v>2560</v>
      </c>
      <c r="F1229" s="53" t="s">
        <v>49</v>
      </c>
      <c r="G1229" s="53" t="s">
        <v>1876</v>
      </c>
      <c r="H1229" s="53">
        <f>STOCK[[#This Row],[Precio Final]]</f>
        <v>35</v>
      </c>
      <c r="I1229" s="53">
        <f>STOCK[[#This Row],[Precio Venta Ideal (x1.5)]]</f>
        <v>32.64</v>
      </c>
      <c r="J1229" s="70">
        <v>2</v>
      </c>
      <c r="K1229" s="70">
        <f>SUMIFS(VENTAS[Cantidad],VENTAS[Código del producto Vendido],STOCK[[#This Row],[Code]])</f>
        <v>2</v>
      </c>
      <c r="L1229" s="70">
        <f>STOCK[[#This Row],[Entradas]]-STOCK[[#This Row],[Salidas]]</f>
        <v>0</v>
      </c>
      <c r="M1229" s="53">
        <f>STOCK[[#This Row],[Precio Final]]*10%</f>
        <v>3.5</v>
      </c>
      <c r="N1229" s="53">
        <v>0</v>
      </c>
      <c r="O1229" s="53">
        <v>0</v>
      </c>
      <c r="P1229" s="53">
        <v>16.29</v>
      </c>
      <c r="Q1229" s="70">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54" t="s">
        <v>2562</v>
      </c>
      <c r="F1230" s="54" t="s">
        <v>2563</v>
      </c>
      <c r="G1230" s="54" t="s">
        <v>1876</v>
      </c>
      <c r="H1230" s="54">
        <f>STOCK[[#This Row],[Precio Final]]</f>
        <v>15</v>
      </c>
      <c r="I1230" s="54">
        <f>STOCK[[#This Row],[Precio Venta Ideal (x1.5)]]</f>
        <v>11.79</v>
      </c>
      <c r="J1230" s="71">
        <v>5</v>
      </c>
      <c r="K1230" s="71">
        <f>SUMIFS(VENTAS[Cantidad],VENTAS[Código del producto Vendido],STOCK[[#This Row],[Code]])</f>
        <v>3</v>
      </c>
      <c r="L1230" s="71">
        <f>STOCK[[#This Row],[Entradas]]-STOCK[[#This Row],[Salidas]]</f>
        <v>2</v>
      </c>
      <c r="M1230" s="54">
        <f>STOCK[[#This Row],[Precio Final]]*10%</f>
        <v>1.5</v>
      </c>
      <c r="N1230" s="54">
        <v>0</v>
      </c>
      <c r="O1230" s="54">
        <v>0</v>
      </c>
      <c r="P1230" s="54">
        <v>4.39</v>
      </c>
      <c r="Q1230" s="71">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53" t="s">
        <v>2565</v>
      </c>
      <c r="F1231" s="53" t="s">
        <v>46</v>
      </c>
      <c r="G1231" s="53" t="s">
        <v>1876</v>
      </c>
      <c r="H1231" s="53">
        <f>STOCK[[#This Row],[Precio Final]]</f>
        <v>17</v>
      </c>
      <c r="I1231" s="53">
        <f>STOCK[[#This Row],[Precio Venta Ideal (x1.5)]]</f>
        <v>19.725</v>
      </c>
      <c r="J1231" s="70">
        <v>2</v>
      </c>
      <c r="K1231" s="70">
        <f>SUMIFS(VENTAS[Cantidad],VENTAS[Código del producto Vendido],STOCK[[#This Row],[Code]])</f>
        <v>2</v>
      </c>
      <c r="L1231" s="70">
        <f>STOCK[[#This Row],[Entradas]]-STOCK[[#This Row],[Salidas]]</f>
        <v>0</v>
      </c>
      <c r="M1231" s="53">
        <f>STOCK[[#This Row],[Precio Final]]*10%</f>
        <v>1.7</v>
      </c>
      <c r="N1231" s="53">
        <v>0</v>
      </c>
      <c r="O1231" s="53">
        <v>0</v>
      </c>
      <c r="P1231" s="53">
        <v>9.48</v>
      </c>
      <c r="Q1231" s="70">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54" t="s">
        <v>2565</v>
      </c>
      <c r="F1232" s="54" t="s">
        <v>62</v>
      </c>
      <c r="G1232" s="54" t="s">
        <v>1876</v>
      </c>
      <c r="H1232" s="54">
        <f>STOCK[[#This Row],[Precio Final]]</f>
        <v>17</v>
      </c>
      <c r="I1232" s="54">
        <f>STOCK[[#This Row],[Precio Venta Ideal (x1.5)]]</f>
        <v>19.725</v>
      </c>
      <c r="J1232" s="71">
        <v>2</v>
      </c>
      <c r="K1232" s="71">
        <f>SUMIFS(VENTAS[Cantidad],VENTAS[Código del producto Vendido],STOCK[[#This Row],[Code]])</f>
        <v>1</v>
      </c>
      <c r="L1232" s="71">
        <f>STOCK[[#This Row],[Entradas]]-STOCK[[#This Row],[Salidas]]</f>
        <v>1</v>
      </c>
      <c r="M1232" s="54">
        <f>STOCK[[#This Row],[Precio Final]]*10%</f>
        <v>1.7</v>
      </c>
      <c r="N1232" s="54">
        <v>0</v>
      </c>
      <c r="O1232" s="54">
        <v>0</v>
      </c>
      <c r="P1232" s="54">
        <v>9.48</v>
      </c>
      <c r="Q1232" s="71">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53" t="s">
        <v>2565</v>
      </c>
      <c r="F1233" s="53" t="s">
        <v>49</v>
      </c>
      <c r="G1233" s="53" t="s">
        <v>1876</v>
      </c>
      <c r="H1233" s="53">
        <f>STOCK[[#This Row],[Precio Final]]</f>
        <v>17</v>
      </c>
      <c r="I1233" s="53">
        <f>STOCK[[#This Row],[Precio Venta Ideal (x1.5)]]</f>
        <v>19.725</v>
      </c>
      <c r="J1233" s="70">
        <v>2</v>
      </c>
      <c r="K1233" s="70">
        <f>SUMIFS(VENTAS[Cantidad],VENTAS[Código del producto Vendido],STOCK[[#This Row],[Code]])</f>
        <v>2</v>
      </c>
      <c r="L1233" s="70">
        <f>STOCK[[#This Row],[Entradas]]-STOCK[[#This Row],[Salidas]]</f>
        <v>0</v>
      </c>
      <c r="M1233" s="53">
        <f>STOCK[[#This Row],[Precio Final]]*10%</f>
        <v>1.7</v>
      </c>
      <c r="N1233" s="53">
        <v>0</v>
      </c>
      <c r="O1233" s="53">
        <v>0</v>
      </c>
      <c r="P1233" s="53">
        <v>9.48</v>
      </c>
      <c r="Q1233" s="70">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54" t="s">
        <v>2570</v>
      </c>
      <c r="F1234" s="54" t="s">
        <v>49</v>
      </c>
      <c r="G1234" s="54" t="s">
        <v>1876</v>
      </c>
      <c r="H1234" s="54">
        <f>STOCK[[#This Row],[Precio Final]]</f>
        <v>25</v>
      </c>
      <c r="I1234" s="54">
        <f>STOCK[[#This Row],[Precio Venta Ideal (x1.5)]]</f>
        <v>23.49</v>
      </c>
      <c r="J1234" s="71">
        <v>1</v>
      </c>
      <c r="K1234" s="71">
        <f>SUMIFS(VENTAS[Cantidad],VENTAS[Código del producto Vendido],STOCK[[#This Row],[Code]])</f>
        <v>0</v>
      </c>
      <c r="L1234" s="71">
        <f>STOCK[[#This Row],[Entradas]]-STOCK[[#This Row],[Salidas]]</f>
        <v>1</v>
      </c>
      <c r="M1234" s="54">
        <f>STOCK[[#This Row],[Precio Final]]*10%</f>
        <v>2.5</v>
      </c>
      <c r="N1234" s="54">
        <v>0</v>
      </c>
      <c r="O1234" s="54">
        <v>0</v>
      </c>
      <c r="P1234" s="54">
        <v>11.19</v>
      </c>
      <c r="Q1234" s="71">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53" t="s">
        <v>2570</v>
      </c>
      <c r="F1235" s="53" t="s">
        <v>62</v>
      </c>
      <c r="G1235" s="53" t="s">
        <v>1876</v>
      </c>
      <c r="H1235" s="53">
        <f>STOCK[[#This Row],[Precio Final]]</f>
        <v>25</v>
      </c>
      <c r="I1235" s="53">
        <f>STOCK[[#This Row],[Precio Venta Ideal (x1.5)]]</f>
        <v>23.49</v>
      </c>
      <c r="J1235" s="70">
        <v>1</v>
      </c>
      <c r="K1235" s="70">
        <f>SUMIFS(VENTAS[Cantidad],VENTAS[Código del producto Vendido],STOCK[[#This Row],[Code]])</f>
        <v>0</v>
      </c>
      <c r="L1235" s="70">
        <f>STOCK[[#This Row],[Entradas]]-STOCK[[#This Row],[Salidas]]</f>
        <v>1</v>
      </c>
      <c r="M1235" s="53">
        <f>STOCK[[#This Row],[Precio Final]]*10%</f>
        <v>2.5</v>
      </c>
      <c r="N1235" s="53">
        <v>0</v>
      </c>
      <c r="O1235" s="53">
        <v>0</v>
      </c>
      <c r="P1235" s="53">
        <v>11.19</v>
      </c>
      <c r="Q1235" s="70">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54" t="s">
        <v>2573</v>
      </c>
      <c r="F1236" s="54" t="s">
        <v>525</v>
      </c>
      <c r="G1236" s="54" t="s">
        <v>1876</v>
      </c>
      <c r="H1236" s="54">
        <f>STOCK[[#This Row],[Precio Final]]</f>
        <v>18</v>
      </c>
      <c r="I1236" s="54">
        <f>STOCK[[#This Row],[Precio Venta Ideal (x1.5)]]</f>
        <v>13.2</v>
      </c>
      <c r="J1236" s="71">
        <v>2</v>
      </c>
      <c r="K1236" s="71">
        <f>SUMIFS(VENTAS[Cantidad],VENTAS[Código del producto Vendido],STOCK[[#This Row],[Code]])</f>
        <v>0</v>
      </c>
      <c r="L1236" s="71">
        <f>STOCK[[#This Row],[Entradas]]-STOCK[[#This Row],[Salidas]]</f>
        <v>2</v>
      </c>
      <c r="M1236" s="54">
        <f>STOCK[[#This Row],[Precio Final]]*10%</f>
        <v>1.8</v>
      </c>
      <c r="N1236" s="54">
        <v>0</v>
      </c>
      <c r="O1236" s="54">
        <v>0</v>
      </c>
      <c r="P1236" s="54">
        <v>5.03</v>
      </c>
      <c r="Q1236" s="71">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53" t="s">
        <v>2575</v>
      </c>
      <c r="F1237" s="53" t="s">
        <v>62</v>
      </c>
      <c r="G1237" s="53" t="s">
        <v>1876</v>
      </c>
      <c r="H1237" s="53">
        <f>STOCK[[#This Row],[Precio Final]]</f>
        <v>30</v>
      </c>
      <c r="I1237" s="53">
        <f>STOCK[[#This Row],[Precio Venta Ideal (x1.5)]]</f>
        <v>24.99</v>
      </c>
      <c r="J1237" s="70">
        <v>1</v>
      </c>
      <c r="K1237" s="70">
        <f>SUMIFS(VENTAS[Cantidad],VENTAS[Código del producto Vendido],STOCK[[#This Row],[Code]])</f>
        <v>1</v>
      </c>
      <c r="L1237" s="70">
        <f>STOCK[[#This Row],[Entradas]]-STOCK[[#This Row],[Salidas]]</f>
        <v>0</v>
      </c>
      <c r="M1237" s="53">
        <f>STOCK[[#This Row],[Precio Final]]*10%</f>
        <v>3</v>
      </c>
      <c r="N1237" s="53">
        <v>0</v>
      </c>
      <c r="O1237" s="53">
        <v>0</v>
      </c>
      <c r="P1237" s="53">
        <v>11.69</v>
      </c>
      <c r="Q1237" s="70">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54" t="s">
        <v>2575</v>
      </c>
      <c r="F1238" s="54" t="s">
        <v>46</v>
      </c>
      <c r="G1238" s="54" t="s">
        <v>1876</v>
      </c>
      <c r="H1238" s="54">
        <f>STOCK[[#This Row],[Precio Final]]</f>
        <v>30</v>
      </c>
      <c r="I1238" s="54">
        <f>STOCK[[#This Row],[Precio Venta Ideal (x1.5)]]</f>
        <v>24.99</v>
      </c>
      <c r="J1238" s="71">
        <v>2</v>
      </c>
      <c r="K1238" s="71">
        <f>SUMIFS(VENTAS[Cantidad],VENTAS[Código del producto Vendido],STOCK[[#This Row],[Code]])</f>
        <v>2</v>
      </c>
      <c r="L1238" s="71">
        <f>STOCK[[#This Row],[Entradas]]-STOCK[[#This Row],[Salidas]]</f>
        <v>0</v>
      </c>
      <c r="M1238" s="54">
        <f>STOCK[[#This Row],[Precio Final]]*10%</f>
        <v>3</v>
      </c>
      <c r="N1238" s="54">
        <v>0</v>
      </c>
      <c r="O1238" s="54">
        <v>0</v>
      </c>
      <c r="P1238" s="54">
        <v>11.69</v>
      </c>
      <c r="Q1238" s="71">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53" t="s">
        <v>2575</v>
      </c>
      <c r="F1239" s="53" t="s">
        <v>46</v>
      </c>
      <c r="G1239" s="53" t="s">
        <v>1876</v>
      </c>
      <c r="H1239" s="53">
        <f>STOCK[[#This Row],[Precio Final]]</f>
        <v>30</v>
      </c>
      <c r="I1239" s="53">
        <f>STOCK[[#This Row],[Precio Venta Ideal (x1.5)]]</f>
        <v>24.99</v>
      </c>
      <c r="J1239" s="70">
        <v>1</v>
      </c>
      <c r="K1239" s="70">
        <f>SUMIFS(VENTAS[Cantidad],VENTAS[Código del producto Vendido],STOCK[[#This Row],[Code]])</f>
        <v>1</v>
      </c>
      <c r="L1239" s="70">
        <f>STOCK[[#This Row],[Entradas]]-STOCK[[#This Row],[Salidas]]</f>
        <v>0</v>
      </c>
      <c r="M1239" s="53">
        <f>STOCK[[#This Row],[Precio Final]]*10%</f>
        <v>3</v>
      </c>
      <c r="N1239" s="53">
        <v>0</v>
      </c>
      <c r="O1239" s="53">
        <v>0</v>
      </c>
      <c r="P1239" s="53">
        <v>11.69</v>
      </c>
      <c r="Q1239" s="70">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54" t="s">
        <v>2575</v>
      </c>
      <c r="F1240" s="54" t="s">
        <v>281</v>
      </c>
      <c r="G1240" s="54" t="s">
        <v>1876</v>
      </c>
      <c r="H1240" s="54">
        <f>STOCK[[#This Row],[Precio Final]]</f>
        <v>30</v>
      </c>
      <c r="I1240" s="54">
        <f>STOCK[[#This Row],[Precio Venta Ideal (x1.5)]]</f>
        <v>24.99</v>
      </c>
      <c r="J1240" s="71">
        <v>1</v>
      </c>
      <c r="K1240" s="71">
        <f>SUMIFS(VENTAS[Cantidad],VENTAS[Código del producto Vendido],STOCK[[#This Row],[Code]])</f>
        <v>1</v>
      </c>
      <c r="L1240" s="71">
        <f>STOCK[[#This Row],[Entradas]]-STOCK[[#This Row],[Salidas]]</f>
        <v>0</v>
      </c>
      <c r="M1240" s="54">
        <f>STOCK[[#This Row],[Precio Final]]*10%</f>
        <v>3</v>
      </c>
      <c r="N1240" s="54">
        <v>0</v>
      </c>
      <c r="O1240" s="54">
        <v>0</v>
      </c>
      <c r="P1240" s="54">
        <v>11.69</v>
      </c>
      <c r="Q1240" s="71">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53" t="s">
        <v>2580</v>
      </c>
      <c r="F1241" s="53" t="s">
        <v>62</v>
      </c>
      <c r="H1241" s="53">
        <f>STOCK[[#This Row],[Precio Final]]</f>
        <v>25</v>
      </c>
      <c r="I1241" s="53">
        <f>STOCK[[#This Row],[Precio Venta Ideal (x1.5)]]</f>
        <v>23.16</v>
      </c>
      <c r="J1241" s="70">
        <v>1</v>
      </c>
      <c r="K1241" s="70">
        <f>SUMIFS(VENTAS[Cantidad],VENTAS[Código del producto Vendido],STOCK[[#This Row],[Code]])</f>
        <v>1</v>
      </c>
      <c r="L1241" s="70">
        <f>STOCK[[#This Row],[Entradas]]-STOCK[[#This Row],[Salidas]]</f>
        <v>0</v>
      </c>
      <c r="M1241" s="53">
        <f>STOCK[[#This Row],[Precio Final]]*10%</f>
        <v>2.5</v>
      </c>
      <c r="N1241" s="53">
        <v>0</v>
      </c>
      <c r="O1241" s="53">
        <v>0</v>
      </c>
      <c r="P1241" s="53">
        <v>10.97</v>
      </c>
      <c r="Q1241" s="70">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54" t="s">
        <v>2580</v>
      </c>
      <c r="F1242" s="54" t="s">
        <v>49</v>
      </c>
      <c r="H1242" s="54">
        <f>STOCK[[#This Row],[Precio Final]]</f>
        <v>25</v>
      </c>
      <c r="I1242" s="54">
        <f>STOCK[[#This Row],[Precio Venta Ideal (x1.5)]]</f>
        <v>23.16</v>
      </c>
      <c r="J1242" s="71">
        <v>1</v>
      </c>
      <c r="K1242" s="71">
        <f>SUMIFS(VENTAS[Cantidad],VENTAS[Código del producto Vendido],STOCK[[#This Row],[Code]])</f>
        <v>1</v>
      </c>
      <c r="L1242" s="71">
        <f>STOCK[[#This Row],[Entradas]]-STOCK[[#This Row],[Salidas]]</f>
        <v>0</v>
      </c>
      <c r="M1242" s="54">
        <f>STOCK[[#This Row],[Precio Final]]*10%</f>
        <v>2.5</v>
      </c>
      <c r="N1242" s="54">
        <v>0</v>
      </c>
      <c r="O1242" s="54">
        <v>0</v>
      </c>
      <c r="P1242" s="54">
        <v>10.97</v>
      </c>
      <c r="Q1242" s="71">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53" t="s">
        <v>2580</v>
      </c>
      <c r="F1243" s="53" t="s">
        <v>46</v>
      </c>
      <c r="H1243" s="53">
        <f>STOCK[[#This Row],[Precio Final]]</f>
        <v>25</v>
      </c>
      <c r="I1243" s="53">
        <f>STOCK[[#This Row],[Precio Venta Ideal (x1.5)]]</f>
        <v>23.16</v>
      </c>
      <c r="J1243" s="70">
        <v>1</v>
      </c>
      <c r="K1243" s="70">
        <f>SUMIFS(VENTAS[Cantidad],VENTAS[Código del producto Vendido],STOCK[[#This Row],[Code]])</f>
        <v>1</v>
      </c>
      <c r="L1243" s="70">
        <f>STOCK[[#This Row],[Entradas]]-STOCK[[#This Row],[Salidas]]</f>
        <v>0</v>
      </c>
      <c r="M1243" s="53">
        <f>STOCK[[#This Row],[Precio Final]]*10%</f>
        <v>2.5</v>
      </c>
      <c r="N1243" s="53">
        <v>0</v>
      </c>
      <c r="O1243" s="53">
        <v>0</v>
      </c>
      <c r="P1243" s="53">
        <v>10.97</v>
      </c>
      <c r="Q1243" s="70">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54" t="s">
        <v>2584</v>
      </c>
      <c r="F1244" s="54" t="s">
        <v>62</v>
      </c>
      <c r="H1244" s="54">
        <f>STOCK[[#This Row],[Precio Final]]</f>
        <v>30</v>
      </c>
      <c r="I1244" s="54">
        <f>STOCK[[#This Row],[Precio Venta Ideal (x1.5)]]</f>
        <v>18.96</v>
      </c>
      <c r="J1244" s="71">
        <v>1</v>
      </c>
      <c r="K1244" s="71">
        <f>SUMIFS(VENTAS[Cantidad],VENTAS[Código del producto Vendido],STOCK[[#This Row],[Code]])</f>
        <v>1</v>
      </c>
      <c r="L1244" s="71">
        <f>STOCK[[#This Row],[Entradas]]-STOCK[[#This Row],[Salidas]]</f>
        <v>0</v>
      </c>
      <c r="M1244" s="54">
        <f>STOCK[[#This Row],[Precio Final]]*10%</f>
        <v>3</v>
      </c>
      <c r="N1244" s="54">
        <v>0</v>
      </c>
      <c r="O1244" s="54">
        <v>0</v>
      </c>
      <c r="P1244" s="54">
        <v>7.67</v>
      </c>
      <c r="Q1244" s="71">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53" t="s">
        <v>2231</v>
      </c>
      <c r="F1245" s="53" t="s">
        <v>46</v>
      </c>
      <c r="H1245" s="53">
        <f>STOCK[[#This Row],[Precio Final]]</f>
        <v>30</v>
      </c>
      <c r="I1245" s="53">
        <f>STOCK[[#This Row],[Precio Venta Ideal (x1.5)]]</f>
        <v>27.66</v>
      </c>
      <c r="J1245" s="70">
        <v>2</v>
      </c>
      <c r="K1245" s="70">
        <f>SUMIFS(VENTAS[Cantidad],VENTAS[Código del producto Vendido],STOCK[[#This Row],[Code]])</f>
        <v>1</v>
      </c>
      <c r="L1245" s="70">
        <f>STOCK[[#This Row],[Entradas]]-STOCK[[#This Row],[Salidas]]</f>
        <v>1</v>
      </c>
      <c r="M1245" s="53">
        <f>STOCK[[#This Row],[Precio Final]]*10%</f>
        <v>3</v>
      </c>
      <c r="N1245" s="53">
        <v>0</v>
      </c>
      <c r="O1245" s="53">
        <v>0</v>
      </c>
      <c r="P1245" s="53">
        <v>13.47</v>
      </c>
      <c r="Q1245" s="70">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54" t="s">
        <v>2231</v>
      </c>
      <c r="F1246" s="54" t="s">
        <v>49</v>
      </c>
      <c r="H1246" s="54">
        <f>STOCK[[#This Row],[Precio Final]]</f>
        <v>30</v>
      </c>
      <c r="I1246" s="54">
        <f>STOCK[[#This Row],[Precio Venta Ideal (x1.5)]]</f>
        <v>27.66</v>
      </c>
      <c r="J1246" s="71">
        <v>2</v>
      </c>
      <c r="K1246" s="71">
        <f>SUMIFS(VENTAS[Cantidad],VENTAS[Código del producto Vendido],STOCK[[#This Row],[Code]])</f>
        <v>2</v>
      </c>
      <c r="L1246" s="71">
        <f>STOCK[[#This Row],[Entradas]]-STOCK[[#This Row],[Salidas]]</f>
        <v>0</v>
      </c>
      <c r="M1246" s="54">
        <f>STOCK[[#This Row],[Precio Final]]*10%</f>
        <v>3</v>
      </c>
      <c r="N1246" s="54">
        <v>0</v>
      </c>
      <c r="O1246" s="54">
        <v>0</v>
      </c>
      <c r="P1246" s="54">
        <v>13.47</v>
      </c>
      <c r="Q1246" s="71">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53" t="s">
        <v>2234</v>
      </c>
      <c r="F1247" s="53" t="s">
        <v>49</v>
      </c>
      <c r="H1247" s="53">
        <f>STOCK[[#This Row],[Precio Final]]</f>
        <v>30</v>
      </c>
      <c r="I1247" s="53">
        <f>STOCK[[#This Row],[Precio Venta Ideal (x1.5)]]</f>
        <v>27.66</v>
      </c>
      <c r="J1247" s="70">
        <v>2</v>
      </c>
      <c r="K1247" s="70">
        <f>SUMIFS(VENTAS[Cantidad],VENTAS[Código del producto Vendido],STOCK[[#This Row],[Code]])</f>
        <v>2</v>
      </c>
      <c r="L1247" s="70">
        <f>STOCK[[#This Row],[Entradas]]-STOCK[[#This Row],[Salidas]]</f>
        <v>0</v>
      </c>
      <c r="M1247" s="53">
        <f>STOCK[[#This Row],[Precio Final]]*10%</f>
        <v>3</v>
      </c>
      <c r="N1247" s="53">
        <v>0</v>
      </c>
      <c r="O1247" s="53">
        <v>0</v>
      </c>
      <c r="P1247" s="53">
        <v>13.47</v>
      </c>
      <c r="Q1247" s="70">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54" t="s">
        <v>2234</v>
      </c>
      <c r="F1248" s="54" t="s">
        <v>46</v>
      </c>
      <c r="H1248" s="54">
        <f>STOCK[[#This Row],[Precio Final]]</f>
        <v>30</v>
      </c>
      <c r="I1248" s="54">
        <f>STOCK[[#This Row],[Precio Venta Ideal (x1.5)]]</f>
        <v>27.66</v>
      </c>
      <c r="J1248" s="71">
        <v>2</v>
      </c>
      <c r="K1248" s="71">
        <f>SUMIFS(VENTAS[Cantidad],VENTAS[Código del producto Vendido],STOCK[[#This Row],[Code]])</f>
        <v>2</v>
      </c>
      <c r="L1248" s="71">
        <f>STOCK[[#This Row],[Entradas]]-STOCK[[#This Row],[Salidas]]</f>
        <v>0</v>
      </c>
      <c r="M1248" s="54">
        <f>STOCK[[#This Row],[Precio Final]]*10%</f>
        <v>3</v>
      </c>
      <c r="N1248" s="54">
        <v>0</v>
      </c>
      <c r="O1248" s="54">
        <v>0</v>
      </c>
      <c r="P1248" s="54">
        <v>13.47</v>
      </c>
      <c r="Q1248" s="71">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53" t="s">
        <v>2590</v>
      </c>
      <c r="F1249" s="53" t="s">
        <v>62</v>
      </c>
      <c r="H1249" s="53">
        <f>STOCK[[#This Row],[Precio Final]]</f>
        <v>30</v>
      </c>
      <c r="I1249" s="53">
        <f>STOCK[[#This Row],[Precio Venta Ideal (x1.5)]]</f>
        <v>25.53</v>
      </c>
      <c r="J1249" s="70">
        <v>1</v>
      </c>
      <c r="K1249" s="70">
        <f>SUMIFS(VENTAS[Cantidad],VENTAS[Código del producto Vendido],STOCK[[#This Row],[Code]])</f>
        <v>1</v>
      </c>
      <c r="L1249" s="70">
        <f>STOCK[[#This Row],[Entradas]]-STOCK[[#This Row],[Salidas]]</f>
        <v>0</v>
      </c>
      <c r="M1249" s="53">
        <f>STOCK[[#This Row],[Precio Final]]*10%</f>
        <v>3</v>
      </c>
      <c r="N1249" s="53">
        <v>0</v>
      </c>
      <c r="O1249" s="53">
        <v>0</v>
      </c>
      <c r="P1249" s="53">
        <v>12.05</v>
      </c>
      <c r="Q1249" s="70">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54" t="s">
        <v>2590</v>
      </c>
      <c r="F1250" s="54" t="s">
        <v>49</v>
      </c>
      <c r="H1250" s="54">
        <f>STOCK[[#This Row],[Precio Final]]</f>
        <v>30</v>
      </c>
      <c r="I1250" s="54">
        <f>STOCK[[#This Row],[Precio Venta Ideal (x1.5)]]</f>
        <v>25.53</v>
      </c>
      <c r="J1250" s="71">
        <v>1</v>
      </c>
      <c r="K1250" s="71">
        <f>SUMIFS(VENTAS[Cantidad],VENTAS[Código del producto Vendido],STOCK[[#This Row],[Code]])</f>
        <v>1</v>
      </c>
      <c r="L1250" s="71">
        <f>STOCK[[#This Row],[Entradas]]-STOCK[[#This Row],[Salidas]]</f>
        <v>0</v>
      </c>
      <c r="M1250" s="54">
        <f>STOCK[[#This Row],[Precio Final]]*10%</f>
        <v>3</v>
      </c>
      <c r="N1250" s="54">
        <v>0</v>
      </c>
      <c r="O1250" s="54">
        <v>0</v>
      </c>
      <c r="P1250" s="54">
        <v>12.05</v>
      </c>
      <c r="Q1250" s="71">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53" t="s">
        <v>2590</v>
      </c>
      <c r="F1251" s="53" t="s">
        <v>46</v>
      </c>
      <c r="H1251" s="53">
        <f>STOCK[[#This Row],[Precio Final]]</f>
        <v>30</v>
      </c>
      <c r="I1251" s="53">
        <f>STOCK[[#This Row],[Precio Venta Ideal (x1.5)]]</f>
        <v>25.53</v>
      </c>
      <c r="J1251" s="70">
        <v>1</v>
      </c>
      <c r="K1251" s="70">
        <f>SUMIFS(VENTAS[Cantidad],VENTAS[Código del producto Vendido],STOCK[[#This Row],[Code]])</f>
        <v>1</v>
      </c>
      <c r="L1251" s="70">
        <f>STOCK[[#This Row],[Entradas]]-STOCK[[#This Row],[Salidas]]</f>
        <v>0</v>
      </c>
      <c r="M1251" s="53">
        <f>STOCK[[#This Row],[Precio Final]]*10%</f>
        <v>3</v>
      </c>
      <c r="N1251" s="53">
        <v>0</v>
      </c>
      <c r="O1251" s="53">
        <v>0</v>
      </c>
      <c r="P1251" s="53">
        <v>12.05</v>
      </c>
      <c r="Q1251" s="70">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54" t="s">
        <v>2594</v>
      </c>
      <c r="F1252" s="54" t="s">
        <v>49</v>
      </c>
      <c r="H1252" s="54">
        <f>STOCK[[#This Row],[Precio Final]]</f>
        <v>30</v>
      </c>
      <c r="I1252" s="54">
        <f>STOCK[[#This Row],[Precio Venta Ideal (x1.5)]]</f>
        <v>24.84</v>
      </c>
      <c r="J1252" s="71">
        <v>2</v>
      </c>
      <c r="K1252" s="71">
        <f>SUMIFS(VENTAS[Cantidad],VENTAS[Código del producto Vendido],STOCK[[#This Row],[Code]])</f>
        <v>2</v>
      </c>
      <c r="L1252" s="71">
        <f>STOCK[[#This Row],[Entradas]]-STOCK[[#This Row],[Salidas]]</f>
        <v>0</v>
      </c>
      <c r="M1252" s="54">
        <f>STOCK[[#This Row],[Precio Final]]*10%</f>
        <v>3</v>
      </c>
      <c r="N1252" s="54">
        <v>0</v>
      </c>
      <c r="O1252" s="54">
        <v>0</v>
      </c>
      <c r="P1252" s="54">
        <v>11.59</v>
      </c>
      <c r="Q1252" s="71">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53" t="s">
        <v>2596</v>
      </c>
      <c r="F1253" s="53" t="s">
        <v>49</v>
      </c>
      <c r="H1253" s="53">
        <f>STOCK[[#This Row],[Precio Final]]</f>
        <v>25</v>
      </c>
      <c r="I1253" s="53">
        <f>STOCK[[#This Row],[Precio Venta Ideal (x1.5)]]</f>
        <v>25.44</v>
      </c>
      <c r="J1253" s="70">
        <v>1</v>
      </c>
      <c r="K1253" s="70">
        <f>SUMIFS(VENTAS[Cantidad],VENTAS[Código del producto Vendido],STOCK[[#This Row],[Code]])</f>
        <v>0</v>
      </c>
      <c r="L1253" s="70">
        <f>STOCK[[#This Row],[Entradas]]-STOCK[[#This Row],[Salidas]]</f>
        <v>1</v>
      </c>
      <c r="M1253" s="53">
        <f>STOCK[[#This Row],[Precio Final]]*10%</f>
        <v>2.5</v>
      </c>
      <c r="N1253" s="53">
        <v>0</v>
      </c>
      <c r="O1253" s="53">
        <v>0</v>
      </c>
      <c r="P1253" s="53">
        <v>12.49</v>
      </c>
      <c r="Q1253" s="70">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54" t="s">
        <v>2598</v>
      </c>
      <c r="F1254" s="54" t="s">
        <v>62</v>
      </c>
      <c r="H1254" s="54">
        <f>STOCK[[#This Row],[Precio Final]]</f>
        <v>25</v>
      </c>
      <c r="I1254" s="54">
        <f>STOCK[[#This Row],[Precio Venta Ideal (x1.5)]]</f>
        <v>29.94</v>
      </c>
      <c r="J1254" s="71">
        <v>0</v>
      </c>
      <c r="K1254" s="71">
        <f>SUMIFS(VENTAS[Cantidad],VENTAS[Código del producto Vendido],STOCK[[#This Row],[Code]])</f>
        <v>0</v>
      </c>
      <c r="L1254" s="71">
        <f>STOCK[[#This Row],[Entradas]]-STOCK[[#This Row],[Salidas]]</f>
        <v>0</v>
      </c>
      <c r="M1254" s="54">
        <f>STOCK[[#This Row],[Precio Final]]*10%</f>
        <v>2.5</v>
      </c>
      <c r="N1254" s="54">
        <v>0</v>
      </c>
      <c r="O1254" s="54">
        <v>0</v>
      </c>
      <c r="P1254" s="54">
        <v>15.49</v>
      </c>
      <c r="Q1254" s="71">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53" t="s">
        <v>2600</v>
      </c>
      <c r="F1255" s="53" t="s">
        <v>62</v>
      </c>
      <c r="H1255" s="53">
        <f>STOCK[[#This Row],[Precio Final]]</f>
        <v>30</v>
      </c>
      <c r="I1255" s="53">
        <f>STOCK[[#This Row],[Precio Venta Ideal (x1.5)]]</f>
        <v>20.94</v>
      </c>
      <c r="J1255" s="70">
        <v>1</v>
      </c>
      <c r="K1255" s="70">
        <f>SUMIFS(VENTAS[Cantidad],VENTAS[Código del producto Vendido],STOCK[[#This Row],[Code]])</f>
        <v>0</v>
      </c>
      <c r="L1255" s="70">
        <f>STOCK[[#This Row],[Entradas]]-STOCK[[#This Row],[Salidas]]</f>
        <v>1</v>
      </c>
      <c r="M1255" s="53">
        <f>STOCK[[#This Row],[Precio Final]]*10%</f>
        <v>3</v>
      </c>
      <c r="N1255" s="53">
        <v>0</v>
      </c>
      <c r="O1255" s="53">
        <v>0</v>
      </c>
      <c r="P1255" s="53">
        <v>8.99</v>
      </c>
      <c r="Q1255" s="70">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54" t="s">
        <v>2602</v>
      </c>
      <c r="F1256" s="54" t="s">
        <v>1534</v>
      </c>
      <c r="H1256" s="54">
        <f>STOCK[[#This Row],[Precio Final]]</f>
        <v>20</v>
      </c>
      <c r="I1256" s="54">
        <f>STOCK[[#This Row],[Precio Venta Ideal (x1.5)]]</f>
        <v>11.94</v>
      </c>
      <c r="J1256" s="71">
        <v>3</v>
      </c>
      <c r="K1256" s="71">
        <f>SUMIFS(VENTAS[Cantidad],VENTAS[Código del producto Vendido],STOCK[[#This Row],[Code]])</f>
        <v>3</v>
      </c>
      <c r="L1256" s="71">
        <f>STOCK[[#This Row],[Entradas]]-STOCK[[#This Row],[Salidas]]</f>
        <v>0</v>
      </c>
      <c r="M1256" s="54">
        <f>STOCK[[#This Row],[Precio Final]]*10%</f>
        <v>2</v>
      </c>
      <c r="N1256" s="54">
        <v>0</v>
      </c>
      <c r="O1256" s="54">
        <v>0</v>
      </c>
      <c r="P1256" s="54">
        <v>3.99</v>
      </c>
      <c r="Q1256" s="71">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53" t="s">
        <v>2604</v>
      </c>
      <c r="F1257" s="53" t="s">
        <v>62</v>
      </c>
      <c r="H1257" s="53">
        <f>STOCK[[#This Row],[Precio Final]]</f>
        <v>35</v>
      </c>
      <c r="I1257" s="53">
        <f>STOCK[[#This Row],[Precio Venta Ideal (x1.5)]]</f>
        <v>25.59</v>
      </c>
      <c r="J1257" s="70">
        <v>1</v>
      </c>
      <c r="K1257" s="70">
        <f>SUMIFS(VENTAS[Cantidad],VENTAS[Código del producto Vendido],STOCK[[#This Row],[Code]])</f>
        <v>1</v>
      </c>
      <c r="L1257" s="70">
        <f>STOCK[[#This Row],[Entradas]]-STOCK[[#This Row],[Salidas]]</f>
        <v>0</v>
      </c>
      <c r="M1257" s="53">
        <f>STOCK[[#This Row],[Precio Final]]*10%</f>
        <v>3.5</v>
      </c>
      <c r="N1257" s="53">
        <v>0</v>
      </c>
      <c r="O1257" s="53">
        <v>0</v>
      </c>
      <c r="P1257" s="53">
        <v>11.59</v>
      </c>
      <c r="Q1257" s="70">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54" t="s">
        <v>2606</v>
      </c>
      <c r="F1258" s="54" t="s">
        <v>40</v>
      </c>
      <c r="H1258" s="54">
        <f>STOCK[[#This Row],[Precio Final]]</f>
        <v>25</v>
      </c>
      <c r="I1258" s="54">
        <f>STOCK[[#This Row],[Precio Venta Ideal (x1.5)]]</f>
        <v>23.91</v>
      </c>
      <c r="J1258" s="71">
        <v>1</v>
      </c>
      <c r="K1258" s="71">
        <f>SUMIFS(VENTAS[Cantidad],VENTAS[Código del producto Vendido],STOCK[[#This Row],[Code]])</f>
        <v>1</v>
      </c>
      <c r="L1258" s="71">
        <f>STOCK[[#This Row],[Entradas]]-STOCK[[#This Row],[Salidas]]</f>
        <v>0</v>
      </c>
      <c r="M1258" s="54">
        <f>STOCK[[#This Row],[Precio Final]]*10%</f>
        <v>2.5</v>
      </c>
      <c r="N1258" s="54">
        <v>0</v>
      </c>
      <c r="O1258" s="54">
        <v>0</v>
      </c>
      <c r="P1258" s="54">
        <v>11.47</v>
      </c>
      <c r="Q1258" s="71">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53" t="s">
        <v>2606</v>
      </c>
      <c r="F1259" s="53" t="s">
        <v>62</v>
      </c>
      <c r="H1259" s="53">
        <f>STOCK[[#This Row],[Precio Final]]</f>
        <v>25</v>
      </c>
      <c r="I1259" s="53">
        <f>STOCK[[#This Row],[Precio Venta Ideal (x1.5)]]</f>
        <v>23.91</v>
      </c>
      <c r="J1259" s="70">
        <v>1</v>
      </c>
      <c r="K1259" s="70">
        <f>SUMIFS(VENTAS[Cantidad],VENTAS[Código del producto Vendido],STOCK[[#This Row],[Code]])</f>
        <v>1</v>
      </c>
      <c r="L1259" s="70">
        <f>STOCK[[#This Row],[Entradas]]-STOCK[[#This Row],[Salidas]]</f>
        <v>0</v>
      </c>
      <c r="M1259" s="53">
        <f>STOCK[[#This Row],[Precio Final]]*10%</f>
        <v>2.5</v>
      </c>
      <c r="N1259" s="53">
        <v>0</v>
      </c>
      <c r="O1259" s="53">
        <v>0</v>
      </c>
      <c r="P1259" s="53">
        <v>11.47</v>
      </c>
      <c r="Q1259" s="70">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54" t="s">
        <v>2606</v>
      </c>
      <c r="F1260" s="54" t="s">
        <v>49</v>
      </c>
      <c r="H1260" s="54">
        <f>STOCK[[#This Row],[Precio Final]]</f>
        <v>25</v>
      </c>
      <c r="I1260" s="54">
        <f>STOCK[[#This Row],[Precio Venta Ideal (x1.5)]]</f>
        <v>23.91</v>
      </c>
      <c r="J1260" s="71">
        <v>1</v>
      </c>
      <c r="K1260" s="71">
        <f>SUMIFS(VENTAS[Cantidad],VENTAS[Código del producto Vendido],STOCK[[#This Row],[Code]])</f>
        <v>0</v>
      </c>
      <c r="L1260" s="71">
        <f>STOCK[[#This Row],[Entradas]]-STOCK[[#This Row],[Salidas]]</f>
        <v>1</v>
      </c>
      <c r="M1260" s="54">
        <f>STOCK[[#This Row],[Precio Final]]*10%</f>
        <v>2.5</v>
      </c>
      <c r="N1260" s="54">
        <v>0</v>
      </c>
      <c r="O1260" s="54">
        <v>0</v>
      </c>
      <c r="P1260" s="54">
        <v>11.47</v>
      </c>
      <c r="Q1260" s="71">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53" t="s">
        <v>2606</v>
      </c>
      <c r="F1261" s="53" t="s">
        <v>46</v>
      </c>
      <c r="H1261" s="53">
        <f>STOCK[[#This Row],[Precio Final]]</f>
        <v>25</v>
      </c>
      <c r="I1261" s="53">
        <f>STOCK[[#This Row],[Precio Venta Ideal (x1.5)]]</f>
        <v>23.91</v>
      </c>
      <c r="J1261" s="70">
        <v>1</v>
      </c>
      <c r="K1261" s="70">
        <f>SUMIFS(VENTAS[Cantidad],VENTAS[Código del producto Vendido],STOCK[[#This Row],[Code]])</f>
        <v>0</v>
      </c>
      <c r="L1261" s="70">
        <f>STOCK[[#This Row],[Entradas]]-STOCK[[#This Row],[Salidas]]</f>
        <v>1</v>
      </c>
      <c r="M1261" s="53">
        <f>STOCK[[#This Row],[Precio Final]]*10%</f>
        <v>2.5</v>
      </c>
      <c r="N1261" s="53">
        <v>0</v>
      </c>
      <c r="O1261" s="53">
        <v>0</v>
      </c>
      <c r="P1261" s="53">
        <v>11.47</v>
      </c>
      <c r="Q1261" s="70">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54" t="s">
        <v>2611</v>
      </c>
      <c r="F1262" s="54" t="s">
        <v>62</v>
      </c>
      <c r="H1262" s="54">
        <f>STOCK[[#This Row],[Precio Final]]</f>
        <v>25</v>
      </c>
      <c r="I1262" s="54">
        <f>STOCK[[#This Row],[Precio Venta Ideal (x1.5)]]</f>
        <v>27.315</v>
      </c>
      <c r="J1262" s="71">
        <v>1</v>
      </c>
      <c r="K1262" s="71">
        <f>SUMIFS(VENTAS[Cantidad],VENTAS[Código del producto Vendido],STOCK[[#This Row],[Code]])</f>
        <v>1</v>
      </c>
      <c r="L1262" s="71">
        <f>STOCK[[#This Row],[Entradas]]-STOCK[[#This Row],[Salidas]]</f>
        <v>0</v>
      </c>
      <c r="M1262" s="54">
        <f>STOCK[[#This Row],[Precio Final]]*10%</f>
        <v>2.5</v>
      </c>
      <c r="N1262" s="54">
        <v>0</v>
      </c>
      <c r="O1262" s="54">
        <v>0</v>
      </c>
      <c r="P1262" s="54">
        <v>13.74</v>
      </c>
      <c r="Q1262" s="71">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53" t="s">
        <v>2613</v>
      </c>
      <c r="F1263" s="53" t="s">
        <v>49</v>
      </c>
      <c r="H1263" s="53">
        <f>STOCK[[#This Row],[Precio Final]]</f>
        <v>20</v>
      </c>
      <c r="I1263" s="53">
        <f>STOCK[[#This Row],[Precio Venta Ideal (x1.5)]]</f>
        <v>18.54</v>
      </c>
      <c r="J1263" s="70">
        <v>1</v>
      </c>
      <c r="K1263" s="70">
        <f>SUMIFS(VENTAS[Cantidad],VENTAS[Código del producto Vendido],STOCK[[#This Row],[Code]])</f>
        <v>0</v>
      </c>
      <c r="L1263" s="70">
        <f>STOCK[[#This Row],[Entradas]]-STOCK[[#This Row],[Salidas]]</f>
        <v>1</v>
      </c>
      <c r="M1263" s="53">
        <f>STOCK[[#This Row],[Precio Final]]*10%</f>
        <v>2</v>
      </c>
      <c r="N1263" s="53">
        <v>0</v>
      </c>
      <c r="O1263" s="53">
        <v>0</v>
      </c>
      <c r="P1263" s="53">
        <v>8.39</v>
      </c>
      <c r="Q1263" s="70">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54" t="s">
        <v>2615</v>
      </c>
      <c r="F1264" s="54" t="s">
        <v>49</v>
      </c>
      <c r="H1264" s="54">
        <f>STOCK[[#This Row],[Precio Final]]</f>
        <v>25</v>
      </c>
      <c r="I1264" s="54">
        <f>STOCK[[#This Row],[Precio Venta Ideal (x1.5)]]</f>
        <v>23.46</v>
      </c>
      <c r="J1264" s="71">
        <v>1</v>
      </c>
      <c r="K1264" s="71">
        <f>SUMIFS(VENTAS[Cantidad],VENTAS[Código del producto Vendido],STOCK[[#This Row],[Code]])</f>
        <v>1</v>
      </c>
      <c r="L1264" s="71">
        <f>STOCK[[#This Row],[Entradas]]-STOCK[[#This Row],[Salidas]]</f>
        <v>0</v>
      </c>
      <c r="M1264" s="54">
        <f>STOCK[[#This Row],[Precio Final]]*10%</f>
        <v>2.5</v>
      </c>
      <c r="N1264" s="54">
        <v>0</v>
      </c>
      <c r="O1264" s="54">
        <v>0</v>
      </c>
      <c r="P1264" s="54">
        <v>11.17</v>
      </c>
      <c r="Q1264" s="71">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53" t="s">
        <v>2617</v>
      </c>
      <c r="F1265" s="53" t="s">
        <v>46</v>
      </c>
      <c r="H1265" s="53">
        <f>STOCK[[#This Row],[Precio Final]]</f>
        <v>25</v>
      </c>
      <c r="I1265" s="53">
        <f>STOCK[[#This Row],[Precio Venta Ideal (x1.5)]]</f>
        <v>23.97</v>
      </c>
      <c r="J1265" s="70">
        <v>1</v>
      </c>
      <c r="K1265" s="70">
        <f>SUMIFS(VENTAS[Cantidad],VENTAS[Código del producto Vendido],STOCK[[#This Row],[Code]])</f>
        <v>1</v>
      </c>
      <c r="L1265" s="70">
        <f>STOCK[[#This Row],[Entradas]]-STOCK[[#This Row],[Salidas]]</f>
        <v>0</v>
      </c>
      <c r="M1265" s="53">
        <f>STOCK[[#This Row],[Precio Final]]*10%</f>
        <v>2.5</v>
      </c>
      <c r="N1265" s="53">
        <v>0</v>
      </c>
      <c r="O1265" s="53">
        <v>0</v>
      </c>
      <c r="P1265" s="53">
        <v>11.51</v>
      </c>
      <c r="Q1265" s="70">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54" t="s">
        <v>2617</v>
      </c>
      <c r="F1266" s="54" t="s">
        <v>62</v>
      </c>
      <c r="H1266" s="54">
        <f>STOCK[[#This Row],[Precio Final]]</f>
        <v>25</v>
      </c>
      <c r="I1266" s="54">
        <f>STOCK[[#This Row],[Precio Venta Ideal (x1.5)]]</f>
        <v>23.97</v>
      </c>
      <c r="J1266" s="71">
        <v>1</v>
      </c>
      <c r="K1266" s="71">
        <f>SUMIFS(VENTAS[Cantidad],VENTAS[Código del producto Vendido],STOCK[[#This Row],[Code]])</f>
        <v>1</v>
      </c>
      <c r="L1266" s="71">
        <f>STOCK[[#This Row],[Entradas]]-STOCK[[#This Row],[Salidas]]</f>
        <v>0</v>
      </c>
      <c r="M1266" s="54">
        <f>STOCK[[#This Row],[Precio Final]]*10%</f>
        <v>2.5</v>
      </c>
      <c r="N1266" s="54">
        <v>0</v>
      </c>
      <c r="O1266" s="54">
        <v>0</v>
      </c>
      <c r="P1266" s="54">
        <v>11.51</v>
      </c>
      <c r="Q1266" s="71">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53" t="s">
        <v>2620</v>
      </c>
      <c r="F1267" s="53" t="s">
        <v>49</v>
      </c>
      <c r="H1267" s="53">
        <f>STOCK[[#This Row],[Precio Final]]</f>
        <v>35</v>
      </c>
      <c r="I1267" s="53">
        <f>STOCK[[#This Row],[Precio Venta Ideal (x1.5)]]</f>
        <v>28.44</v>
      </c>
      <c r="J1267" s="70">
        <v>1</v>
      </c>
      <c r="K1267" s="70">
        <f>SUMIFS(VENTAS[Cantidad],VENTAS[Código del producto Vendido],STOCK[[#This Row],[Code]])</f>
        <v>1</v>
      </c>
      <c r="L1267" s="70">
        <f>STOCK[[#This Row],[Entradas]]-STOCK[[#This Row],[Salidas]]</f>
        <v>0</v>
      </c>
      <c r="M1267" s="53">
        <f>STOCK[[#This Row],[Precio Final]]*10%</f>
        <v>3.5</v>
      </c>
      <c r="N1267" s="53">
        <v>0</v>
      </c>
      <c r="O1267" s="53">
        <v>0</v>
      </c>
      <c r="P1267" s="53">
        <v>13.49</v>
      </c>
      <c r="Q1267" s="70">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54" t="s">
        <v>2623</v>
      </c>
      <c r="F1268" s="54" t="s">
        <v>42</v>
      </c>
      <c r="H1268" s="54">
        <f>STOCK[[#This Row],[Precio Final]]</f>
        <v>28</v>
      </c>
      <c r="I1268" s="54">
        <f>STOCK[[#This Row],[Precio Venta Ideal (x1.5)]]</f>
        <v>25.14</v>
      </c>
      <c r="J1268" s="71">
        <v>1</v>
      </c>
      <c r="K1268" s="71">
        <f>SUMIFS(VENTAS[Cantidad],VENTAS[Código del producto Vendido],STOCK[[#This Row],[Code]])</f>
        <v>0</v>
      </c>
      <c r="L1268" s="71">
        <f>STOCK[[#This Row],[Entradas]]-STOCK[[#This Row],[Salidas]]</f>
        <v>1</v>
      </c>
      <c r="M1268" s="54">
        <f>STOCK[[#This Row],[Precio Final]]*10%</f>
        <v>2.8</v>
      </c>
      <c r="N1268" s="54">
        <v>0</v>
      </c>
      <c r="O1268" s="54">
        <v>0</v>
      </c>
      <c r="P1268" s="54">
        <v>11.99</v>
      </c>
      <c r="Q1268" s="71">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53" t="s">
        <v>2623</v>
      </c>
      <c r="F1269" s="53" t="s">
        <v>49</v>
      </c>
      <c r="H1269" s="53">
        <f>STOCK[[#This Row],[Precio Final]]</f>
        <v>28</v>
      </c>
      <c r="I1269" s="53">
        <f>STOCK[[#This Row],[Precio Venta Ideal (x1.5)]]</f>
        <v>25.14</v>
      </c>
      <c r="J1269" s="70">
        <v>1</v>
      </c>
      <c r="K1269" s="70">
        <f>SUMIFS(VENTAS[Cantidad],VENTAS[Código del producto Vendido],STOCK[[#This Row],[Code]])</f>
        <v>0</v>
      </c>
      <c r="L1269" s="70">
        <f>STOCK[[#This Row],[Entradas]]-STOCK[[#This Row],[Salidas]]</f>
        <v>1</v>
      </c>
      <c r="M1269" s="53">
        <f>STOCK[[#This Row],[Precio Final]]*10%</f>
        <v>2.8</v>
      </c>
      <c r="N1269" s="53">
        <v>0</v>
      </c>
      <c r="O1269" s="53">
        <v>0</v>
      </c>
      <c r="P1269" s="53">
        <v>11.99</v>
      </c>
      <c r="Q1269" s="70">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54" t="s">
        <v>2627</v>
      </c>
      <c r="F1270" s="54" t="s">
        <v>40</v>
      </c>
      <c r="H1270" s="54">
        <f>STOCK[[#This Row],[Precio Final]]</f>
        <v>28</v>
      </c>
      <c r="I1270" s="54">
        <f>STOCK[[#This Row],[Precio Venta Ideal (x1.5)]]</f>
        <v>25.14</v>
      </c>
      <c r="J1270" s="71">
        <v>1</v>
      </c>
      <c r="K1270" s="71">
        <f>SUMIFS(VENTAS[Cantidad],VENTAS[Código del producto Vendido],STOCK[[#This Row],[Code]])</f>
        <v>0</v>
      </c>
      <c r="L1270" s="71">
        <f>STOCK[[#This Row],[Entradas]]-STOCK[[#This Row],[Salidas]]</f>
        <v>1</v>
      </c>
      <c r="M1270" s="54">
        <f>STOCK[[#This Row],[Precio Final]]*10%</f>
        <v>2.8</v>
      </c>
      <c r="N1270" s="54">
        <v>0</v>
      </c>
      <c r="O1270" s="54">
        <v>0</v>
      </c>
      <c r="P1270" s="54">
        <v>11.99</v>
      </c>
      <c r="Q1270" s="71">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53" t="s">
        <v>2627</v>
      </c>
      <c r="F1271" s="53" t="s">
        <v>49</v>
      </c>
      <c r="H1271" s="53">
        <f>STOCK[[#This Row],[Precio Final]]</f>
        <v>28</v>
      </c>
      <c r="I1271" s="53">
        <f>STOCK[[#This Row],[Precio Venta Ideal (x1.5)]]</f>
        <v>25.14</v>
      </c>
      <c r="J1271" s="70">
        <v>1</v>
      </c>
      <c r="K1271" s="70">
        <f>SUMIFS(VENTAS[Cantidad],VENTAS[Código del producto Vendido],STOCK[[#This Row],[Code]])</f>
        <v>1</v>
      </c>
      <c r="L1271" s="70">
        <f>STOCK[[#This Row],[Entradas]]-STOCK[[#This Row],[Salidas]]</f>
        <v>0</v>
      </c>
      <c r="M1271" s="53">
        <f>STOCK[[#This Row],[Precio Final]]*10%</f>
        <v>2.8</v>
      </c>
      <c r="N1271" s="53">
        <v>0</v>
      </c>
      <c r="O1271" s="53">
        <v>0</v>
      </c>
      <c r="P1271" s="53">
        <v>11.99</v>
      </c>
      <c r="Q1271" s="70">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54" t="s">
        <v>2632</v>
      </c>
      <c r="F1272" s="54" t="s">
        <v>40</v>
      </c>
      <c r="H1272" s="54">
        <f>STOCK[[#This Row],[Precio Final]]</f>
        <v>30</v>
      </c>
      <c r="I1272" s="54">
        <f>STOCK[[#This Row],[Precio Venta Ideal (x1.5)]]</f>
        <v>23.94</v>
      </c>
      <c r="J1272" s="71">
        <v>1</v>
      </c>
      <c r="K1272" s="71">
        <f>SUMIFS(VENTAS[Cantidad],VENTAS[Código del producto Vendido],STOCK[[#This Row],[Code]])</f>
        <v>1</v>
      </c>
      <c r="L1272" s="71">
        <f>STOCK[[#This Row],[Entradas]]-STOCK[[#This Row],[Salidas]]</f>
        <v>0</v>
      </c>
      <c r="M1272" s="54">
        <f>STOCK[[#This Row],[Precio Final]]*10%</f>
        <v>3</v>
      </c>
      <c r="N1272" s="54">
        <v>0</v>
      </c>
      <c r="O1272" s="54">
        <v>0</v>
      </c>
      <c r="P1272" s="54">
        <v>10.99</v>
      </c>
      <c r="Q1272" s="71">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53" t="s">
        <v>2634</v>
      </c>
      <c r="F1273" s="53" t="s">
        <v>62</v>
      </c>
      <c r="H1273" s="53">
        <f>STOCK[[#This Row],[Precio Final]]</f>
        <v>35</v>
      </c>
      <c r="I1273" s="53">
        <f>STOCK[[#This Row],[Precio Venta Ideal (x1.5)]]</f>
        <v>36.69</v>
      </c>
      <c r="J1273" s="70">
        <v>1</v>
      </c>
      <c r="K1273" s="70">
        <f>SUMIFS(VENTAS[Cantidad],VENTAS[Código del producto Vendido],STOCK[[#This Row],[Code]])</f>
        <v>1</v>
      </c>
      <c r="L1273" s="70">
        <f>STOCK[[#This Row],[Entradas]]-STOCK[[#This Row],[Salidas]]</f>
        <v>0</v>
      </c>
      <c r="M1273" s="53">
        <f>STOCK[[#This Row],[Precio Final]]*10%</f>
        <v>3.5</v>
      </c>
      <c r="N1273" s="53">
        <v>0</v>
      </c>
      <c r="O1273" s="53">
        <v>0</v>
      </c>
      <c r="P1273" s="53">
        <v>18.99</v>
      </c>
      <c r="Q1273" s="70">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54" t="s">
        <v>2636</v>
      </c>
      <c r="F1274" s="54" t="s">
        <v>2637</v>
      </c>
      <c r="H1274" s="54">
        <f>STOCK[[#This Row],[Precio Final]]</f>
        <v>35</v>
      </c>
      <c r="I1274" s="54">
        <f>STOCK[[#This Row],[Precio Venta Ideal (x1.5)]]</f>
        <v>27.705</v>
      </c>
      <c r="J1274" s="71">
        <v>1</v>
      </c>
      <c r="K1274" s="71">
        <f>SUMIFS(VENTAS[Cantidad],VENTAS[Código del producto Vendido],STOCK[[#This Row],[Code]])</f>
        <v>0</v>
      </c>
      <c r="L1274" s="71">
        <f>STOCK[[#This Row],[Entradas]]-STOCK[[#This Row],[Salidas]]</f>
        <v>1</v>
      </c>
      <c r="M1274" s="54">
        <f>STOCK[[#This Row],[Precio Final]]*10%</f>
        <v>3.5</v>
      </c>
      <c r="N1274" s="54">
        <v>0</v>
      </c>
      <c r="O1274" s="54">
        <v>0</v>
      </c>
      <c r="P1274" s="54">
        <v>13</v>
      </c>
      <c r="Q1274" s="71">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53" t="s">
        <v>2640</v>
      </c>
      <c r="F1275" s="53" t="s">
        <v>40</v>
      </c>
      <c r="H1275" s="53">
        <f>STOCK[[#This Row],[Precio Final]]</f>
        <v>20</v>
      </c>
      <c r="I1275" s="53">
        <f>STOCK[[#This Row],[Precio Venta Ideal (x1.5)]]</f>
        <v>19.44</v>
      </c>
      <c r="J1275" s="70">
        <v>2</v>
      </c>
      <c r="K1275" s="70">
        <f>SUMIFS(VENTAS[Cantidad],VENTAS[Código del producto Vendido],STOCK[[#This Row],[Code]])</f>
        <v>0</v>
      </c>
      <c r="L1275" s="70">
        <f>STOCK[[#This Row],[Entradas]]-STOCK[[#This Row],[Salidas]]</f>
        <v>2</v>
      </c>
      <c r="M1275" s="53">
        <f>STOCK[[#This Row],[Precio Final]]*10%</f>
        <v>2</v>
      </c>
      <c r="N1275" s="53">
        <v>0</v>
      </c>
      <c r="O1275" s="53">
        <v>0</v>
      </c>
      <c r="P1275" s="53">
        <v>8.99</v>
      </c>
      <c r="Q1275" s="70">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54" t="s">
        <v>2640</v>
      </c>
      <c r="F1276" s="54" t="s">
        <v>62</v>
      </c>
      <c r="H1276" s="54">
        <f>STOCK[[#This Row],[Precio Final]]</f>
        <v>20</v>
      </c>
      <c r="I1276" s="54">
        <f>STOCK[[#This Row],[Precio Venta Ideal (x1.5)]]</f>
        <v>19.44</v>
      </c>
      <c r="J1276" s="71">
        <v>2</v>
      </c>
      <c r="K1276" s="71">
        <f>SUMIFS(VENTAS[Cantidad],VENTAS[Código del producto Vendido],STOCK[[#This Row],[Code]])</f>
        <v>1</v>
      </c>
      <c r="L1276" s="71">
        <f>STOCK[[#This Row],[Entradas]]-STOCK[[#This Row],[Salidas]]</f>
        <v>1</v>
      </c>
      <c r="M1276" s="54">
        <f>STOCK[[#This Row],[Precio Final]]*10%</f>
        <v>2</v>
      </c>
      <c r="N1276" s="54">
        <v>0</v>
      </c>
      <c r="O1276" s="54">
        <v>0</v>
      </c>
      <c r="P1276" s="54">
        <v>8.99</v>
      </c>
      <c r="Q1276" s="71">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53" t="s">
        <v>2640</v>
      </c>
      <c r="F1277" s="53" t="s">
        <v>49</v>
      </c>
      <c r="H1277" s="53">
        <f>STOCK[[#This Row],[Precio Final]]</f>
        <v>20</v>
      </c>
      <c r="I1277" s="53">
        <f>STOCK[[#This Row],[Precio Venta Ideal (x1.5)]]</f>
        <v>19.44</v>
      </c>
      <c r="J1277" s="70">
        <v>1</v>
      </c>
      <c r="K1277" s="70">
        <f>SUMIFS(VENTAS[Cantidad],VENTAS[Código del producto Vendido],STOCK[[#This Row],[Code]])</f>
        <v>1</v>
      </c>
      <c r="L1277" s="70">
        <f>STOCK[[#This Row],[Entradas]]-STOCK[[#This Row],[Salidas]]</f>
        <v>0</v>
      </c>
      <c r="M1277" s="53">
        <f>STOCK[[#This Row],[Precio Final]]*10%</f>
        <v>2</v>
      </c>
      <c r="N1277" s="53">
        <v>0</v>
      </c>
      <c r="O1277" s="53">
        <v>0</v>
      </c>
      <c r="P1277" s="53">
        <v>8.99</v>
      </c>
      <c r="Q1277" s="70">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54" t="s">
        <v>2644</v>
      </c>
      <c r="F1278" s="54" t="s">
        <v>40</v>
      </c>
      <c r="H1278" s="54">
        <f>STOCK[[#This Row],[Precio Final]]</f>
        <v>20</v>
      </c>
      <c r="I1278" s="54">
        <f>STOCK[[#This Row],[Precio Venta Ideal (x1.5)]]</f>
        <v>19.44</v>
      </c>
      <c r="J1278" s="71">
        <v>2</v>
      </c>
      <c r="K1278" s="71">
        <f>SUMIFS(VENTAS[Cantidad],VENTAS[Código del producto Vendido],STOCK[[#This Row],[Code]])</f>
        <v>1</v>
      </c>
      <c r="L1278" s="71">
        <f>STOCK[[#This Row],[Entradas]]-STOCK[[#This Row],[Salidas]]</f>
        <v>1</v>
      </c>
      <c r="M1278" s="54">
        <f>STOCK[[#This Row],[Precio Final]]*10%</f>
        <v>2</v>
      </c>
      <c r="N1278" s="54">
        <v>0</v>
      </c>
      <c r="O1278" s="54">
        <v>0</v>
      </c>
      <c r="P1278" s="54">
        <v>8.99</v>
      </c>
      <c r="Q1278" s="71">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53" t="s">
        <v>2644</v>
      </c>
      <c r="F1279" s="53" t="s">
        <v>49</v>
      </c>
      <c r="H1279" s="53">
        <f>STOCK[[#This Row],[Precio Final]]</f>
        <v>20</v>
      </c>
      <c r="I1279" s="53">
        <f>STOCK[[#This Row],[Precio Venta Ideal (x1.5)]]</f>
        <v>19.44</v>
      </c>
      <c r="J1279" s="70">
        <v>2</v>
      </c>
      <c r="K1279" s="70">
        <f>SUMIFS(VENTAS[Cantidad],VENTAS[Código del producto Vendido],STOCK[[#This Row],[Code]])</f>
        <v>2</v>
      </c>
      <c r="L1279" s="70">
        <f>STOCK[[#This Row],[Entradas]]-STOCK[[#This Row],[Salidas]]</f>
        <v>0</v>
      </c>
      <c r="M1279" s="53">
        <f>STOCK[[#This Row],[Precio Final]]*10%</f>
        <v>2</v>
      </c>
      <c r="N1279" s="53">
        <v>0</v>
      </c>
      <c r="O1279" s="53">
        <v>0</v>
      </c>
      <c r="P1279" s="53">
        <v>8.99</v>
      </c>
      <c r="Q1279" s="70">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54" t="s">
        <v>2647</v>
      </c>
      <c r="F1280" s="54" t="s">
        <v>40</v>
      </c>
      <c r="H1280" s="54">
        <f>STOCK[[#This Row],[Precio Final]]</f>
        <v>25</v>
      </c>
      <c r="I1280" s="54">
        <f>STOCK[[#This Row],[Precio Venta Ideal (x1.5)]]</f>
        <v>21.69</v>
      </c>
      <c r="J1280" s="71">
        <v>1</v>
      </c>
      <c r="K1280" s="71">
        <f>SUMIFS(VENTAS[Cantidad],VENTAS[Código del producto Vendido],STOCK[[#This Row],[Code]])</f>
        <v>1</v>
      </c>
      <c r="L1280" s="71">
        <f>STOCK[[#This Row],[Entradas]]-STOCK[[#This Row],[Salidas]]</f>
        <v>0</v>
      </c>
      <c r="M1280" s="54">
        <f>STOCK[[#This Row],[Precio Final]]*10%</f>
        <v>2.5</v>
      </c>
      <c r="N1280" s="54">
        <v>0</v>
      </c>
      <c r="O1280" s="54">
        <v>0</v>
      </c>
      <c r="P1280" s="54">
        <v>9.99</v>
      </c>
      <c r="Q1280" s="71">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53" t="s">
        <v>2649</v>
      </c>
      <c r="F1281" s="53" t="s">
        <v>40</v>
      </c>
      <c r="H1281" s="53">
        <f>STOCK[[#This Row],[Precio Final]]</f>
        <v>35</v>
      </c>
      <c r="I1281" s="53">
        <f>STOCK[[#This Row],[Precio Venta Ideal (x1.5)]]</f>
        <v>47.58</v>
      </c>
      <c r="J1281" s="70">
        <v>1</v>
      </c>
      <c r="K1281" s="70">
        <f>SUMIFS(VENTAS[Cantidad],VENTAS[Código del producto Vendido],STOCK[[#This Row],[Code]])</f>
        <v>1</v>
      </c>
      <c r="L1281" s="70">
        <f>STOCK[[#This Row],[Entradas]]-STOCK[[#This Row],[Salidas]]</f>
        <v>0</v>
      </c>
      <c r="M1281" s="53">
        <f>STOCK[[#This Row],[Precio Final]]*10%</f>
        <v>3.5</v>
      </c>
      <c r="N1281" s="53">
        <v>0</v>
      </c>
      <c r="O1281" s="53">
        <v>0</v>
      </c>
      <c r="P1281" s="53">
        <v>26.25</v>
      </c>
      <c r="Q1281" s="70">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54" t="s">
        <v>2651</v>
      </c>
      <c r="F1282" s="54" t="s">
        <v>49</v>
      </c>
      <c r="H1282" s="54">
        <f>STOCK[[#This Row],[Precio Final]]</f>
        <v>30</v>
      </c>
      <c r="I1282" s="54">
        <f>STOCK[[#This Row],[Precio Venta Ideal (x1.5)]]</f>
        <v>29.955</v>
      </c>
      <c r="J1282" s="71">
        <v>1</v>
      </c>
      <c r="K1282" s="71">
        <f>SUMIFS(VENTAS[Cantidad],VENTAS[Código del producto Vendido],STOCK[[#This Row],[Code]])</f>
        <v>0</v>
      </c>
      <c r="L1282" s="71">
        <f>STOCK[[#This Row],[Entradas]]-STOCK[[#This Row],[Salidas]]</f>
        <v>1</v>
      </c>
      <c r="M1282" s="54">
        <f>STOCK[[#This Row],[Precio Final]]*10%</f>
        <v>3</v>
      </c>
      <c r="N1282" s="54">
        <v>0</v>
      </c>
      <c r="O1282" s="54">
        <v>0</v>
      </c>
      <c r="P1282" s="54">
        <v>15</v>
      </c>
      <c r="Q1282" s="71">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53" t="s">
        <v>2653</v>
      </c>
      <c r="F1283" s="53" t="s">
        <v>882</v>
      </c>
      <c r="H1283" s="53">
        <f>STOCK[[#This Row],[Precio Final]]</f>
        <v>19</v>
      </c>
      <c r="I1283" s="53">
        <f>STOCK[[#This Row],[Precio Venta Ideal (x1.5)]]</f>
        <v>25.29</v>
      </c>
      <c r="J1283" s="70">
        <v>1</v>
      </c>
      <c r="K1283" s="70">
        <f>SUMIFS(VENTAS[Cantidad],VENTAS[Código del producto Vendido],STOCK[[#This Row],[Code]])</f>
        <v>1</v>
      </c>
      <c r="L1283" s="70">
        <f>STOCK[[#This Row],[Entradas]]-STOCK[[#This Row],[Salidas]]</f>
        <v>0</v>
      </c>
      <c r="M1283" s="53">
        <f>STOCK[[#This Row],[Precio Final]]*10%</f>
        <v>1.9</v>
      </c>
      <c r="N1283" s="53">
        <v>0</v>
      </c>
      <c r="O1283" s="53">
        <v>0</v>
      </c>
      <c r="P1283" s="53">
        <v>12.99</v>
      </c>
      <c r="Q1283" s="70">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54" t="s">
        <v>2655</v>
      </c>
      <c r="F1284" s="54" t="s">
        <v>2637</v>
      </c>
      <c r="H1284" s="54">
        <f>STOCK[[#This Row],[Precio Final]]</f>
        <v>25</v>
      </c>
      <c r="I1284" s="54">
        <f>STOCK[[#This Row],[Precio Venta Ideal (x1.5)]]</f>
        <v>21.69</v>
      </c>
      <c r="J1284" s="71">
        <v>3</v>
      </c>
      <c r="K1284" s="71">
        <f>SUMIFS(VENTAS[Cantidad],VENTAS[Código del producto Vendido],STOCK[[#This Row],[Code]])</f>
        <v>0</v>
      </c>
      <c r="L1284" s="71">
        <f>STOCK[[#This Row],[Entradas]]-STOCK[[#This Row],[Salidas]]</f>
        <v>3</v>
      </c>
      <c r="M1284" s="54">
        <f>STOCK[[#This Row],[Precio Final]]*10%</f>
        <v>2.5</v>
      </c>
      <c r="N1284" s="54">
        <v>0</v>
      </c>
      <c r="O1284" s="54">
        <v>0</v>
      </c>
      <c r="P1284" s="54">
        <v>9.99</v>
      </c>
      <c r="Q1284" s="71">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53" t="s">
        <v>2657</v>
      </c>
      <c r="F1285" s="53" t="s">
        <v>766</v>
      </c>
      <c r="H1285" s="53">
        <f>STOCK[[#This Row],[Precio Final]]</f>
        <v>35</v>
      </c>
      <c r="I1285" s="53">
        <f>STOCK[[#This Row],[Precio Venta Ideal (x1.5)]]</f>
        <v>36.75</v>
      </c>
      <c r="J1285" s="70">
        <v>1</v>
      </c>
      <c r="K1285" s="70">
        <f>SUMIFS(VENTAS[Cantidad],VENTAS[Código del producto Vendido],STOCK[[#This Row],[Code]])</f>
        <v>1</v>
      </c>
      <c r="L1285" s="70">
        <f>STOCK[[#This Row],[Entradas]]-STOCK[[#This Row],[Salidas]]</f>
        <v>0</v>
      </c>
      <c r="M1285" s="53">
        <f>STOCK[[#This Row],[Precio Final]]*10%</f>
        <v>3.5</v>
      </c>
      <c r="N1285" s="53">
        <v>0</v>
      </c>
      <c r="O1285" s="53">
        <v>0</v>
      </c>
      <c r="P1285" s="53">
        <v>21</v>
      </c>
      <c r="Q1285" s="70">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54" t="s">
        <v>2659</v>
      </c>
      <c r="F1286" s="54" t="s">
        <v>517</v>
      </c>
      <c r="H1286" s="54">
        <f>STOCK[[#This Row],[Precio Final]]</f>
        <v>40</v>
      </c>
      <c r="I1286" s="54">
        <f>STOCK[[#This Row],[Precio Venta Ideal (x1.5)]]</f>
        <v>48</v>
      </c>
      <c r="J1286" s="71">
        <v>1</v>
      </c>
      <c r="K1286" s="71">
        <f>SUMIFS(VENTAS[Cantidad],VENTAS[Código del producto Vendido],STOCK[[#This Row],[Code]])</f>
        <v>1</v>
      </c>
      <c r="L1286" s="71">
        <f>STOCK[[#This Row],[Entradas]]-STOCK[[#This Row],[Salidas]]</f>
        <v>0</v>
      </c>
      <c r="M1286" s="54">
        <f>STOCK[[#This Row],[Precio Final]]*10%</f>
        <v>4</v>
      </c>
      <c r="N1286" s="54">
        <v>0</v>
      </c>
      <c r="O1286" s="54">
        <v>0</v>
      </c>
      <c r="P1286" s="54">
        <v>25</v>
      </c>
      <c r="Q1286" s="71">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53" t="s">
        <v>2661</v>
      </c>
      <c r="F1287" s="53" t="s">
        <v>62</v>
      </c>
      <c r="H1287" s="53">
        <f>STOCK[[#This Row],[Precio Final]]</f>
        <v>12</v>
      </c>
      <c r="I1287" s="53">
        <f>STOCK[[#This Row],[Precio Venta Ideal (x1.5)]]</f>
        <v>15.255</v>
      </c>
      <c r="J1287" s="70">
        <v>1</v>
      </c>
      <c r="K1287" s="70">
        <f>SUMIFS(VENTAS[Cantidad],VENTAS[Código del producto Vendido],STOCK[[#This Row],[Code]])</f>
        <v>1</v>
      </c>
      <c r="L1287" s="70">
        <f>STOCK[[#This Row],[Entradas]]-STOCK[[#This Row],[Salidas]]</f>
        <v>0</v>
      </c>
      <c r="M1287" s="53">
        <f>STOCK[[#This Row],[Precio Final]]*10%</f>
        <v>1.2</v>
      </c>
      <c r="N1287" s="53">
        <v>0</v>
      </c>
      <c r="O1287" s="53">
        <v>0</v>
      </c>
      <c r="P1287" s="53">
        <v>7</v>
      </c>
      <c r="Q1287" s="70">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54" t="s">
        <v>2661</v>
      </c>
      <c r="F1288" s="54" t="s">
        <v>49</v>
      </c>
      <c r="H1288" s="54">
        <f>STOCK[[#This Row],[Precio Final]]</f>
        <v>12</v>
      </c>
      <c r="I1288" s="54">
        <f>STOCK[[#This Row],[Precio Venta Ideal (x1.5)]]</f>
        <v>15.255</v>
      </c>
      <c r="J1288" s="71">
        <v>1</v>
      </c>
      <c r="K1288" s="71">
        <f>SUMIFS(VENTAS[Cantidad],VENTAS[Código del producto Vendido],STOCK[[#This Row],[Code]])</f>
        <v>1</v>
      </c>
      <c r="L1288" s="71">
        <f>STOCK[[#This Row],[Entradas]]-STOCK[[#This Row],[Salidas]]</f>
        <v>0</v>
      </c>
      <c r="M1288" s="54">
        <f>STOCK[[#This Row],[Precio Final]]*10%</f>
        <v>1.2</v>
      </c>
      <c r="N1288" s="54">
        <v>0</v>
      </c>
      <c r="O1288" s="54">
        <v>0</v>
      </c>
      <c r="P1288" s="54">
        <v>7</v>
      </c>
      <c r="Q1288" s="71">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53" t="s">
        <v>2664</v>
      </c>
      <c r="F1289" s="53" t="s">
        <v>49</v>
      </c>
      <c r="H1289" s="53">
        <f>STOCK[[#This Row],[Precio Final]]</f>
        <v>13</v>
      </c>
      <c r="I1289" s="53">
        <f>STOCK[[#This Row],[Precio Venta Ideal (x1.5)]]</f>
        <v>12.45</v>
      </c>
      <c r="J1289" s="70">
        <v>2</v>
      </c>
      <c r="K1289" s="70">
        <f>SUMIFS(VENTAS[Cantidad],VENTAS[Código del producto Vendido],STOCK[[#This Row],[Code]])</f>
        <v>2</v>
      </c>
      <c r="L1289" s="70">
        <f>STOCK[[#This Row],[Entradas]]-STOCK[[#This Row],[Salidas]]</f>
        <v>0</v>
      </c>
      <c r="M1289" s="53">
        <f>STOCK[[#This Row],[Precio Final]]*10%</f>
        <v>1.3</v>
      </c>
      <c r="N1289" s="53">
        <v>0</v>
      </c>
      <c r="O1289" s="53">
        <v>0</v>
      </c>
      <c r="P1289" s="53">
        <v>7</v>
      </c>
      <c r="Q1289" s="70">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54" t="s">
        <v>2666</v>
      </c>
      <c r="F1290" s="54" t="s">
        <v>49</v>
      </c>
      <c r="H1290" s="54">
        <f>STOCK[[#This Row],[Precio Final]]</f>
        <v>13</v>
      </c>
      <c r="I1290" s="54">
        <f>STOCK[[#This Row],[Precio Venta Ideal (x1.5)]]</f>
        <v>12.45</v>
      </c>
      <c r="J1290" s="71">
        <v>1</v>
      </c>
      <c r="K1290" s="71">
        <f>SUMIFS(VENTAS[Cantidad],VENTAS[Código del producto Vendido],STOCK[[#This Row],[Code]])</f>
        <v>1</v>
      </c>
      <c r="L1290" s="71">
        <f>STOCK[[#This Row],[Entradas]]-STOCK[[#This Row],[Salidas]]</f>
        <v>0</v>
      </c>
      <c r="M1290" s="54">
        <f>STOCK[[#This Row],[Precio Final]]*10%</f>
        <v>1.3</v>
      </c>
      <c r="N1290" s="54">
        <v>0</v>
      </c>
      <c r="O1290" s="54">
        <v>0</v>
      </c>
      <c r="P1290" s="54">
        <v>7</v>
      </c>
      <c r="Q1290" s="71">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53" t="s">
        <v>2668</v>
      </c>
      <c r="F1291" s="53" t="s">
        <v>49</v>
      </c>
      <c r="H1291" s="53">
        <f>STOCK[[#This Row],[Precio Final]]</f>
        <v>13</v>
      </c>
      <c r="I1291" s="53">
        <f>STOCK[[#This Row],[Precio Venta Ideal (x1.5)]]</f>
        <v>12.45</v>
      </c>
      <c r="J1291" s="70">
        <v>2</v>
      </c>
      <c r="K1291" s="70">
        <f>SUMIFS(VENTAS[Cantidad],VENTAS[Código del producto Vendido],STOCK[[#This Row],[Code]])</f>
        <v>1</v>
      </c>
      <c r="L1291" s="70">
        <f>STOCK[[#This Row],[Entradas]]-STOCK[[#This Row],[Salidas]]</f>
        <v>1</v>
      </c>
      <c r="M1291" s="53">
        <f>STOCK[[#This Row],[Precio Final]]*10%</f>
        <v>1.3</v>
      </c>
      <c r="N1291" s="53">
        <v>0</v>
      </c>
      <c r="O1291" s="53">
        <v>0</v>
      </c>
      <c r="P1291" s="53">
        <v>7</v>
      </c>
      <c r="Q1291" s="70">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54" t="s">
        <v>2670</v>
      </c>
      <c r="F1292" s="54" t="s">
        <v>49</v>
      </c>
      <c r="H1292" s="54">
        <f>STOCK[[#This Row],[Precio Final]]</f>
        <v>13</v>
      </c>
      <c r="I1292" s="54">
        <f>STOCK[[#This Row],[Precio Venta Ideal (x1.5)]]</f>
        <v>12.45</v>
      </c>
      <c r="J1292" s="71">
        <v>1</v>
      </c>
      <c r="K1292" s="71">
        <f>SUMIFS(VENTAS[Cantidad],VENTAS[Código del producto Vendido],STOCK[[#This Row],[Code]])</f>
        <v>0</v>
      </c>
      <c r="L1292" s="71">
        <f>STOCK[[#This Row],[Entradas]]-STOCK[[#This Row],[Salidas]]</f>
        <v>1</v>
      </c>
      <c r="M1292" s="54">
        <f>STOCK[[#This Row],[Precio Final]]*10%</f>
        <v>1.3</v>
      </c>
      <c r="N1292" s="54">
        <v>0</v>
      </c>
      <c r="O1292" s="54">
        <v>0</v>
      </c>
      <c r="P1292" s="54">
        <v>7</v>
      </c>
      <c r="Q1292" s="71">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53" t="s">
        <v>2672</v>
      </c>
      <c r="F1293" s="53" t="s">
        <v>49</v>
      </c>
      <c r="H1293" s="53">
        <f>STOCK[[#This Row],[Precio Final]]</f>
        <v>13</v>
      </c>
      <c r="I1293" s="53">
        <f>STOCK[[#This Row],[Precio Venta Ideal (x1.5)]]</f>
        <v>12.45</v>
      </c>
      <c r="J1293" s="70">
        <v>1</v>
      </c>
      <c r="K1293" s="70">
        <f>SUMIFS(VENTAS[Cantidad],VENTAS[Código del producto Vendido],STOCK[[#This Row],[Code]])</f>
        <v>1</v>
      </c>
      <c r="L1293" s="70">
        <f>STOCK[[#This Row],[Entradas]]-STOCK[[#This Row],[Salidas]]</f>
        <v>0</v>
      </c>
      <c r="M1293" s="53">
        <f>STOCK[[#This Row],[Precio Final]]*10%</f>
        <v>1.3</v>
      </c>
      <c r="N1293" s="53">
        <v>0</v>
      </c>
      <c r="O1293" s="53">
        <v>0</v>
      </c>
      <c r="P1293" s="53">
        <v>7</v>
      </c>
      <c r="Q1293" s="70">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54" t="s">
        <v>2674</v>
      </c>
      <c r="F1294" s="54" t="s">
        <v>46</v>
      </c>
      <c r="H1294" s="54">
        <f>STOCK[[#This Row],[Precio Final]]</f>
        <v>13</v>
      </c>
      <c r="I1294" s="54">
        <f>STOCK[[#This Row],[Precio Venta Ideal (x1.5)]]</f>
        <v>12.45</v>
      </c>
      <c r="J1294" s="71">
        <v>1</v>
      </c>
      <c r="K1294" s="71">
        <f>SUMIFS(VENTAS[Cantidad],VENTAS[Código del producto Vendido],STOCK[[#This Row],[Code]])</f>
        <v>0</v>
      </c>
      <c r="L1294" s="71">
        <f>STOCK[[#This Row],[Entradas]]-STOCK[[#This Row],[Salidas]]</f>
        <v>1</v>
      </c>
      <c r="M1294" s="54">
        <f>STOCK[[#This Row],[Precio Final]]*10%</f>
        <v>1.3</v>
      </c>
      <c r="N1294" s="54">
        <v>0</v>
      </c>
      <c r="O1294" s="54">
        <v>0</v>
      </c>
      <c r="P1294" s="54">
        <v>7</v>
      </c>
      <c r="Q1294" s="71">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53" t="s">
        <v>2676</v>
      </c>
      <c r="F1295" s="53" t="s">
        <v>62</v>
      </c>
      <c r="H1295" s="53">
        <f>STOCK[[#This Row],[Precio Final]]</f>
        <v>28</v>
      </c>
      <c r="I1295" s="53">
        <f>STOCK[[#This Row],[Precio Venta Ideal (x1.5)]]</f>
        <v>19.8</v>
      </c>
      <c r="J1295" s="70">
        <v>1</v>
      </c>
      <c r="K1295" s="70">
        <f>SUMIFS(VENTAS[Cantidad],VENTAS[Código del producto Vendido],STOCK[[#This Row],[Code]])</f>
        <v>1</v>
      </c>
      <c r="L1295" s="70">
        <f>STOCK[[#This Row],[Entradas]]-STOCK[[#This Row],[Salidas]]</f>
        <v>0</v>
      </c>
      <c r="M1295" s="53">
        <f>STOCK[[#This Row],[Precio Final]]*10%</f>
        <v>2.8</v>
      </c>
      <c r="N1295" s="53">
        <v>0</v>
      </c>
      <c r="O1295" s="53">
        <v>0</v>
      </c>
      <c r="P1295" s="53">
        <v>8.43</v>
      </c>
      <c r="Q1295" s="70">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54" t="s">
        <v>2676</v>
      </c>
      <c r="F1296" s="54" t="s">
        <v>49</v>
      </c>
      <c r="H1296" s="54">
        <f>STOCK[[#This Row],[Precio Final]]</f>
        <v>28</v>
      </c>
      <c r="I1296" s="54">
        <f>STOCK[[#This Row],[Precio Venta Ideal (x1.5)]]</f>
        <v>19.8</v>
      </c>
      <c r="J1296" s="71">
        <v>2</v>
      </c>
      <c r="K1296" s="71">
        <f>SUMIFS(VENTAS[Cantidad],VENTAS[Código del producto Vendido],STOCK[[#This Row],[Code]])</f>
        <v>2</v>
      </c>
      <c r="L1296" s="71">
        <f>STOCK[[#This Row],[Entradas]]-STOCK[[#This Row],[Salidas]]</f>
        <v>0</v>
      </c>
      <c r="M1296" s="54">
        <f>STOCK[[#This Row],[Precio Final]]*10%</f>
        <v>2.8</v>
      </c>
      <c r="N1296" s="54">
        <v>0</v>
      </c>
      <c r="O1296" s="54">
        <v>0</v>
      </c>
      <c r="P1296" s="54">
        <v>8.43</v>
      </c>
      <c r="Q1296" s="71">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53" t="s">
        <v>2676</v>
      </c>
      <c r="F1297" s="53" t="s">
        <v>46</v>
      </c>
      <c r="H1297" s="53">
        <f>STOCK[[#This Row],[Precio Final]]</f>
        <v>28</v>
      </c>
      <c r="I1297" s="53">
        <f>STOCK[[#This Row],[Precio Venta Ideal (x1.5)]]</f>
        <v>19.815</v>
      </c>
      <c r="J1297" s="70">
        <v>2</v>
      </c>
      <c r="K1297" s="70">
        <f>SUMIFS(VENTAS[Cantidad],VENTAS[Código del producto Vendido],STOCK[[#This Row],[Code]])</f>
        <v>1</v>
      </c>
      <c r="L1297" s="70">
        <f>STOCK[[#This Row],[Entradas]]-STOCK[[#This Row],[Salidas]]</f>
        <v>1</v>
      </c>
      <c r="M1297" s="53">
        <f>STOCK[[#This Row],[Precio Final]]*10%</f>
        <v>2.8</v>
      </c>
      <c r="N1297" s="53">
        <v>0</v>
      </c>
      <c r="O1297" s="53">
        <v>0</v>
      </c>
      <c r="P1297" s="54">
        <v>8.44</v>
      </c>
      <c r="Q1297" s="70">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54" t="s">
        <v>2676</v>
      </c>
      <c r="F1298" s="54" t="s">
        <v>42</v>
      </c>
      <c r="H1298" s="54">
        <f>STOCK[[#This Row],[Precio Final]]</f>
        <v>28</v>
      </c>
      <c r="I1298" s="54">
        <f>STOCK[[#This Row],[Precio Venta Ideal (x1.5)]]</f>
        <v>19.8</v>
      </c>
      <c r="J1298" s="71">
        <v>2</v>
      </c>
      <c r="K1298" s="71">
        <f>SUMIFS(VENTAS[Cantidad],VENTAS[Código del producto Vendido],STOCK[[#This Row],[Code]])</f>
        <v>2</v>
      </c>
      <c r="L1298" s="71">
        <f>STOCK[[#This Row],[Entradas]]-STOCK[[#This Row],[Salidas]]</f>
        <v>0</v>
      </c>
      <c r="M1298" s="54">
        <f>STOCK[[#This Row],[Precio Final]]*10%</f>
        <v>2.8</v>
      </c>
      <c r="N1298" s="54">
        <v>0</v>
      </c>
      <c r="O1298" s="54">
        <v>0</v>
      </c>
      <c r="P1298" s="54">
        <v>8.43</v>
      </c>
      <c r="Q1298" s="71">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53" t="s">
        <v>2681</v>
      </c>
      <c r="F1299" s="53" t="s">
        <v>62</v>
      </c>
      <c r="H1299" s="53">
        <f>STOCK[[#This Row],[Precio Final]]</f>
        <v>20</v>
      </c>
      <c r="I1299" s="53">
        <f>STOCK[[#This Row],[Precio Venta Ideal (x1.5)]]</f>
        <v>22.725</v>
      </c>
      <c r="J1299" s="70">
        <v>1</v>
      </c>
      <c r="K1299" s="70">
        <f>SUMIFS(VENTAS[Cantidad],VENTAS[Código del producto Vendido],STOCK[[#This Row],[Code]])</f>
        <v>1</v>
      </c>
      <c r="L1299" s="70">
        <f>STOCK[[#This Row],[Entradas]]-STOCK[[#This Row],[Salidas]]</f>
        <v>0</v>
      </c>
      <c r="M1299" s="53">
        <f>STOCK[[#This Row],[Precio Final]]*10%</f>
        <v>2</v>
      </c>
      <c r="N1299" s="53">
        <v>0</v>
      </c>
      <c r="O1299" s="53">
        <v>0</v>
      </c>
      <c r="P1299" s="53">
        <v>11.18</v>
      </c>
      <c r="Q1299" s="70">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54" t="s">
        <v>2683</v>
      </c>
      <c r="F1300" s="54" t="s">
        <v>40</v>
      </c>
      <c r="H1300" s="54">
        <f>STOCK[[#This Row],[Precio Final]]</f>
        <v>8</v>
      </c>
      <c r="I1300" s="54">
        <f>STOCK[[#This Row],[Precio Venta Ideal (x1.5)]]</f>
        <v>8.07</v>
      </c>
      <c r="J1300" s="71">
        <v>1</v>
      </c>
      <c r="K1300" s="71">
        <f>SUMIFS(VENTAS[Cantidad],VENTAS[Código del producto Vendido],STOCK[[#This Row],[Code]])</f>
        <v>1</v>
      </c>
      <c r="L1300" s="71">
        <f>STOCK[[#This Row],[Entradas]]-STOCK[[#This Row],[Salidas]]</f>
        <v>0</v>
      </c>
      <c r="M1300" s="54">
        <f>STOCK[[#This Row],[Precio Final]]*10%</f>
        <v>0.8</v>
      </c>
      <c r="N1300" s="54">
        <v>0</v>
      </c>
      <c r="O1300" s="54">
        <v>0</v>
      </c>
      <c r="P1300" s="54">
        <v>2.61</v>
      </c>
      <c r="Q1300" s="71">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53" t="s">
        <v>2685</v>
      </c>
      <c r="F1301" s="53" t="s">
        <v>40</v>
      </c>
      <c r="H1301" s="53">
        <f>STOCK[[#This Row],[Precio Final]]</f>
        <v>5</v>
      </c>
      <c r="I1301" s="53">
        <f>STOCK[[#This Row],[Precio Venta Ideal (x1.5)]]</f>
        <v>4.26</v>
      </c>
      <c r="J1301" s="70">
        <v>1</v>
      </c>
      <c r="K1301" s="70">
        <f>SUMIFS(VENTAS[Cantidad],VENTAS[Código del producto Vendido],STOCK[[#This Row],[Code]])</f>
        <v>0</v>
      </c>
      <c r="L1301" s="70">
        <f>STOCK[[#This Row],[Entradas]]-STOCK[[#This Row],[Salidas]]</f>
        <v>1</v>
      </c>
      <c r="M1301" s="53">
        <f>STOCK[[#This Row],[Precio Final]]*10%</f>
        <v>0.5</v>
      </c>
      <c r="N1301" s="53">
        <v>0</v>
      </c>
      <c r="O1301" s="53">
        <v>0</v>
      </c>
      <c r="P1301" s="53">
        <v>1.84</v>
      </c>
      <c r="Q1301" s="70">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54" t="s">
        <v>2687</v>
      </c>
      <c r="F1302" s="54" t="s">
        <v>40</v>
      </c>
      <c r="H1302" s="54">
        <f>STOCK[[#This Row],[Precio Final]]</f>
        <v>22</v>
      </c>
      <c r="I1302" s="54">
        <f>STOCK[[#This Row],[Precio Venta Ideal (x1.5)]]</f>
        <v>22.335</v>
      </c>
      <c r="J1302" s="71">
        <v>1</v>
      </c>
      <c r="K1302" s="71">
        <f>SUMIFS(VENTAS[Cantidad],VENTAS[Código del producto Vendido],STOCK[[#This Row],[Code]])</f>
        <v>1</v>
      </c>
      <c r="L1302" s="71">
        <f>STOCK[[#This Row],[Entradas]]-STOCK[[#This Row],[Salidas]]</f>
        <v>0</v>
      </c>
      <c r="M1302" s="54">
        <f>STOCK[[#This Row],[Precio Final]]*10%</f>
        <v>2.2</v>
      </c>
      <c r="N1302" s="54">
        <v>0</v>
      </c>
      <c r="O1302" s="54">
        <v>0</v>
      </c>
      <c r="P1302" s="54">
        <v>10.72</v>
      </c>
      <c r="Q1302" s="71">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53" t="s">
        <v>2689</v>
      </c>
      <c r="F1303" s="53" t="s">
        <v>40</v>
      </c>
      <c r="H1303" s="53">
        <f>STOCK[[#This Row],[Precio Final]]</f>
        <v>20</v>
      </c>
      <c r="I1303" s="53">
        <f>STOCK[[#This Row],[Precio Venta Ideal (x1.5)]]</f>
        <v>18.165</v>
      </c>
      <c r="J1303" s="70">
        <v>1</v>
      </c>
      <c r="K1303" s="70">
        <f>SUMIFS(VENTAS[Cantidad],VENTAS[Código del producto Vendido],STOCK[[#This Row],[Code]])</f>
        <v>0</v>
      </c>
      <c r="L1303" s="70">
        <f>STOCK[[#This Row],[Entradas]]-STOCK[[#This Row],[Salidas]]</f>
        <v>1</v>
      </c>
      <c r="M1303" s="53">
        <f>STOCK[[#This Row],[Precio Final]]*10%</f>
        <v>2</v>
      </c>
      <c r="N1303" s="53">
        <v>0</v>
      </c>
      <c r="O1303" s="53">
        <v>0</v>
      </c>
      <c r="P1303" s="53">
        <v>8.14</v>
      </c>
      <c r="Q1303" s="70">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54" t="s">
        <v>2691</v>
      </c>
      <c r="F1304" s="54" t="s">
        <v>62</v>
      </c>
      <c r="H1304" s="54">
        <f>STOCK[[#This Row],[Precio Final]]</f>
        <v>18</v>
      </c>
      <c r="I1304" s="54">
        <f>STOCK[[#This Row],[Precio Venta Ideal (x1.5)]]</f>
        <v>17.88</v>
      </c>
      <c r="J1304" s="71">
        <v>1</v>
      </c>
      <c r="K1304" s="71">
        <f>SUMIFS(VENTAS[Cantidad],VENTAS[Código del producto Vendido],STOCK[[#This Row],[Code]])</f>
        <v>1</v>
      </c>
      <c r="L1304" s="71">
        <f>STOCK[[#This Row],[Entradas]]-STOCK[[#This Row],[Salidas]]</f>
        <v>0</v>
      </c>
      <c r="M1304" s="54">
        <f>STOCK[[#This Row],[Precio Final]]*10%</f>
        <v>1.8</v>
      </c>
      <c r="N1304" s="54">
        <v>0</v>
      </c>
      <c r="O1304" s="54">
        <v>0</v>
      </c>
      <c r="P1304" s="54">
        <v>8.15</v>
      </c>
      <c r="Q1304" s="71">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53" t="s">
        <v>2693</v>
      </c>
      <c r="F1305" s="53" t="s">
        <v>62</v>
      </c>
      <c r="H1305" s="53">
        <f>STOCK[[#This Row],[Precio Final]]</f>
        <v>25</v>
      </c>
      <c r="I1305" s="53">
        <f>STOCK[[#This Row],[Precio Venta Ideal (x1.5)]]</f>
        <v>22.17</v>
      </c>
      <c r="J1305" s="70">
        <v>1</v>
      </c>
      <c r="K1305" s="70">
        <f>SUMIFS(VENTAS[Cantidad],VENTAS[Código del producto Vendido],STOCK[[#This Row],[Code]])</f>
        <v>1</v>
      </c>
      <c r="L1305" s="70">
        <f>STOCK[[#This Row],[Entradas]]-STOCK[[#This Row],[Salidas]]</f>
        <v>0</v>
      </c>
      <c r="M1305" s="53">
        <f>STOCK[[#This Row],[Precio Final]]*10%</f>
        <v>2.5</v>
      </c>
      <c r="N1305" s="53">
        <v>0</v>
      </c>
      <c r="O1305" s="53">
        <v>0</v>
      </c>
      <c r="P1305" s="53">
        <v>10.31</v>
      </c>
      <c r="Q1305" s="70">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54" t="s">
        <v>2695</v>
      </c>
      <c r="H1306" s="54">
        <f>STOCK[[#This Row],[Precio Final]]</f>
        <v>40</v>
      </c>
      <c r="I1306" s="54">
        <f>STOCK[[#This Row],[Precio Venta Ideal (x1.5)]]</f>
        <v>30.555</v>
      </c>
      <c r="J1306" s="71">
        <v>1</v>
      </c>
      <c r="K1306" s="71">
        <f>SUMIFS(VENTAS[Cantidad],VENTAS[Código del producto Vendido],STOCK[[#This Row],[Code]])</f>
        <v>1</v>
      </c>
      <c r="L1306" s="71">
        <f>STOCK[[#This Row],[Entradas]]-STOCK[[#This Row],[Salidas]]</f>
        <v>0</v>
      </c>
      <c r="M1306" s="54">
        <f>STOCK[[#This Row],[Precio Final]]*10%</f>
        <v>4</v>
      </c>
      <c r="N1306" s="53">
        <v>0</v>
      </c>
      <c r="O1306" s="53">
        <v>0</v>
      </c>
      <c r="P1306" s="54">
        <v>14.4</v>
      </c>
      <c r="Q1306" s="71">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53" t="s">
        <v>2697</v>
      </c>
      <c r="H1307" s="53">
        <f>STOCK[[#This Row],[Precio Final]]</f>
        <v>40</v>
      </c>
      <c r="I1307" s="53">
        <f>STOCK[[#This Row],[Precio Venta Ideal (x1.5)]]</f>
        <v>30.555</v>
      </c>
      <c r="J1307" s="70">
        <v>1</v>
      </c>
      <c r="K1307" s="70">
        <f>SUMIFS(VENTAS[Cantidad],VENTAS[Código del producto Vendido],STOCK[[#This Row],[Code]])</f>
        <v>1</v>
      </c>
      <c r="L1307" s="70">
        <f>STOCK[[#This Row],[Entradas]]-STOCK[[#This Row],[Salidas]]</f>
        <v>0</v>
      </c>
      <c r="M1307" s="53">
        <f>STOCK[[#This Row],[Precio Final]]*10%</f>
        <v>4</v>
      </c>
      <c r="N1307" s="53">
        <v>0</v>
      </c>
      <c r="O1307" s="53">
        <v>0</v>
      </c>
      <c r="P1307" s="54">
        <v>14.4</v>
      </c>
      <c r="Q1307" s="70">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53" t="s">
        <v>2699</v>
      </c>
      <c r="F1308" s="54" t="s">
        <v>2700</v>
      </c>
      <c r="H1308" s="54">
        <f>STOCK[[#This Row],[Precio Final]]</f>
        <v>40</v>
      </c>
      <c r="I1308" s="54">
        <f>STOCK[[#This Row],[Precio Venta Ideal (x1.5)]]</f>
        <v>30.555</v>
      </c>
      <c r="J1308" s="71">
        <v>1</v>
      </c>
      <c r="K1308" s="71">
        <f>SUMIFS(VENTAS[Cantidad],VENTAS[Código del producto Vendido],STOCK[[#This Row],[Code]])</f>
        <v>1</v>
      </c>
      <c r="L1308" s="71">
        <f>STOCK[[#This Row],[Entradas]]-STOCK[[#This Row],[Salidas]]</f>
        <v>0</v>
      </c>
      <c r="M1308" s="54">
        <f>STOCK[[#This Row],[Precio Final]]*10%</f>
        <v>4</v>
      </c>
      <c r="N1308" s="53">
        <v>0</v>
      </c>
      <c r="O1308" s="53">
        <v>0</v>
      </c>
      <c r="P1308" s="54">
        <v>14.4</v>
      </c>
      <c r="Q1308" s="71">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53" t="s">
        <v>2702</v>
      </c>
      <c r="F1309" s="53" t="s">
        <v>2700</v>
      </c>
      <c r="H1309" s="53">
        <f>STOCK[[#This Row],[Precio Final]]</f>
        <v>40</v>
      </c>
      <c r="I1309" s="53">
        <f>STOCK[[#This Row],[Precio Venta Ideal (x1.5)]]</f>
        <v>30.555</v>
      </c>
      <c r="J1309" s="70">
        <v>1</v>
      </c>
      <c r="K1309" s="70">
        <f>SUMIFS(VENTAS[Cantidad],VENTAS[Código del producto Vendido],STOCK[[#This Row],[Code]])</f>
        <v>0</v>
      </c>
      <c r="L1309" s="70">
        <f>STOCK[[#This Row],[Entradas]]-STOCK[[#This Row],[Salidas]]</f>
        <v>1</v>
      </c>
      <c r="M1309" s="53">
        <f>STOCK[[#This Row],[Precio Final]]*10%</f>
        <v>4</v>
      </c>
      <c r="N1309" s="53">
        <v>0</v>
      </c>
      <c r="O1309" s="53">
        <v>0</v>
      </c>
      <c r="P1309" s="54">
        <v>14.4</v>
      </c>
      <c r="Q1309" s="70">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53" t="s">
        <v>2704</v>
      </c>
      <c r="F1310" s="76" t="s">
        <v>2705</v>
      </c>
      <c r="G1310" s="76"/>
      <c r="H1310" s="76">
        <f>STOCK[[#This Row],[Precio Final]]</f>
        <v>20</v>
      </c>
      <c r="I1310" s="76">
        <f>STOCK[[#This Row],[Precio Venta Ideal (x1.5)]]</f>
        <v>12</v>
      </c>
      <c r="J1310" s="78">
        <v>1</v>
      </c>
      <c r="K1310" s="78">
        <f>SUMIFS(VENTAS[Cantidad],VENTAS[Código del producto Vendido],STOCK[[#This Row],[Code]])</f>
        <v>1</v>
      </c>
      <c r="L1310" s="78">
        <f>STOCK[[#This Row],[Entradas]]-STOCK[[#This Row],[Salidas]]</f>
        <v>0</v>
      </c>
      <c r="M1310" s="76">
        <f>STOCK[[#This Row],[Precio Final]]*10%</f>
        <v>2</v>
      </c>
      <c r="N1310" s="53">
        <v>0</v>
      </c>
      <c r="O1310" s="53">
        <v>0</v>
      </c>
      <c r="P1310" s="54">
        <v>7.25</v>
      </c>
      <c r="Q1310" s="78">
        <v>0</v>
      </c>
      <c r="R1310" s="76">
        <v>0</v>
      </c>
      <c r="S1310" s="54">
        <v>1.97</v>
      </c>
      <c r="T1310" s="76">
        <f>STOCK[[#This Row],[Costo Unitario (USD)]]+STOCK[[#This Row],[Costo Envío (USD)]]+STOCK[[#This Row],[Comisión 10%]]</f>
        <v>11.22</v>
      </c>
      <c r="U1310" s="54">
        <f>ROUNDUP(T1310,0)</f>
        <v>12</v>
      </c>
      <c r="V1310" s="76">
        <v>20</v>
      </c>
      <c r="W1310" s="76">
        <f>STOCK[[#This Row],[Precio Final]]-STOCK[[#This Row],[Costo total]]</f>
        <v>8.78</v>
      </c>
      <c r="X1310" s="76">
        <f>STOCK[[#This Row],[Ganancia Unitaria]]*STOCK[[#This Row],[Salidas]]</f>
        <v>8.78</v>
      </c>
      <c r="Y1310" s="76"/>
      <c r="Z1310" s="76"/>
      <c r="AA1310" s="54">
        <f>STOCK[[#This Row],[Costo total]]*STOCK[[#This Row],[Entradas]]</f>
        <v>11.22</v>
      </c>
      <c r="AB1310" s="54">
        <f>STOCK[[#This Row],[Stock Actual]]*STOCK[[#This Row],[Costo total]]</f>
        <v>0</v>
      </c>
      <c r="AC1310" s="76"/>
    </row>
    <row r="1311" s="54" customFormat="1" ht="50" customHeight="1" spans="1:29">
      <c r="A1311" s="53" t="s">
        <v>2706</v>
      </c>
      <c r="B1311" s="53"/>
      <c r="C1311" s="53" t="s">
        <v>32</v>
      </c>
      <c r="D1311" s="53" t="s">
        <v>392</v>
      </c>
      <c r="E1311" s="53" t="s">
        <v>2707</v>
      </c>
      <c r="F1311" s="76" t="s">
        <v>2705</v>
      </c>
      <c r="G1311" s="76"/>
      <c r="H1311" s="76">
        <f>STOCK[[#This Row],[Precio Final]]</f>
        <v>22</v>
      </c>
      <c r="I1311" s="76">
        <f>STOCK[[#This Row],[Precio Venta Ideal (x1.5)]]</f>
        <v>17.13</v>
      </c>
      <c r="J1311" s="78">
        <v>1</v>
      </c>
      <c r="K1311" s="78">
        <f>SUMIFS(VENTAS[Cantidad],VENTAS[Código del producto Vendido],STOCK[[#This Row],[Code]])</f>
        <v>0</v>
      </c>
      <c r="L1311" s="78">
        <f>STOCK[[#This Row],[Entradas]]-STOCK[[#This Row],[Salidas]]</f>
        <v>1</v>
      </c>
      <c r="M1311" s="76">
        <f>STOCK[[#This Row],[Precio Final]]*10%</f>
        <v>2.2</v>
      </c>
      <c r="N1311" s="53">
        <v>0</v>
      </c>
      <c r="O1311" s="53">
        <v>0</v>
      </c>
      <c r="P1311" s="54">
        <v>7.25</v>
      </c>
      <c r="Q1311" s="78">
        <v>0</v>
      </c>
      <c r="R1311" s="76">
        <v>0</v>
      </c>
      <c r="S1311" s="54">
        <v>1.97</v>
      </c>
      <c r="T1311" s="76">
        <f>STOCK[[#This Row],[Costo Unitario (USD)]]+STOCK[[#This Row],[Costo Envío (USD)]]+STOCK[[#This Row],[Comisión 10%]]</f>
        <v>11.42</v>
      </c>
      <c r="U1311" s="54">
        <f>STOCK[[#This Row],[Costo total]]*1.5</f>
        <v>17.13</v>
      </c>
      <c r="V1311" s="76">
        <v>22</v>
      </c>
      <c r="W1311" s="76">
        <f>STOCK[[#This Row],[Precio Final]]-STOCK[[#This Row],[Costo total]]</f>
        <v>10.58</v>
      </c>
      <c r="X1311" s="76">
        <f>STOCK[[#This Row],[Ganancia Unitaria]]*STOCK[[#This Row],[Salidas]]</f>
        <v>0</v>
      </c>
      <c r="Y1311" s="76"/>
      <c r="Z1311" s="76"/>
      <c r="AA1311" s="54">
        <f>STOCK[[#This Row],[Costo total]]*STOCK[[#This Row],[Entradas]]</f>
        <v>11.42</v>
      </c>
      <c r="AB1311" s="54">
        <f>STOCK[[#This Row],[Stock Actual]]*STOCK[[#This Row],[Costo total]]</f>
        <v>11.42</v>
      </c>
      <c r="AC1311" s="76"/>
    </row>
    <row r="1312" s="53" customFormat="1" ht="50" customHeight="1" spans="1:29">
      <c r="A1312" s="53" t="s">
        <v>2708</v>
      </c>
      <c r="B1312" s="76"/>
      <c r="C1312" s="53" t="s">
        <v>32</v>
      </c>
      <c r="D1312" s="53" t="s">
        <v>392</v>
      </c>
      <c r="E1312" s="53" t="s">
        <v>2709</v>
      </c>
      <c r="F1312" s="76" t="s">
        <v>2710</v>
      </c>
      <c r="G1312" s="76"/>
      <c r="H1312" s="76">
        <v>22</v>
      </c>
      <c r="I1312" s="76">
        <f>STOCK[[#This Row],[Precio Venta Ideal (x1.5)]]</f>
        <v>16.83</v>
      </c>
      <c r="J1312" s="78">
        <v>1</v>
      </c>
      <c r="K1312" s="78">
        <f>SUMIFS(VENTAS[Cantidad],VENTAS[Código del producto Vendido],STOCK[[#This Row],[Code]])</f>
        <v>1</v>
      </c>
      <c r="L1312" s="78">
        <f>STOCK[[#This Row],[Entradas]]-STOCK[[#This Row],[Salidas]]</f>
        <v>0</v>
      </c>
      <c r="M1312" s="76">
        <f>STOCK[[#This Row],[Precio Final]]*10%</f>
        <v>2</v>
      </c>
      <c r="N1312" s="53">
        <v>0</v>
      </c>
      <c r="O1312" s="53">
        <v>0</v>
      </c>
      <c r="P1312" s="54">
        <v>7.25</v>
      </c>
      <c r="Q1312" s="78">
        <v>0</v>
      </c>
      <c r="R1312" s="76">
        <v>0</v>
      </c>
      <c r="S1312" s="54">
        <v>1.97</v>
      </c>
      <c r="T1312" s="76">
        <f>STOCK[[#This Row],[Costo Unitario (USD)]]+STOCK[[#This Row],[Costo Envío (USD)]]+STOCK[[#This Row],[Comisión 10%]]</f>
        <v>11.22</v>
      </c>
      <c r="U1312" s="54">
        <f>STOCK[[#This Row],[Costo total]]*1.5</f>
        <v>16.83</v>
      </c>
      <c r="V1312" s="76">
        <v>20</v>
      </c>
      <c r="W1312" s="76">
        <f>STOCK[[#This Row],[Precio Final]]-STOCK[[#This Row],[Costo total]]</f>
        <v>8.78</v>
      </c>
      <c r="X1312" s="76">
        <f>STOCK[[#This Row],[Ganancia Unitaria]]*STOCK[[#This Row],[Salidas]]</f>
        <v>8.78</v>
      </c>
      <c r="Y1312" s="76"/>
      <c r="Z1312" s="76"/>
      <c r="AA1312" s="54">
        <f>STOCK[[#This Row],[Costo total]]*STOCK[[#This Row],[Entradas]]</f>
        <v>11.22</v>
      </c>
      <c r="AB1312" s="54">
        <f>STOCK[[#This Row],[Stock Actual]]*STOCK[[#This Row],[Costo total]]</f>
        <v>0</v>
      </c>
      <c r="AC1312" s="76"/>
    </row>
    <row r="1313" s="53" customFormat="1" ht="50" customHeight="1" spans="1:29">
      <c r="A1313" s="53" t="s">
        <v>2711</v>
      </c>
      <c r="B1313" s="76"/>
      <c r="C1313" s="53" t="s">
        <v>32</v>
      </c>
      <c r="D1313" s="53" t="s">
        <v>392</v>
      </c>
      <c r="E1313" s="53" t="s">
        <v>2712</v>
      </c>
      <c r="F1313" s="76" t="s">
        <v>2710</v>
      </c>
      <c r="G1313" s="76"/>
      <c r="H1313" s="76">
        <v>20</v>
      </c>
      <c r="I1313" s="76">
        <f>STOCK[[#This Row],[Precio Venta Ideal (x1.5)]]</f>
        <v>12</v>
      </c>
      <c r="J1313" s="78">
        <v>1</v>
      </c>
      <c r="K1313" s="78">
        <f>SUMIFS(VENTAS[Cantidad],VENTAS[Código del producto Vendido],STOCK[[#This Row],[Code]])</f>
        <v>0</v>
      </c>
      <c r="L1313" s="78">
        <f>STOCK[[#This Row],[Entradas]]-STOCK[[#This Row],[Salidas]]</f>
        <v>1</v>
      </c>
      <c r="M1313" s="76">
        <f>STOCK[[#This Row],[Precio Final]]*10%</f>
        <v>2.2</v>
      </c>
      <c r="N1313" s="76">
        <v>0</v>
      </c>
      <c r="O1313" s="76">
        <v>0</v>
      </c>
      <c r="P1313" s="76">
        <v>7.25</v>
      </c>
      <c r="Q1313" s="78">
        <v>0</v>
      </c>
      <c r="R1313" s="76">
        <v>0</v>
      </c>
      <c r="S1313" s="54">
        <v>1.97</v>
      </c>
      <c r="T1313" s="76">
        <f>STOCK[[#This Row],[Costo Unitario (USD)]]+STOCK[[#This Row],[Costo Envío (USD)]]+STOCK[[#This Row],[Comisión 10%]]</f>
        <v>11.42</v>
      </c>
      <c r="U1313" s="76">
        <f>ROUNDUP(T1313,0)</f>
        <v>12</v>
      </c>
      <c r="V1313" s="76">
        <v>22</v>
      </c>
      <c r="W1313" s="76">
        <f>STOCK[[#This Row],[Precio Final]]-STOCK[[#This Row],[Costo total]]</f>
        <v>10.58</v>
      </c>
      <c r="X1313" s="76">
        <f>STOCK[[#This Row],[Ganancia Unitaria]]*STOCK[[#This Row],[Salidas]]</f>
        <v>0</v>
      </c>
      <c r="Y1313" s="76"/>
      <c r="Z1313" s="76"/>
      <c r="AA1313" s="54">
        <f>STOCK[[#This Row],[Costo total]]*STOCK[[#This Row],[Entradas]]</f>
        <v>11.42</v>
      </c>
      <c r="AB1313" s="54">
        <f>STOCK[[#This Row],[Stock Actual]]*STOCK[[#This Row],[Costo total]]</f>
        <v>11.42</v>
      </c>
      <c r="AC1313" s="76"/>
    </row>
    <row r="1314" s="54" customFormat="1" ht="50" customHeight="1" spans="1:29">
      <c r="A1314" s="53" t="s">
        <v>2713</v>
      </c>
      <c r="B1314" s="76"/>
      <c r="C1314" s="53" t="s">
        <v>32</v>
      </c>
      <c r="D1314" s="53" t="s">
        <v>392</v>
      </c>
      <c r="E1314" s="53" t="s">
        <v>2714</v>
      </c>
      <c r="F1314" s="76"/>
      <c r="G1314" s="76"/>
      <c r="H1314" s="76">
        <f>STOCK[[#This Row],[Precio Final]]</f>
        <v>40</v>
      </c>
      <c r="I1314" s="76">
        <f>STOCK[[#This Row],[Precio Venta Ideal (x1.5)]]</f>
        <v>21</v>
      </c>
      <c r="J1314" s="78">
        <v>1</v>
      </c>
      <c r="K1314" s="78">
        <f>SUMIFS(VENTAS[Cantidad],VENTAS[Código del producto Vendido],STOCK[[#This Row],[Code]])</f>
        <v>1</v>
      </c>
      <c r="L1314" s="78">
        <f>STOCK[[#This Row],[Entradas]]-STOCK[[#This Row],[Salidas]]</f>
        <v>0</v>
      </c>
      <c r="M1314" s="76">
        <f>STOCK[[#This Row],[Precio Final]]*10%</f>
        <v>4</v>
      </c>
      <c r="N1314" s="76">
        <v>0</v>
      </c>
      <c r="O1314" s="76">
        <v>0</v>
      </c>
      <c r="P1314" s="76">
        <v>14.4</v>
      </c>
      <c r="Q1314" s="78">
        <v>0</v>
      </c>
      <c r="R1314" s="76">
        <v>0</v>
      </c>
      <c r="S1314" s="76">
        <v>1.97</v>
      </c>
      <c r="T1314" s="76">
        <f>STOCK[[#This Row],[Costo Unitario (USD)]]+STOCK[[#This Row],[Costo Envío (USD)]]+STOCK[[#This Row],[Comisión 10%]]</f>
        <v>20.37</v>
      </c>
      <c r="U1314" s="76">
        <f>ROUNDUP(T1314,0)</f>
        <v>21</v>
      </c>
      <c r="V1314" s="76">
        <v>40</v>
      </c>
      <c r="W1314" s="76">
        <f>STOCK[[#This Row],[Precio Final]]-STOCK[[#This Row],[Costo total]]</f>
        <v>19.63</v>
      </c>
      <c r="X1314" s="76">
        <f>STOCK[[#This Row],[Ganancia Unitaria]]*STOCK[[#This Row],[Salidas]]</f>
        <v>19.63</v>
      </c>
      <c r="Y1314" s="76"/>
      <c r="Z1314" s="76"/>
      <c r="AA1314" s="54">
        <f>STOCK[[#This Row],[Costo total]]*STOCK[[#This Row],[Entradas]]</f>
        <v>20.37</v>
      </c>
      <c r="AB1314" s="54">
        <f>STOCK[[#This Row],[Stock Actual]]*STOCK[[#This Row],[Costo total]]</f>
        <v>0</v>
      </c>
      <c r="AC1314" s="76"/>
    </row>
    <row r="1315" s="53" customFormat="1" ht="50" customHeight="1" spans="1:28">
      <c r="A1315" s="53" t="s">
        <v>2715</v>
      </c>
      <c r="B1315" s="66"/>
      <c r="C1315" s="53" t="s">
        <v>32</v>
      </c>
      <c r="D1315" s="53" t="s">
        <v>1482</v>
      </c>
      <c r="E1315" s="53" t="s">
        <v>2461</v>
      </c>
      <c r="F1315" s="53" t="s">
        <v>517</v>
      </c>
      <c r="G1315" s="53" t="s">
        <v>2451</v>
      </c>
      <c r="H1315" s="53">
        <f>STOCK[[#This Row],[Precio Final]]</f>
        <v>45</v>
      </c>
      <c r="I1315" s="53">
        <f>STOCK[[#This Row],[Precio Venta Ideal (x1.5)]]</f>
        <v>43.455</v>
      </c>
      <c r="J1315" s="70">
        <v>2</v>
      </c>
      <c r="K1315" s="78">
        <f>SUMIFS(VENTAS[Cantidad],VENTAS[Código del producto Vendido],STOCK[[#This Row],[Code]])</f>
        <v>0</v>
      </c>
      <c r="L1315" s="70">
        <f>STOCK[[#This Row],[Entradas]]-STOCK[[#This Row],[Salidas]]</f>
        <v>2</v>
      </c>
      <c r="M1315" s="53">
        <f>STOCK[[#This Row],[Precio Final]]*10%</f>
        <v>4.5</v>
      </c>
      <c r="N1315" s="53">
        <v>0</v>
      </c>
      <c r="O1315" s="53">
        <v>0</v>
      </c>
      <c r="P1315" s="53">
        <v>22.5</v>
      </c>
      <c r="Q1315" s="70">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53" t="s">
        <v>2461</v>
      </c>
      <c r="F1316" s="53" t="s">
        <v>766</v>
      </c>
      <c r="G1316" s="53" t="s">
        <v>2451</v>
      </c>
      <c r="H1316" s="53">
        <f>STOCK[[#This Row],[Precio Final]]</f>
        <v>46</v>
      </c>
      <c r="I1316" s="53">
        <f>STOCK[[#This Row],[Precio Venta Ideal (x1.5)]]</f>
        <v>43.605</v>
      </c>
      <c r="J1316" s="70">
        <v>2</v>
      </c>
      <c r="K1316" s="78">
        <f>SUMIFS(VENTAS[Cantidad],VENTAS[Código del producto Vendido],STOCK[[#This Row],[Code]])</f>
        <v>2</v>
      </c>
      <c r="L1316" s="70">
        <f>STOCK[[#This Row],[Entradas]]-STOCK[[#This Row],[Salidas]]</f>
        <v>0</v>
      </c>
      <c r="M1316" s="53">
        <f>STOCK[[#This Row],[Precio Final]]*10%</f>
        <v>4.6</v>
      </c>
      <c r="N1316" s="53">
        <v>0</v>
      </c>
      <c r="O1316" s="53">
        <v>0</v>
      </c>
      <c r="P1316" s="53">
        <v>22.5</v>
      </c>
      <c r="Q1316" s="70">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53" t="s">
        <v>2461</v>
      </c>
      <c r="F1317" s="53" t="s">
        <v>540</v>
      </c>
      <c r="G1317" s="53" t="s">
        <v>2451</v>
      </c>
      <c r="H1317" s="53">
        <f>STOCK[[#This Row],[Precio Final]]</f>
        <v>47</v>
      </c>
      <c r="I1317" s="53">
        <f>STOCK[[#This Row],[Precio Venta Ideal (x1.5)]]</f>
        <v>43.755</v>
      </c>
      <c r="J1317" s="70">
        <v>2</v>
      </c>
      <c r="K1317" s="78">
        <f>SUMIFS(VENTAS[Cantidad],VENTAS[Código del producto Vendido],STOCK[[#This Row],[Code]])</f>
        <v>2</v>
      </c>
      <c r="L1317" s="70">
        <f>STOCK[[#This Row],[Entradas]]-STOCK[[#This Row],[Salidas]]</f>
        <v>0</v>
      </c>
      <c r="M1317" s="53">
        <f>STOCK[[#This Row],[Precio Final]]*10%</f>
        <v>4.7</v>
      </c>
      <c r="N1317" s="53">
        <v>0</v>
      </c>
      <c r="O1317" s="53">
        <v>0</v>
      </c>
      <c r="P1317" s="53">
        <v>22.5</v>
      </c>
      <c r="Q1317" s="70">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7"/>
      <c r="C1318" s="76" t="s">
        <v>32</v>
      </c>
      <c r="D1318" s="76" t="s">
        <v>2639</v>
      </c>
      <c r="E1318" s="76" t="s">
        <v>2719</v>
      </c>
      <c r="F1318" s="76" t="s">
        <v>49</v>
      </c>
      <c r="G1318" s="76" t="s">
        <v>2395</v>
      </c>
      <c r="H1318" s="76">
        <f>STOCK[[#This Row],[Precio Final]]</f>
        <v>30</v>
      </c>
      <c r="I1318" s="53">
        <f>STOCK[[#This Row],[Precio Venta Ideal (x1.5)]]</f>
        <v>33</v>
      </c>
      <c r="J1318" s="78">
        <v>1</v>
      </c>
      <c r="K1318" s="78">
        <f>SUMIFS(VENTAS[Cantidad],VENTAS[Código del producto Vendido],STOCK[[#This Row],[Code]])</f>
        <v>1</v>
      </c>
      <c r="L1318" s="78">
        <f>STOCK[[#This Row],[Entradas]]-STOCK[[#This Row],[Salidas]]</f>
        <v>0</v>
      </c>
      <c r="M1318" s="76">
        <f>STOCK[[#This Row],[Precio Final]]*10%</f>
        <v>3</v>
      </c>
      <c r="N1318" s="53">
        <v>0</v>
      </c>
      <c r="O1318" s="53">
        <v>0</v>
      </c>
      <c r="P1318" s="76">
        <v>17</v>
      </c>
      <c r="Q1318" s="78">
        <v>0</v>
      </c>
      <c r="R1318" s="76">
        <v>0</v>
      </c>
      <c r="S1318" s="53">
        <v>2</v>
      </c>
      <c r="T1318" s="76">
        <f>STOCK[[#This Row],[Costo Unitario (USD)]]+STOCK[[#This Row],[Costo Envío (USD)]]+STOCK[[#This Row],[Comisión 10%]]</f>
        <v>22</v>
      </c>
      <c r="U1318" s="53">
        <f>STOCK[[#This Row],[Costo total]]*1.5</f>
        <v>33</v>
      </c>
      <c r="V1318" s="76">
        <v>30</v>
      </c>
      <c r="W1318" s="76">
        <f>STOCK[[#This Row],[Precio Final]]-STOCK[[#This Row],[Costo total]]</f>
        <v>8</v>
      </c>
      <c r="X1318" s="76">
        <f>STOCK[[#This Row],[Ganancia Unitaria]]*STOCK[[#This Row],[Salidas]]</f>
        <v>8</v>
      </c>
      <c r="Y1318" s="76"/>
      <c r="Z1318" s="76"/>
      <c r="AA1318" s="54">
        <f>STOCK[[#This Row],[Costo total]]*STOCK[[#This Row],[Entradas]]</f>
        <v>22</v>
      </c>
      <c r="AB1318" s="54">
        <f>STOCK[[#This Row],[Stock Actual]]*STOCK[[#This Row],[Costo total]]</f>
        <v>0</v>
      </c>
      <c r="AC1318" s="76"/>
    </row>
    <row r="1319" s="53" customFormat="1" ht="50" customHeight="1" spans="1:29">
      <c r="A1319" s="53" t="s">
        <v>2720</v>
      </c>
      <c r="B1319" s="77"/>
      <c r="C1319" s="76" t="s">
        <v>32</v>
      </c>
      <c r="D1319" s="76" t="s">
        <v>2721</v>
      </c>
      <c r="E1319" s="76" t="s">
        <v>2722</v>
      </c>
      <c r="F1319" s="76" t="s">
        <v>2723</v>
      </c>
      <c r="G1319" s="76" t="s">
        <v>2395</v>
      </c>
      <c r="H1319" s="76">
        <f>STOCK[[#This Row],[Precio Final]]</f>
        <v>35</v>
      </c>
      <c r="I1319" s="53">
        <f>STOCK[[#This Row],[Precio Venta Ideal (x1.5)]]</f>
        <v>47.7</v>
      </c>
      <c r="J1319" s="78">
        <v>1</v>
      </c>
      <c r="K1319" s="78">
        <f>SUMIFS(VENTAS[Cantidad],VENTAS[Código del producto Vendido],STOCK[[#This Row],[Code]])</f>
        <v>0</v>
      </c>
      <c r="L1319" s="78">
        <f>STOCK[[#This Row],[Entradas]]-STOCK[[#This Row],[Salidas]]</f>
        <v>1</v>
      </c>
      <c r="M1319" s="76">
        <f>STOCK[[#This Row],[Precio Final]]*10%</f>
        <v>3.5</v>
      </c>
      <c r="N1319" s="53">
        <v>0</v>
      </c>
      <c r="O1319" s="53">
        <v>0</v>
      </c>
      <c r="P1319" s="76">
        <v>26.3</v>
      </c>
      <c r="Q1319" s="78">
        <v>0</v>
      </c>
      <c r="R1319" s="76">
        <v>0</v>
      </c>
      <c r="S1319" s="53">
        <v>2</v>
      </c>
      <c r="T1319" s="76">
        <f>STOCK[[#This Row],[Costo Unitario (USD)]]+STOCK[[#This Row],[Costo Envío (USD)]]+STOCK[[#This Row],[Comisión 10%]]</f>
        <v>31.8</v>
      </c>
      <c r="U1319" s="53">
        <f>STOCK[[#This Row],[Costo total]]*1.5</f>
        <v>47.7</v>
      </c>
      <c r="V1319" s="76">
        <v>35</v>
      </c>
      <c r="W1319" s="76">
        <f>STOCK[[#This Row],[Precio Final]]-STOCK[[#This Row],[Costo total]]</f>
        <v>3.2</v>
      </c>
      <c r="X1319" s="76">
        <f>STOCK[[#This Row],[Ganancia Unitaria]]*STOCK[[#This Row],[Salidas]]</f>
        <v>0</v>
      </c>
      <c r="Y1319" s="76"/>
      <c r="Z1319" s="76"/>
      <c r="AA1319" s="54">
        <f>STOCK[[#This Row],[Costo total]]*STOCK[[#This Row],[Entradas]]</f>
        <v>31.8</v>
      </c>
      <c r="AB1319" s="54">
        <f>STOCK[[#This Row],[Stock Actual]]*STOCK[[#This Row],[Costo total]]</f>
        <v>31.8</v>
      </c>
      <c r="AC1319" s="76"/>
    </row>
    <row r="1320" s="53" customFormat="1" ht="50" customHeight="1" spans="1:29">
      <c r="A1320" s="53" t="s">
        <v>2724</v>
      </c>
      <c r="B1320" s="77"/>
      <c r="C1320" s="76" t="s">
        <v>32</v>
      </c>
      <c r="D1320" s="76" t="s">
        <v>2721</v>
      </c>
      <c r="E1320" s="76" t="s">
        <v>2725</v>
      </c>
      <c r="F1320" s="76" t="s">
        <v>2723</v>
      </c>
      <c r="G1320" s="76" t="s">
        <v>2395</v>
      </c>
      <c r="H1320" s="76">
        <f>STOCK[[#This Row],[Precio Final]]</f>
        <v>35</v>
      </c>
      <c r="I1320" s="53">
        <f>STOCK[[#This Row],[Precio Venta Ideal (x1.5)]]</f>
        <v>47.7</v>
      </c>
      <c r="J1320" s="78">
        <v>1</v>
      </c>
      <c r="K1320" s="78">
        <f>SUMIFS(VENTAS[Cantidad],VENTAS[Código del producto Vendido],STOCK[[#This Row],[Code]])</f>
        <v>0</v>
      </c>
      <c r="L1320" s="78">
        <f>STOCK[[#This Row],[Entradas]]-STOCK[[#This Row],[Salidas]]</f>
        <v>1</v>
      </c>
      <c r="M1320" s="76">
        <f>STOCK[[#This Row],[Precio Final]]*10%</f>
        <v>3.5</v>
      </c>
      <c r="N1320" s="53">
        <v>0</v>
      </c>
      <c r="O1320" s="53">
        <v>0</v>
      </c>
      <c r="P1320" s="76">
        <v>26.3</v>
      </c>
      <c r="Q1320" s="78">
        <v>0</v>
      </c>
      <c r="R1320" s="76">
        <v>0</v>
      </c>
      <c r="S1320" s="76">
        <v>2</v>
      </c>
      <c r="T1320" s="76">
        <f>STOCK[[#This Row],[Costo Unitario (USD)]]+STOCK[[#This Row],[Costo Envío (USD)]]+STOCK[[#This Row],[Comisión 10%]]</f>
        <v>31.8</v>
      </c>
      <c r="U1320" s="53">
        <f>STOCK[[#This Row],[Costo total]]*1.5</f>
        <v>47.7</v>
      </c>
      <c r="V1320" s="76">
        <v>35</v>
      </c>
      <c r="W1320" s="76">
        <f>STOCK[[#This Row],[Precio Final]]-STOCK[[#This Row],[Costo total]]</f>
        <v>3.2</v>
      </c>
      <c r="X1320" s="76">
        <f>STOCK[[#This Row],[Ganancia Unitaria]]*STOCK[[#This Row],[Salidas]]</f>
        <v>0</v>
      </c>
      <c r="Y1320" s="76"/>
      <c r="Z1320" s="76"/>
      <c r="AA1320" s="54">
        <f>STOCK[[#This Row],[Costo total]]*STOCK[[#This Row],[Entradas]]</f>
        <v>31.8</v>
      </c>
      <c r="AB1320" s="54">
        <f>STOCK[[#This Row],[Stock Actual]]*STOCK[[#This Row],[Costo total]]</f>
        <v>31.8</v>
      </c>
      <c r="AC1320" s="76"/>
    </row>
    <row r="1321" s="53" customFormat="1" ht="50" customHeight="1" spans="1:29">
      <c r="A1321" s="53" t="s">
        <v>2726</v>
      </c>
      <c r="B1321" s="77"/>
      <c r="C1321" s="76" t="s">
        <v>32</v>
      </c>
      <c r="D1321" s="76" t="s">
        <v>2721</v>
      </c>
      <c r="E1321" s="76" t="s">
        <v>2727</v>
      </c>
      <c r="F1321" s="76" t="s">
        <v>2723</v>
      </c>
      <c r="G1321" s="76" t="s">
        <v>2395</v>
      </c>
      <c r="H1321" s="76">
        <f>STOCK[[#This Row],[Precio Final]]</f>
        <v>35</v>
      </c>
      <c r="I1321" s="53">
        <f>STOCK[[#This Row],[Precio Venta Ideal (x1.5)]]</f>
        <v>47.7</v>
      </c>
      <c r="J1321" s="78">
        <v>1</v>
      </c>
      <c r="K1321" s="78">
        <f>SUMIFS(VENTAS[Cantidad],VENTAS[Código del producto Vendido],STOCK[[#This Row],[Code]])</f>
        <v>0</v>
      </c>
      <c r="L1321" s="78">
        <f>STOCK[[#This Row],[Entradas]]-STOCK[[#This Row],[Salidas]]</f>
        <v>1</v>
      </c>
      <c r="M1321" s="76">
        <f>STOCK[[#This Row],[Precio Final]]*10%</f>
        <v>3.5</v>
      </c>
      <c r="N1321" s="53">
        <v>0</v>
      </c>
      <c r="O1321" s="53">
        <v>0</v>
      </c>
      <c r="P1321" s="76">
        <v>26.3</v>
      </c>
      <c r="Q1321" s="78">
        <v>0</v>
      </c>
      <c r="R1321" s="76">
        <v>0</v>
      </c>
      <c r="S1321" s="76">
        <v>2</v>
      </c>
      <c r="T1321" s="76">
        <f>STOCK[[#This Row],[Costo Unitario (USD)]]+STOCK[[#This Row],[Costo Envío (USD)]]+STOCK[[#This Row],[Comisión 10%]]</f>
        <v>31.8</v>
      </c>
      <c r="U1321" s="53">
        <f>STOCK[[#This Row],[Costo total]]*1.5</f>
        <v>47.7</v>
      </c>
      <c r="V1321" s="76">
        <v>35</v>
      </c>
      <c r="W1321" s="76">
        <f>STOCK[[#This Row],[Precio Final]]-STOCK[[#This Row],[Costo total]]</f>
        <v>3.2</v>
      </c>
      <c r="X1321" s="76">
        <f>STOCK[[#This Row],[Ganancia Unitaria]]*STOCK[[#This Row],[Salidas]]</f>
        <v>0</v>
      </c>
      <c r="Y1321" s="76"/>
      <c r="Z1321" s="76"/>
      <c r="AA1321" s="54">
        <f>STOCK[[#This Row],[Costo total]]*STOCK[[#This Row],[Entradas]]</f>
        <v>31.8</v>
      </c>
      <c r="AB1321" s="54">
        <f>STOCK[[#This Row],[Stock Actual]]*STOCK[[#This Row],[Costo total]]</f>
        <v>31.8</v>
      </c>
      <c r="AC1321" s="76"/>
    </row>
    <row r="1322" s="53" customFormat="1" ht="50" customHeight="1" spans="1:29">
      <c r="A1322" s="53" t="s">
        <v>2728</v>
      </c>
      <c r="B1322" s="77"/>
      <c r="C1322" s="76" t="s">
        <v>32</v>
      </c>
      <c r="D1322" s="76" t="s">
        <v>1226</v>
      </c>
      <c r="E1322" s="76" t="s">
        <v>2729</v>
      </c>
      <c r="F1322" s="76" t="s">
        <v>540</v>
      </c>
      <c r="G1322" s="76" t="s">
        <v>1296</v>
      </c>
      <c r="H1322" s="76">
        <f>STOCK[[#This Row],[Precio Final]]</f>
        <v>60</v>
      </c>
      <c r="I1322" s="76">
        <f>STOCK[[#This Row],[Precio Venta Ideal (x1.5)]]</f>
        <v>61.5</v>
      </c>
      <c r="J1322" s="78">
        <v>1</v>
      </c>
      <c r="K1322" s="78">
        <f>SUMIFS(VENTAS[Cantidad],VENTAS[Código del producto Vendido],STOCK[[#This Row],[Code]])</f>
        <v>0</v>
      </c>
      <c r="L1322" s="78">
        <f>STOCK[[#This Row],[Entradas]]-STOCK[[#This Row],[Salidas]]</f>
        <v>1</v>
      </c>
      <c r="M1322" s="76">
        <f>STOCK[[#This Row],[Precio Final]]*10%</f>
        <v>6</v>
      </c>
      <c r="N1322" s="76">
        <v>0</v>
      </c>
      <c r="O1322" s="76">
        <v>0</v>
      </c>
      <c r="P1322" s="76">
        <v>35</v>
      </c>
      <c r="Q1322" s="78">
        <v>0</v>
      </c>
      <c r="R1322" s="76">
        <v>0</v>
      </c>
      <c r="S1322" s="76">
        <f>STOCK[[#This Row],[Peso (g)]]*STOCK[[#This Row],[Precio Envío Kilogramo (USD)]]/1000</f>
        <v>0</v>
      </c>
      <c r="T1322" s="76">
        <f>STOCK[[#This Row],[Costo Unitario (USD)]]+STOCK[[#This Row],[Costo Envío (USD)]]+STOCK[[#This Row],[Comisión 10%]]</f>
        <v>41</v>
      </c>
      <c r="U1322" s="53">
        <f>STOCK[[#This Row],[Costo total]]*1.5</f>
        <v>61.5</v>
      </c>
      <c r="V1322" s="76">
        <v>60</v>
      </c>
      <c r="W1322" s="76">
        <f>STOCK[[#This Row],[Precio Final]]-STOCK[[#This Row],[Costo total]]</f>
        <v>19</v>
      </c>
      <c r="X1322" s="76">
        <f>STOCK[[#This Row],[Ganancia Unitaria]]*STOCK[[#This Row],[Salidas]]</f>
        <v>0</v>
      </c>
      <c r="Y1322" s="76"/>
      <c r="Z1322" s="76"/>
      <c r="AA1322" s="54">
        <f>STOCK[[#This Row],[Costo total]]*STOCK[[#This Row],[Entradas]]</f>
        <v>41</v>
      </c>
      <c r="AB1322" s="54">
        <f>STOCK[[#This Row],[Stock Actual]]*STOCK[[#This Row],[Costo total]]</f>
        <v>41</v>
      </c>
      <c r="AC1322" s="76"/>
    </row>
    <row r="1323" s="53" customFormat="1" ht="50" customHeight="1" spans="1:29">
      <c r="A1323" s="53" t="s">
        <v>2730</v>
      </c>
      <c r="B1323" s="77"/>
      <c r="C1323" s="76" t="s">
        <v>32</v>
      </c>
      <c r="D1323" s="76" t="s">
        <v>44</v>
      </c>
      <c r="E1323" s="76" t="s">
        <v>2731</v>
      </c>
      <c r="F1323" s="76" t="s">
        <v>46</v>
      </c>
      <c r="G1323" s="76" t="s">
        <v>36</v>
      </c>
      <c r="H1323" s="76">
        <f>STOCK[[#This Row],[Precio Final]]</f>
        <v>55</v>
      </c>
      <c r="I1323" s="76">
        <f>STOCK[[#This Row],[Precio Venta Ideal (x1.5)]]</f>
        <v>55.935</v>
      </c>
      <c r="J1323" s="78">
        <v>0</v>
      </c>
      <c r="K1323" s="78">
        <f>SUMIFS(VENTAS[Cantidad],VENTAS[Código del producto Vendido],STOCK[[#This Row],[Code]])</f>
        <v>0</v>
      </c>
      <c r="L1323" s="78">
        <f>STOCK[[#This Row],[Entradas]]-STOCK[[#This Row],[Salidas]]</f>
        <v>0</v>
      </c>
      <c r="M1323" s="76">
        <f>STOCK[[#This Row],[Precio Final]]*10%</f>
        <v>5.5</v>
      </c>
      <c r="N1323" s="76">
        <v>0</v>
      </c>
      <c r="O1323" s="76">
        <v>0</v>
      </c>
      <c r="P1323" s="76">
        <v>29.41</v>
      </c>
      <c r="Q1323" s="78">
        <v>0</v>
      </c>
      <c r="R1323" s="76">
        <v>0</v>
      </c>
      <c r="S1323" s="76">
        <v>2.38</v>
      </c>
      <c r="T1323" s="76">
        <f>STOCK[[#This Row],[Costo Unitario (USD)]]+STOCK[[#This Row],[Costo Envío (USD)]]+STOCK[[#This Row],[Comisión 10%]]</f>
        <v>37.29</v>
      </c>
      <c r="U1323" s="53">
        <f>STOCK[[#This Row],[Costo total]]*1.5</f>
        <v>55.935</v>
      </c>
      <c r="V1323" s="76">
        <v>55</v>
      </c>
      <c r="W1323" s="76">
        <f>STOCK[[#This Row],[Precio Final]]-STOCK[[#This Row],[Costo total]]</f>
        <v>17.71</v>
      </c>
      <c r="X1323" s="76">
        <f>STOCK[[#This Row],[Ganancia Unitaria]]*STOCK[[#This Row],[Salidas]]</f>
        <v>0</v>
      </c>
      <c r="Y1323" s="76" t="s">
        <v>2732</v>
      </c>
      <c r="Z1323" s="76"/>
      <c r="AA1323" s="54">
        <f>STOCK[[#This Row],[Costo total]]*STOCK[[#This Row],[Entradas]]</f>
        <v>0</v>
      </c>
      <c r="AB1323" s="54">
        <f>STOCK[[#This Row],[Stock Actual]]*STOCK[[#This Row],[Costo total]]</f>
        <v>0</v>
      </c>
      <c r="AC1323" s="76"/>
    </row>
    <row r="1324" s="53" customFormat="1" ht="50" customHeight="1" spans="1:29">
      <c r="A1324" s="53" t="s">
        <v>2733</v>
      </c>
      <c r="B1324" s="77"/>
      <c r="C1324" s="76" t="s">
        <v>32</v>
      </c>
      <c r="D1324" s="76" t="s">
        <v>2127</v>
      </c>
      <c r="E1324" s="76" t="s">
        <v>2734</v>
      </c>
      <c r="F1324" s="76" t="s">
        <v>62</v>
      </c>
      <c r="G1324" s="76" t="s">
        <v>36</v>
      </c>
      <c r="H1324" s="76">
        <f>STOCK[[#This Row],[Precio Final]]</f>
        <v>20</v>
      </c>
      <c r="I1324" s="76">
        <f>STOCK[[#This Row],[Precio Venta Ideal (x1.5)]]</f>
        <v>19.59</v>
      </c>
      <c r="J1324" s="78">
        <v>2</v>
      </c>
      <c r="K1324" s="78">
        <f>SUMIFS(VENTAS[Cantidad],VENTAS[Código del producto Vendido],STOCK[[#This Row],[Code]])</f>
        <v>3</v>
      </c>
      <c r="L1324" s="78">
        <f>STOCK[[#This Row],[Entradas]]-STOCK[[#This Row],[Salidas]]</f>
        <v>-1</v>
      </c>
      <c r="M1324" s="76">
        <f>STOCK[[#This Row],[Precio Final]]*10%</f>
        <v>2</v>
      </c>
      <c r="N1324" s="76">
        <v>0</v>
      </c>
      <c r="O1324" s="76">
        <v>0</v>
      </c>
      <c r="P1324" s="76">
        <v>8.69</v>
      </c>
      <c r="Q1324" s="78">
        <v>0</v>
      </c>
      <c r="R1324" s="76">
        <v>0</v>
      </c>
      <c r="S1324" s="76">
        <v>2.37</v>
      </c>
      <c r="T1324" s="76">
        <f>STOCK[[#This Row],[Costo Unitario (USD)]]+STOCK[[#This Row],[Costo Envío (USD)]]+STOCK[[#This Row],[Comisión 10%]]</f>
        <v>13.06</v>
      </c>
      <c r="U1324" s="53">
        <f>STOCK[[#This Row],[Costo total]]*1.5</f>
        <v>19.59</v>
      </c>
      <c r="V1324" s="76">
        <v>20</v>
      </c>
      <c r="W1324" s="76">
        <f>STOCK[[#This Row],[Precio Final]]-STOCK[[#This Row],[Costo total]]</f>
        <v>6.94</v>
      </c>
      <c r="X1324" s="76">
        <f>STOCK[[#This Row],[Ganancia Unitaria]]*STOCK[[#This Row],[Salidas]]</f>
        <v>20.82</v>
      </c>
      <c r="Y1324" s="76" t="s">
        <v>2732</v>
      </c>
      <c r="Z1324" s="76"/>
      <c r="AA1324" s="54">
        <f>STOCK[[#This Row],[Costo total]]*STOCK[[#This Row],[Entradas]]</f>
        <v>26.12</v>
      </c>
      <c r="AB1324" s="54">
        <f>STOCK[[#This Row],[Stock Actual]]*STOCK[[#This Row],[Costo total]]</f>
        <v>-13.06</v>
      </c>
      <c r="AC1324" s="76"/>
    </row>
    <row r="1325" s="53" customFormat="1" ht="50" customHeight="1" spans="1:29">
      <c r="A1325" s="53" t="s">
        <v>2735</v>
      </c>
      <c r="B1325" s="77"/>
      <c r="C1325" s="76" t="s">
        <v>32</v>
      </c>
      <c r="D1325" s="76" t="s">
        <v>2127</v>
      </c>
      <c r="E1325" s="76" t="s">
        <v>2734</v>
      </c>
      <c r="F1325" s="76" t="s">
        <v>49</v>
      </c>
      <c r="G1325" s="76" t="s">
        <v>36</v>
      </c>
      <c r="H1325" s="76">
        <f>STOCK[[#This Row],[Precio Final]]</f>
        <v>20</v>
      </c>
      <c r="I1325" s="76">
        <f>STOCK[[#This Row],[Precio Venta Ideal (x1.5)]]</f>
        <v>19.59</v>
      </c>
      <c r="J1325" s="78">
        <v>2</v>
      </c>
      <c r="K1325" s="78">
        <f>SUMIFS(VENTAS[Cantidad],VENTAS[Código del producto Vendido],STOCK[[#This Row],[Code]])</f>
        <v>0</v>
      </c>
      <c r="L1325" s="78">
        <f>STOCK[[#This Row],[Entradas]]-STOCK[[#This Row],[Salidas]]</f>
        <v>2</v>
      </c>
      <c r="M1325" s="76">
        <f>STOCK[[#This Row],[Precio Final]]*10%</f>
        <v>2</v>
      </c>
      <c r="N1325" s="76">
        <v>0</v>
      </c>
      <c r="O1325" s="76">
        <v>0</v>
      </c>
      <c r="P1325" s="76">
        <v>8.69</v>
      </c>
      <c r="Q1325" s="78">
        <v>0</v>
      </c>
      <c r="R1325" s="76">
        <v>0</v>
      </c>
      <c r="S1325" s="76">
        <v>2.37</v>
      </c>
      <c r="T1325" s="76">
        <f>STOCK[[#This Row],[Costo Unitario (USD)]]+STOCK[[#This Row],[Costo Envío (USD)]]+STOCK[[#This Row],[Comisión 10%]]</f>
        <v>13.06</v>
      </c>
      <c r="U1325" s="53">
        <f>STOCK[[#This Row],[Costo total]]*1.5</f>
        <v>19.59</v>
      </c>
      <c r="V1325" s="76">
        <v>20</v>
      </c>
      <c r="W1325" s="76">
        <f>STOCK[[#This Row],[Precio Final]]-STOCK[[#This Row],[Costo total]]</f>
        <v>6.94</v>
      </c>
      <c r="X1325" s="76">
        <f>STOCK[[#This Row],[Ganancia Unitaria]]*STOCK[[#This Row],[Salidas]]</f>
        <v>0</v>
      </c>
      <c r="Y1325" s="76" t="s">
        <v>2732</v>
      </c>
      <c r="Z1325" s="76"/>
      <c r="AA1325" s="54">
        <f>STOCK[[#This Row],[Costo total]]*STOCK[[#This Row],[Entradas]]</f>
        <v>26.12</v>
      </c>
      <c r="AB1325" s="54">
        <f>STOCK[[#This Row],[Stock Actual]]*STOCK[[#This Row],[Costo total]]</f>
        <v>26.12</v>
      </c>
      <c r="AC1325" s="76"/>
    </row>
    <row r="1326" s="53" customFormat="1" ht="50" customHeight="1" spans="1:29">
      <c r="A1326" s="53" t="s">
        <v>2736</v>
      </c>
      <c r="B1326" s="77"/>
      <c r="C1326" s="76" t="s">
        <v>32</v>
      </c>
      <c r="D1326" s="76" t="s">
        <v>2127</v>
      </c>
      <c r="E1326" s="76" t="s">
        <v>2734</v>
      </c>
      <c r="F1326" s="76" t="s">
        <v>46</v>
      </c>
      <c r="G1326" s="76" t="s">
        <v>36</v>
      </c>
      <c r="H1326" s="76">
        <f>STOCK[[#This Row],[Precio Final]]</f>
        <v>20</v>
      </c>
      <c r="I1326" s="76">
        <f>STOCK[[#This Row],[Precio Venta Ideal (x1.5)]]</f>
        <v>19.59</v>
      </c>
      <c r="J1326" s="78">
        <v>2</v>
      </c>
      <c r="K1326" s="78">
        <f>SUMIFS(VENTAS[Cantidad],VENTAS[Código del producto Vendido],STOCK[[#This Row],[Code]])</f>
        <v>0</v>
      </c>
      <c r="L1326" s="78">
        <f>STOCK[[#This Row],[Entradas]]-STOCK[[#This Row],[Salidas]]</f>
        <v>2</v>
      </c>
      <c r="M1326" s="76">
        <f>STOCK[[#This Row],[Precio Final]]*10%</f>
        <v>2</v>
      </c>
      <c r="N1326" s="76">
        <v>0</v>
      </c>
      <c r="O1326" s="76">
        <v>0</v>
      </c>
      <c r="P1326" s="76">
        <v>8.69</v>
      </c>
      <c r="Q1326" s="78">
        <v>0</v>
      </c>
      <c r="R1326" s="76">
        <v>0</v>
      </c>
      <c r="S1326" s="76">
        <v>2.37</v>
      </c>
      <c r="T1326" s="76">
        <f>STOCK[[#This Row],[Costo Unitario (USD)]]+STOCK[[#This Row],[Costo Envío (USD)]]+STOCK[[#This Row],[Comisión 10%]]</f>
        <v>13.06</v>
      </c>
      <c r="U1326" s="53">
        <f>STOCK[[#This Row],[Costo total]]*1.5</f>
        <v>19.59</v>
      </c>
      <c r="V1326" s="76">
        <v>20</v>
      </c>
      <c r="W1326" s="76">
        <f>STOCK[[#This Row],[Precio Final]]-STOCK[[#This Row],[Costo total]]</f>
        <v>6.94</v>
      </c>
      <c r="X1326" s="76">
        <f>STOCK[[#This Row],[Ganancia Unitaria]]*STOCK[[#This Row],[Salidas]]</f>
        <v>0</v>
      </c>
      <c r="Y1326" s="76" t="s">
        <v>2732</v>
      </c>
      <c r="Z1326" s="76"/>
      <c r="AA1326" s="54">
        <f>STOCK[[#This Row],[Costo total]]*STOCK[[#This Row],[Entradas]]</f>
        <v>26.12</v>
      </c>
      <c r="AB1326" s="54">
        <f>STOCK[[#This Row],[Stock Actual]]*STOCK[[#This Row],[Costo total]]</f>
        <v>26.12</v>
      </c>
      <c r="AC1326" s="76"/>
    </row>
    <row r="1327" s="53" customFormat="1" ht="50" customHeight="1" spans="1:29">
      <c r="A1327" s="53" t="s">
        <v>2737</v>
      </c>
      <c r="B1327" s="77"/>
      <c r="C1327" s="76" t="s">
        <v>32</v>
      </c>
      <c r="D1327" s="76" t="s">
        <v>44</v>
      </c>
      <c r="E1327" s="76" t="s">
        <v>2738</v>
      </c>
      <c r="F1327" s="76" t="s">
        <v>62</v>
      </c>
      <c r="G1327" s="76" t="s">
        <v>36</v>
      </c>
      <c r="H1327" s="76">
        <f>STOCK[[#This Row],[Precio Final]]</f>
        <v>12</v>
      </c>
      <c r="I1327" s="76">
        <f>STOCK[[#This Row],[Precio Venta Ideal (x1.5)]]</f>
        <v>17.16</v>
      </c>
      <c r="J1327" s="78">
        <v>0</v>
      </c>
      <c r="K1327" s="78">
        <f>SUMIFS(VENTAS[Cantidad],VENTAS[Código del producto Vendido],STOCK[[#This Row],[Code]])</f>
        <v>0</v>
      </c>
      <c r="L1327" s="78">
        <f>STOCK[[#This Row],[Entradas]]-STOCK[[#This Row],[Salidas]]</f>
        <v>0</v>
      </c>
      <c r="M1327" s="76">
        <f>STOCK[[#This Row],[Precio Final]]*10%</f>
        <v>1.2</v>
      </c>
      <c r="N1327" s="76">
        <v>0</v>
      </c>
      <c r="O1327" s="76">
        <v>0</v>
      </c>
      <c r="P1327" s="76">
        <v>7.87</v>
      </c>
      <c r="Q1327" s="78">
        <v>0</v>
      </c>
      <c r="R1327" s="76">
        <v>0</v>
      </c>
      <c r="S1327" s="76">
        <v>2.37</v>
      </c>
      <c r="T1327" s="76">
        <f>STOCK[[#This Row],[Costo Unitario (USD)]]+STOCK[[#This Row],[Costo Envío (USD)]]+STOCK[[#This Row],[Comisión 10%]]</f>
        <v>11.44</v>
      </c>
      <c r="U1327" s="53">
        <f>STOCK[[#This Row],[Costo total]]*1.5</f>
        <v>17.16</v>
      </c>
      <c r="V1327" s="76">
        <v>12</v>
      </c>
      <c r="W1327" s="76">
        <f>STOCK[[#This Row],[Precio Final]]-STOCK[[#This Row],[Costo total]]</f>
        <v>0.559999999999999</v>
      </c>
      <c r="X1327" s="76">
        <f>STOCK[[#This Row],[Ganancia Unitaria]]*STOCK[[#This Row],[Salidas]]</f>
        <v>0</v>
      </c>
      <c r="Y1327" s="76" t="s">
        <v>2732</v>
      </c>
      <c r="Z1327" s="76"/>
      <c r="AA1327" s="54">
        <f>STOCK[[#This Row],[Costo total]]*STOCK[[#This Row],[Entradas]]</f>
        <v>0</v>
      </c>
      <c r="AB1327" s="54">
        <f>STOCK[[#This Row],[Stock Actual]]*STOCK[[#This Row],[Costo total]]</f>
        <v>0</v>
      </c>
      <c r="AC1327" s="76"/>
    </row>
    <row r="1328" s="53" customFormat="1" ht="50" customHeight="1" spans="1:29">
      <c r="A1328" s="53" t="s">
        <v>2739</v>
      </c>
      <c r="B1328" s="77"/>
      <c r="C1328" s="76" t="s">
        <v>32</v>
      </c>
      <c r="D1328" s="76" t="s">
        <v>1226</v>
      </c>
      <c r="E1328" s="76" t="s">
        <v>2740</v>
      </c>
      <c r="F1328" s="76" t="s">
        <v>754</v>
      </c>
      <c r="G1328" s="76" t="s">
        <v>36</v>
      </c>
      <c r="H1328" s="76">
        <f>STOCK[[#This Row],[Precio Final]]</f>
        <v>12</v>
      </c>
      <c r="I1328" s="76">
        <f>STOCK[[#This Row],[Precio Venta Ideal (x1.5)]]</f>
        <v>14.31</v>
      </c>
      <c r="J1328" s="78">
        <v>1</v>
      </c>
      <c r="K1328" s="78">
        <f>SUMIFS(VENTAS[Cantidad],VENTAS[Código del producto Vendido],STOCK[[#This Row],[Code]])</f>
        <v>1</v>
      </c>
      <c r="L1328" s="78">
        <f>STOCK[[#This Row],[Entradas]]-STOCK[[#This Row],[Salidas]]</f>
        <v>0</v>
      </c>
      <c r="M1328" s="76">
        <f>STOCK[[#This Row],[Precio Final]]*10%</f>
        <v>1.2</v>
      </c>
      <c r="N1328" s="76">
        <v>0</v>
      </c>
      <c r="O1328" s="76">
        <v>0</v>
      </c>
      <c r="P1328" s="76">
        <v>5.97</v>
      </c>
      <c r="Q1328" s="78">
        <v>0</v>
      </c>
      <c r="R1328" s="76">
        <v>0</v>
      </c>
      <c r="S1328" s="76">
        <v>2.37</v>
      </c>
      <c r="T1328" s="76">
        <f>STOCK[[#This Row],[Costo Unitario (USD)]]+STOCK[[#This Row],[Costo Envío (USD)]]+STOCK[[#This Row],[Comisión 10%]]</f>
        <v>9.54</v>
      </c>
      <c r="U1328" s="53">
        <f>STOCK[[#This Row],[Costo total]]*1.5</f>
        <v>14.31</v>
      </c>
      <c r="V1328" s="76">
        <v>12</v>
      </c>
      <c r="W1328" s="76">
        <f>STOCK[[#This Row],[Precio Final]]-STOCK[[#This Row],[Costo total]]</f>
        <v>2.46</v>
      </c>
      <c r="X1328" s="76">
        <f>STOCK[[#This Row],[Ganancia Unitaria]]*STOCK[[#This Row],[Salidas]]</f>
        <v>2.46</v>
      </c>
      <c r="Y1328" s="76" t="s">
        <v>2732</v>
      </c>
      <c r="Z1328" s="76"/>
      <c r="AA1328" s="54">
        <f>STOCK[[#This Row],[Costo total]]*STOCK[[#This Row],[Entradas]]</f>
        <v>9.54</v>
      </c>
      <c r="AB1328" s="54">
        <f>STOCK[[#This Row],[Stock Actual]]*STOCK[[#This Row],[Costo total]]</f>
        <v>0</v>
      </c>
      <c r="AC1328" s="76"/>
    </row>
    <row r="1329" s="53" customFormat="1" ht="50" customHeight="1" spans="1:29">
      <c r="A1329" s="53" t="s">
        <v>2741</v>
      </c>
      <c r="B1329" s="77"/>
      <c r="C1329" s="76" t="s">
        <v>32</v>
      </c>
      <c r="D1329" s="76" t="s">
        <v>1226</v>
      </c>
      <c r="E1329" s="76" t="s">
        <v>2742</v>
      </c>
      <c r="F1329" s="76" t="s">
        <v>2743</v>
      </c>
      <c r="G1329" s="76" t="s">
        <v>36</v>
      </c>
      <c r="H1329" s="76">
        <f>STOCK[[#This Row],[Precio Final]]</f>
        <v>12</v>
      </c>
      <c r="I1329" s="76">
        <f>STOCK[[#This Row],[Precio Venta Ideal (x1.5)]]</f>
        <v>14.31</v>
      </c>
      <c r="J1329" s="78">
        <v>1</v>
      </c>
      <c r="K1329" s="78">
        <f>SUMIFS(VENTAS[Cantidad],VENTAS[Código del producto Vendido],STOCK[[#This Row],[Code]])</f>
        <v>1</v>
      </c>
      <c r="L1329" s="78">
        <f>STOCK[[#This Row],[Entradas]]-STOCK[[#This Row],[Salidas]]</f>
        <v>0</v>
      </c>
      <c r="M1329" s="76">
        <f>STOCK[[#This Row],[Precio Final]]*10%</f>
        <v>1.2</v>
      </c>
      <c r="N1329" s="76">
        <v>0</v>
      </c>
      <c r="O1329" s="76">
        <v>0</v>
      </c>
      <c r="P1329" s="76">
        <v>5.97</v>
      </c>
      <c r="Q1329" s="78">
        <v>0</v>
      </c>
      <c r="R1329" s="76">
        <v>0</v>
      </c>
      <c r="S1329" s="76">
        <v>2.37</v>
      </c>
      <c r="T1329" s="76">
        <f>STOCK[[#This Row],[Costo Unitario (USD)]]+STOCK[[#This Row],[Costo Envío (USD)]]+STOCK[[#This Row],[Comisión 10%]]</f>
        <v>9.54</v>
      </c>
      <c r="U1329" s="53">
        <f>STOCK[[#This Row],[Costo total]]*1.5</f>
        <v>14.31</v>
      </c>
      <c r="V1329" s="76">
        <v>12</v>
      </c>
      <c r="W1329" s="76">
        <f>STOCK[[#This Row],[Precio Final]]-STOCK[[#This Row],[Costo total]]</f>
        <v>2.46</v>
      </c>
      <c r="X1329" s="76">
        <f>STOCK[[#This Row],[Ganancia Unitaria]]*STOCK[[#This Row],[Salidas]]</f>
        <v>2.46</v>
      </c>
      <c r="Y1329" s="76" t="s">
        <v>2732</v>
      </c>
      <c r="Z1329" s="76"/>
      <c r="AA1329" s="54">
        <f>STOCK[[#This Row],[Costo total]]*STOCK[[#This Row],[Entradas]]</f>
        <v>9.54</v>
      </c>
      <c r="AB1329" s="54">
        <f>STOCK[[#This Row],[Stock Actual]]*STOCK[[#This Row],[Costo total]]</f>
        <v>0</v>
      </c>
      <c r="AC1329" s="76"/>
    </row>
    <row r="1330" s="53" customFormat="1" ht="50" customHeight="1" spans="1:29">
      <c r="A1330" s="53" t="s">
        <v>2744</v>
      </c>
      <c r="B1330" s="77"/>
      <c r="C1330" s="76" t="s">
        <v>32</v>
      </c>
      <c r="D1330" s="76" t="s">
        <v>2127</v>
      </c>
      <c r="E1330" s="76" t="s">
        <v>2745</v>
      </c>
      <c r="F1330" s="76" t="s">
        <v>46</v>
      </c>
      <c r="G1330" s="76" t="s">
        <v>36</v>
      </c>
      <c r="H1330" s="76">
        <f>STOCK[[#This Row],[Precio Final]]</f>
        <v>15</v>
      </c>
      <c r="I1330" s="76">
        <f>STOCK[[#This Row],[Precio Venta Ideal (x1.5)]]</f>
        <v>13.095</v>
      </c>
      <c r="J1330" s="78">
        <v>1</v>
      </c>
      <c r="K1330" s="78">
        <f>SUMIFS(VENTAS[Cantidad],VENTAS[Código del producto Vendido],STOCK[[#This Row],[Code]])</f>
        <v>0</v>
      </c>
      <c r="L1330" s="78">
        <f>STOCK[[#This Row],[Entradas]]-STOCK[[#This Row],[Salidas]]</f>
        <v>1</v>
      </c>
      <c r="M1330" s="76">
        <f>STOCK[[#This Row],[Precio Final]]*10%</f>
        <v>1.5</v>
      </c>
      <c r="N1330" s="76">
        <v>0</v>
      </c>
      <c r="O1330" s="76">
        <v>0</v>
      </c>
      <c r="P1330" s="76">
        <v>4.86</v>
      </c>
      <c r="Q1330" s="78">
        <v>0</v>
      </c>
      <c r="R1330" s="76">
        <v>0</v>
      </c>
      <c r="S1330" s="76">
        <v>2.37</v>
      </c>
      <c r="T1330" s="76">
        <f>STOCK[[#This Row],[Costo Unitario (USD)]]+STOCK[[#This Row],[Costo Envío (USD)]]+STOCK[[#This Row],[Comisión 10%]]</f>
        <v>8.73</v>
      </c>
      <c r="U1330" s="53">
        <f>STOCK[[#This Row],[Costo total]]*1.5</f>
        <v>13.095</v>
      </c>
      <c r="V1330" s="76">
        <v>15</v>
      </c>
      <c r="W1330" s="76">
        <f>STOCK[[#This Row],[Precio Final]]-STOCK[[#This Row],[Costo total]]</f>
        <v>6.27</v>
      </c>
      <c r="X1330" s="76">
        <f>STOCK[[#This Row],[Ganancia Unitaria]]*STOCK[[#This Row],[Salidas]]</f>
        <v>0</v>
      </c>
      <c r="Y1330" s="76" t="s">
        <v>2732</v>
      </c>
      <c r="Z1330" s="76"/>
      <c r="AA1330" s="54">
        <f>STOCK[[#This Row],[Costo total]]*STOCK[[#This Row],[Entradas]]</f>
        <v>8.73</v>
      </c>
      <c r="AB1330" s="54">
        <f>STOCK[[#This Row],[Stock Actual]]*STOCK[[#This Row],[Costo total]]</f>
        <v>8.73</v>
      </c>
      <c r="AC1330" s="76"/>
    </row>
    <row r="1331" s="53" customFormat="1" ht="50" customHeight="1" spans="1:29">
      <c r="A1331" s="53" t="s">
        <v>2746</v>
      </c>
      <c r="B1331" s="77"/>
      <c r="C1331" s="76" t="s">
        <v>32</v>
      </c>
      <c r="D1331" s="76" t="s">
        <v>2127</v>
      </c>
      <c r="E1331" s="76" t="s">
        <v>2747</v>
      </c>
      <c r="F1331" s="76" t="s">
        <v>49</v>
      </c>
      <c r="G1331" s="76" t="s">
        <v>36</v>
      </c>
      <c r="H1331" s="76">
        <f>STOCK[[#This Row],[Precio Final]]</f>
        <v>25</v>
      </c>
      <c r="I1331" s="76">
        <f>STOCK[[#This Row],[Precio Venta Ideal (x1.5)]]</f>
        <v>26.73</v>
      </c>
      <c r="J1331" s="78">
        <v>1</v>
      </c>
      <c r="K1331" s="78">
        <f>SUMIFS(VENTAS[Cantidad],VENTAS[Código del producto Vendido],STOCK[[#This Row],[Code]])</f>
        <v>0</v>
      </c>
      <c r="L1331" s="78">
        <f>STOCK[[#This Row],[Entradas]]-STOCK[[#This Row],[Salidas]]</f>
        <v>1</v>
      </c>
      <c r="M1331" s="76">
        <f>STOCK[[#This Row],[Precio Final]]*10%</f>
        <v>2.5</v>
      </c>
      <c r="N1331" s="76">
        <v>0</v>
      </c>
      <c r="O1331" s="76">
        <v>0</v>
      </c>
      <c r="P1331" s="76">
        <v>12.95</v>
      </c>
      <c r="Q1331" s="78">
        <v>0</v>
      </c>
      <c r="R1331" s="76">
        <v>0</v>
      </c>
      <c r="S1331" s="76">
        <v>2.37</v>
      </c>
      <c r="T1331" s="76">
        <f>STOCK[[#This Row],[Costo Unitario (USD)]]+STOCK[[#This Row],[Costo Envío (USD)]]+STOCK[[#This Row],[Comisión 10%]]</f>
        <v>17.82</v>
      </c>
      <c r="U1331" s="53">
        <f>STOCK[[#This Row],[Costo total]]*1.5</f>
        <v>26.73</v>
      </c>
      <c r="V1331" s="76">
        <v>25</v>
      </c>
      <c r="W1331" s="76">
        <f>STOCK[[#This Row],[Precio Final]]-STOCK[[#This Row],[Costo total]]</f>
        <v>7.18</v>
      </c>
      <c r="X1331" s="76">
        <f>STOCK[[#This Row],[Ganancia Unitaria]]*STOCK[[#This Row],[Salidas]]</f>
        <v>0</v>
      </c>
      <c r="Y1331" s="76" t="s">
        <v>2732</v>
      </c>
      <c r="Z1331" s="76"/>
      <c r="AA1331" s="54">
        <f>STOCK[[#This Row],[Costo total]]*STOCK[[#This Row],[Entradas]]</f>
        <v>17.82</v>
      </c>
      <c r="AB1331" s="54">
        <f>STOCK[[#This Row],[Stock Actual]]*STOCK[[#This Row],[Costo total]]</f>
        <v>17.82</v>
      </c>
      <c r="AC1331" s="76"/>
    </row>
    <row r="1332" s="53" customFormat="1" ht="50" customHeight="1" spans="1:29">
      <c r="A1332" s="53" t="s">
        <v>2748</v>
      </c>
      <c r="B1332" s="77"/>
      <c r="C1332" s="76" t="s">
        <v>32</v>
      </c>
      <c r="D1332" s="76" t="s">
        <v>2133</v>
      </c>
      <c r="E1332" s="76" t="s">
        <v>2749</v>
      </c>
      <c r="F1332" s="76" t="s">
        <v>62</v>
      </c>
      <c r="G1332" s="76" t="s">
        <v>36</v>
      </c>
      <c r="H1332" s="76">
        <f>STOCK[[#This Row],[Precio Final]]</f>
        <v>35</v>
      </c>
      <c r="I1332" s="76">
        <f>STOCK[[#This Row],[Precio Venta Ideal (x1.5)]]</f>
        <v>27.03</v>
      </c>
      <c r="J1332" s="78">
        <v>2</v>
      </c>
      <c r="K1332" s="78">
        <f>SUMIFS(VENTAS[Cantidad],VENTAS[Código del producto Vendido],STOCK[[#This Row],[Code]])</f>
        <v>1</v>
      </c>
      <c r="L1332" s="78">
        <f>STOCK[[#This Row],[Entradas]]-STOCK[[#This Row],[Salidas]]</f>
        <v>1</v>
      </c>
      <c r="M1332" s="76">
        <f>STOCK[[#This Row],[Precio Final]]*10%</f>
        <v>3.5</v>
      </c>
      <c r="N1332" s="76">
        <v>0</v>
      </c>
      <c r="O1332" s="76">
        <v>0</v>
      </c>
      <c r="P1332" s="76">
        <v>12.15</v>
      </c>
      <c r="Q1332" s="78">
        <v>0</v>
      </c>
      <c r="R1332" s="76">
        <v>0</v>
      </c>
      <c r="S1332" s="76">
        <v>2.37</v>
      </c>
      <c r="T1332" s="76">
        <f>STOCK[[#This Row],[Costo Unitario (USD)]]+STOCK[[#This Row],[Costo Envío (USD)]]+STOCK[[#This Row],[Comisión 10%]]</f>
        <v>18.02</v>
      </c>
      <c r="U1332" s="53">
        <f>STOCK[[#This Row],[Costo total]]*1.5</f>
        <v>27.03</v>
      </c>
      <c r="V1332" s="76">
        <v>35</v>
      </c>
      <c r="W1332" s="76">
        <f>STOCK[[#This Row],[Precio Final]]-STOCK[[#This Row],[Costo total]]</f>
        <v>16.98</v>
      </c>
      <c r="X1332" s="76">
        <f>STOCK[[#This Row],[Ganancia Unitaria]]*STOCK[[#This Row],[Salidas]]</f>
        <v>16.98</v>
      </c>
      <c r="Y1332" s="76" t="s">
        <v>2732</v>
      </c>
      <c r="Z1332" s="76"/>
      <c r="AA1332" s="54">
        <f>STOCK[[#This Row],[Costo total]]*STOCK[[#This Row],[Entradas]]</f>
        <v>36.04</v>
      </c>
      <c r="AB1332" s="54">
        <f>STOCK[[#This Row],[Stock Actual]]*STOCK[[#This Row],[Costo total]]</f>
        <v>18.02</v>
      </c>
      <c r="AC1332" s="76"/>
    </row>
    <row r="1333" s="53" customFormat="1" ht="50" customHeight="1" spans="1:29">
      <c r="A1333" s="53" t="s">
        <v>2750</v>
      </c>
      <c r="B1333" s="77"/>
      <c r="C1333" s="76" t="s">
        <v>32</v>
      </c>
      <c r="D1333" s="76" t="s">
        <v>2629</v>
      </c>
      <c r="E1333" s="76" t="s">
        <v>2751</v>
      </c>
      <c r="F1333" s="76" t="s">
        <v>62</v>
      </c>
      <c r="G1333" s="76" t="s">
        <v>36</v>
      </c>
      <c r="H1333" s="76">
        <f>STOCK[[#This Row],[Precio Final]]</f>
        <v>20</v>
      </c>
      <c r="I1333" s="76">
        <f>STOCK[[#This Row],[Precio Venta Ideal (x1.5)]]</f>
        <v>12.18</v>
      </c>
      <c r="J1333" s="78">
        <v>2</v>
      </c>
      <c r="K1333" s="78">
        <f>SUMIFS(VENTAS[Cantidad],VENTAS[Código del producto Vendido],STOCK[[#This Row],[Code]])</f>
        <v>0</v>
      </c>
      <c r="L1333" s="78">
        <f>STOCK[[#This Row],[Entradas]]-STOCK[[#This Row],[Salidas]]</f>
        <v>2</v>
      </c>
      <c r="M1333" s="76">
        <f>STOCK[[#This Row],[Precio Final]]*10%</f>
        <v>2</v>
      </c>
      <c r="N1333" s="76">
        <v>0</v>
      </c>
      <c r="O1333" s="76">
        <v>0</v>
      </c>
      <c r="P1333" s="76">
        <v>3.75</v>
      </c>
      <c r="Q1333" s="78">
        <v>0</v>
      </c>
      <c r="R1333" s="76">
        <v>0</v>
      </c>
      <c r="S1333" s="76">
        <v>2.37</v>
      </c>
      <c r="T1333" s="76">
        <f>STOCK[[#This Row],[Costo Unitario (USD)]]+STOCK[[#This Row],[Costo Envío (USD)]]+STOCK[[#This Row],[Comisión 10%]]</f>
        <v>8.12</v>
      </c>
      <c r="U1333" s="53">
        <f>STOCK[[#This Row],[Costo total]]*1.5</f>
        <v>12.18</v>
      </c>
      <c r="V1333" s="76">
        <v>20</v>
      </c>
      <c r="W1333" s="76">
        <f>STOCK[[#This Row],[Precio Final]]-STOCK[[#This Row],[Costo total]]</f>
        <v>11.88</v>
      </c>
      <c r="X1333" s="76">
        <f>STOCK[[#This Row],[Ganancia Unitaria]]*STOCK[[#This Row],[Salidas]]</f>
        <v>0</v>
      </c>
      <c r="Y1333" s="76" t="s">
        <v>2732</v>
      </c>
      <c r="Z1333" s="76"/>
      <c r="AA1333" s="54">
        <f>STOCK[[#This Row],[Costo total]]*STOCK[[#This Row],[Entradas]]</f>
        <v>16.24</v>
      </c>
      <c r="AB1333" s="54">
        <f>STOCK[[#This Row],[Stock Actual]]*STOCK[[#This Row],[Costo total]]</f>
        <v>16.24</v>
      </c>
      <c r="AC1333" s="76"/>
    </row>
    <row r="1334" s="53" customFormat="1" ht="50" customHeight="1" spans="1:29">
      <c r="A1334" s="53" t="s">
        <v>2752</v>
      </c>
      <c r="B1334" s="77"/>
      <c r="C1334" s="76" t="s">
        <v>32</v>
      </c>
      <c r="D1334" s="76" t="s">
        <v>2629</v>
      </c>
      <c r="E1334" s="76" t="s">
        <v>2751</v>
      </c>
      <c r="F1334" s="76" t="s">
        <v>49</v>
      </c>
      <c r="G1334" s="76" t="s">
        <v>36</v>
      </c>
      <c r="H1334" s="76">
        <f>STOCK[[#This Row],[Precio Final]]</f>
        <v>20</v>
      </c>
      <c r="I1334" s="76">
        <f>STOCK[[#This Row],[Precio Venta Ideal (x1.5)]]</f>
        <v>12.18</v>
      </c>
      <c r="J1334" s="78">
        <v>2</v>
      </c>
      <c r="K1334" s="78">
        <f>SUMIFS(VENTAS[Cantidad],VENTAS[Código del producto Vendido],STOCK[[#This Row],[Code]])</f>
        <v>2</v>
      </c>
      <c r="L1334" s="78">
        <f>STOCK[[#This Row],[Entradas]]-STOCK[[#This Row],[Salidas]]</f>
        <v>0</v>
      </c>
      <c r="M1334" s="76">
        <f>STOCK[[#This Row],[Precio Final]]*10%</f>
        <v>2</v>
      </c>
      <c r="N1334" s="76">
        <v>0</v>
      </c>
      <c r="O1334" s="76">
        <v>0</v>
      </c>
      <c r="P1334" s="76">
        <v>3.75</v>
      </c>
      <c r="Q1334" s="78">
        <v>0</v>
      </c>
      <c r="R1334" s="76">
        <v>0</v>
      </c>
      <c r="S1334" s="76">
        <v>2.37</v>
      </c>
      <c r="T1334" s="76">
        <f>STOCK[[#This Row],[Costo Unitario (USD)]]+STOCK[[#This Row],[Costo Envío (USD)]]+STOCK[[#This Row],[Comisión 10%]]</f>
        <v>8.12</v>
      </c>
      <c r="U1334" s="53">
        <f>STOCK[[#This Row],[Costo total]]*1.5</f>
        <v>12.18</v>
      </c>
      <c r="V1334" s="76">
        <v>20</v>
      </c>
      <c r="W1334" s="76">
        <f>STOCK[[#This Row],[Precio Final]]-STOCK[[#This Row],[Costo total]]</f>
        <v>11.88</v>
      </c>
      <c r="X1334" s="76">
        <f>STOCK[[#This Row],[Ganancia Unitaria]]*STOCK[[#This Row],[Salidas]]</f>
        <v>23.76</v>
      </c>
      <c r="Y1334" s="76" t="s">
        <v>2732</v>
      </c>
      <c r="Z1334" s="76"/>
      <c r="AA1334" s="54">
        <f>STOCK[[#This Row],[Costo total]]*STOCK[[#This Row],[Entradas]]</f>
        <v>16.24</v>
      </c>
      <c r="AB1334" s="54">
        <f>STOCK[[#This Row],[Stock Actual]]*STOCK[[#This Row],[Costo total]]</f>
        <v>0</v>
      </c>
      <c r="AC1334" s="76"/>
    </row>
    <row r="1335" s="53" customFormat="1" ht="50" customHeight="1" spans="1:29">
      <c r="A1335" s="53" t="s">
        <v>2753</v>
      </c>
      <c r="B1335" s="77"/>
      <c r="C1335" s="76" t="s">
        <v>32</v>
      </c>
      <c r="D1335" s="76" t="s">
        <v>2629</v>
      </c>
      <c r="E1335" s="76" t="s">
        <v>2751</v>
      </c>
      <c r="F1335" s="76" t="s">
        <v>46</v>
      </c>
      <c r="G1335" s="76" t="s">
        <v>36</v>
      </c>
      <c r="H1335" s="76">
        <f>STOCK[[#This Row],[Precio Final]]</f>
        <v>20</v>
      </c>
      <c r="I1335" s="76">
        <f>STOCK[[#This Row],[Precio Venta Ideal (x1.5)]]</f>
        <v>12.18</v>
      </c>
      <c r="J1335" s="78">
        <v>2</v>
      </c>
      <c r="K1335" s="78">
        <f>SUMIFS(VENTAS[Cantidad],VENTAS[Código del producto Vendido],STOCK[[#This Row],[Code]])</f>
        <v>2</v>
      </c>
      <c r="L1335" s="78">
        <f>STOCK[[#This Row],[Entradas]]-STOCK[[#This Row],[Salidas]]</f>
        <v>0</v>
      </c>
      <c r="M1335" s="76">
        <f>STOCK[[#This Row],[Precio Final]]*10%</f>
        <v>2</v>
      </c>
      <c r="N1335" s="76">
        <v>0</v>
      </c>
      <c r="O1335" s="76">
        <v>0</v>
      </c>
      <c r="P1335" s="76">
        <v>3.75</v>
      </c>
      <c r="Q1335" s="78">
        <v>0</v>
      </c>
      <c r="R1335" s="76">
        <v>0</v>
      </c>
      <c r="S1335" s="76">
        <v>2.37</v>
      </c>
      <c r="T1335" s="76">
        <f>STOCK[[#This Row],[Costo Unitario (USD)]]+STOCK[[#This Row],[Costo Envío (USD)]]+STOCK[[#This Row],[Comisión 10%]]</f>
        <v>8.12</v>
      </c>
      <c r="U1335" s="53">
        <f>STOCK[[#This Row],[Costo total]]*1.5</f>
        <v>12.18</v>
      </c>
      <c r="V1335" s="76">
        <v>20</v>
      </c>
      <c r="W1335" s="76">
        <f>STOCK[[#This Row],[Precio Final]]-STOCK[[#This Row],[Costo total]]</f>
        <v>11.88</v>
      </c>
      <c r="X1335" s="76">
        <f>STOCK[[#This Row],[Ganancia Unitaria]]*STOCK[[#This Row],[Salidas]]</f>
        <v>23.76</v>
      </c>
      <c r="Y1335" s="76" t="s">
        <v>2732</v>
      </c>
      <c r="Z1335" s="76"/>
      <c r="AA1335" s="54">
        <f>STOCK[[#This Row],[Costo total]]*STOCK[[#This Row],[Entradas]]</f>
        <v>16.24</v>
      </c>
      <c r="AB1335" s="54">
        <f>STOCK[[#This Row],[Stock Actual]]*STOCK[[#This Row],[Costo total]]</f>
        <v>0</v>
      </c>
      <c r="AC1335" s="76"/>
    </row>
    <row r="1336" s="53" customFormat="1" ht="50" customHeight="1" spans="1:29">
      <c r="A1336" s="53" t="s">
        <v>2754</v>
      </c>
      <c r="B1336" s="77"/>
      <c r="C1336" s="76" t="s">
        <v>32</v>
      </c>
      <c r="D1336" s="76" t="s">
        <v>2629</v>
      </c>
      <c r="E1336" s="76" t="s">
        <v>2755</v>
      </c>
      <c r="F1336" s="76" t="s">
        <v>62</v>
      </c>
      <c r="G1336" s="76" t="s">
        <v>36</v>
      </c>
      <c r="H1336" s="76">
        <f>STOCK[[#This Row],[Precio Final]]</f>
        <v>35</v>
      </c>
      <c r="I1336" s="76">
        <f>STOCK[[#This Row],[Precio Venta Ideal (x1.5)]]</f>
        <v>24.285</v>
      </c>
      <c r="J1336" s="78">
        <v>3</v>
      </c>
      <c r="K1336" s="78">
        <f>SUMIFS(VENTAS[Cantidad],VENTAS[Código del producto Vendido],STOCK[[#This Row],[Code]])</f>
        <v>0</v>
      </c>
      <c r="L1336" s="78">
        <f>STOCK[[#This Row],[Entradas]]-STOCK[[#This Row],[Salidas]]</f>
        <v>3</v>
      </c>
      <c r="M1336" s="76">
        <f>STOCK[[#This Row],[Precio Final]]*10%</f>
        <v>3.5</v>
      </c>
      <c r="N1336" s="76">
        <v>0</v>
      </c>
      <c r="O1336" s="76">
        <v>0</v>
      </c>
      <c r="P1336" s="76">
        <v>10.32</v>
      </c>
      <c r="Q1336" s="78">
        <v>0</v>
      </c>
      <c r="R1336" s="76">
        <v>0</v>
      </c>
      <c r="S1336" s="76">
        <v>2.37</v>
      </c>
      <c r="T1336" s="76">
        <f>STOCK[[#This Row],[Costo Unitario (USD)]]+STOCK[[#This Row],[Costo Envío (USD)]]+STOCK[[#This Row],[Comisión 10%]]</f>
        <v>16.19</v>
      </c>
      <c r="U1336" s="53">
        <f>STOCK[[#This Row],[Costo total]]*1.5</f>
        <v>24.285</v>
      </c>
      <c r="V1336" s="76">
        <v>35</v>
      </c>
      <c r="W1336" s="76">
        <f>STOCK[[#This Row],[Precio Final]]-STOCK[[#This Row],[Costo total]]</f>
        <v>18.81</v>
      </c>
      <c r="X1336" s="76">
        <f>STOCK[[#This Row],[Ganancia Unitaria]]*STOCK[[#This Row],[Salidas]]</f>
        <v>0</v>
      </c>
      <c r="Y1336" s="76" t="s">
        <v>2732</v>
      </c>
      <c r="Z1336" s="76"/>
      <c r="AA1336" s="54">
        <f>STOCK[[#This Row],[Costo total]]*STOCK[[#This Row],[Entradas]]</f>
        <v>48.57</v>
      </c>
      <c r="AB1336" s="54">
        <f>STOCK[[#This Row],[Stock Actual]]*STOCK[[#This Row],[Costo total]]</f>
        <v>48.57</v>
      </c>
      <c r="AC1336" s="76">
        <v>30</v>
      </c>
    </row>
    <row r="1337" s="53" customFormat="1" ht="50" customHeight="1" spans="1:29">
      <c r="A1337" s="53" t="s">
        <v>2756</v>
      </c>
      <c r="B1337" s="77"/>
      <c r="C1337" s="76" t="s">
        <v>32</v>
      </c>
      <c r="D1337" s="76" t="s">
        <v>2629</v>
      </c>
      <c r="E1337" s="76" t="s">
        <v>2755</v>
      </c>
      <c r="F1337" s="76" t="s">
        <v>49</v>
      </c>
      <c r="G1337" s="76" t="s">
        <v>36</v>
      </c>
      <c r="H1337" s="76">
        <f>STOCK[[#This Row],[Precio Final]]</f>
        <v>35</v>
      </c>
      <c r="I1337" s="76">
        <f>STOCK[[#This Row],[Precio Venta Ideal (x1.5)]]</f>
        <v>24.285</v>
      </c>
      <c r="J1337" s="78">
        <v>3</v>
      </c>
      <c r="K1337" s="78">
        <f>SUMIFS(VENTAS[Cantidad],VENTAS[Código del producto Vendido],STOCK[[#This Row],[Code]])</f>
        <v>0</v>
      </c>
      <c r="L1337" s="78">
        <f>STOCK[[#This Row],[Entradas]]-STOCK[[#This Row],[Salidas]]</f>
        <v>3</v>
      </c>
      <c r="M1337" s="76">
        <f>STOCK[[#This Row],[Precio Final]]*10%</f>
        <v>3.5</v>
      </c>
      <c r="N1337" s="76">
        <v>0</v>
      </c>
      <c r="O1337" s="76">
        <v>0</v>
      </c>
      <c r="P1337" s="76">
        <v>10.32</v>
      </c>
      <c r="Q1337" s="78">
        <v>0</v>
      </c>
      <c r="R1337" s="76">
        <v>0</v>
      </c>
      <c r="S1337" s="76">
        <v>2.37</v>
      </c>
      <c r="T1337" s="76">
        <f>STOCK[[#This Row],[Costo Unitario (USD)]]+STOCK[[#This Row],[Costo Envío (USD)]]+STOCK[[#This Row],[Comisión 10%]]</f>
        <v>16.19</v>
      </c>
      <c r="U1337" s="53">
        <f>STOCK[[#This Row],[Costo total]]*1.5</f>
        <v>24.285</v>
      </c>
      <c r="V1337" s="76">
        <v>35</v>
      </c>
      <c r="W1337" s="76">
        <f>STOCK[[#This Row],[Precio Final]]-STOCK[[#This Row],[Costo total]]</f>
        <v>18.81</v>
      </c>
      <c r="X1337" s="76">
        <f>STOCK[[#This Row],[Ganancia Unitaria]]*STOCK[[#This Row],[Salidas]]</f>
        <v>0</v>
      </c>
      <c r="Y1337" s="76" t="s">
        <v>2732</v>
      </c>
      <c r="Z1337" s="76"/>
      <c r="AA1337" s="54">
        <f>STOCK[[#This Row],[Costo total]]*STOCK[[#This Row],[Entradas]]</f>
        <v>48.57</v>
      </c>
      <c r="AB1337" s="54">
        <f>STOCK[[#This Row],[Stock Actual]]*STOCK[[#This Row],[Costo total]]</f>
        <v>48.57</v>
      </c>
      <c r="AC1337" s="76">
        <v>30</v>
      </c>
    </row>
    <row r="1338" s="53" customFormat="1" ht="50" customHeight="1" spans="1:29">
      <c r="A1338" s="53" t="s">
        <v>2757</v>
      </c>
      <c r="B1338" s="77"/>
      <c r="C1338" s="76" t="s">
        <v>32</v>
      </c>
      <c r="D1338" s="76" t="s">
        <v>2629</v>
      </c>
      <c r="E1338" s="76" t="s">
        <v>2755</v>
      </c>
      <c r="F1338" s="76" t="s">
        <v>46</v>
      </c>
      <c r="G1338" s="76" t="s">
        <v>36</v>
      </c>
      <c r="H1338" s="53">
        <f>STOCK[[#This Row],[Precio Final]]</f>
        <v>35</v>
      </c>
      <c r="I1338" s="79">
        <f>STOCK[[#This Row],[Precio Venta Ideal (x1.5)]]</f>
        <v>24.285</v>
      </c>
      <c r="J1338" s="78">
        <v>3</v>
      </c>
      <c r="K1338" s="70">
        <f>SUMIFS(VENTAS[Cantidad],VENTAS[Código del producto Vendido],STOCK[[#This Row],[Code]])</f>
        <v>0</v>
      </c>
      <c r="L1338" s="70">
        <f>STOCK[[#This Row],[Entradas]]-STOCK[[#This Row],[Salidas]]</f>
        <v>3</v>
      </c>
      <c r="M1338" s="53">
        <f>STOCK[[#This Row],[Precio Final]]*10%</f>
        <v>3.5</v>
      </c>
      <c r="N1338" s="76">
        <v>0</v>
      </c>
      <c r="O1338" s="76">
        <v>0</v>
      </c>
      <c r="P1338" s="53">
        <v>10.32</v>
      </c>
      <c r="Q1338" s="78">
        <v>0</v>
      </c>
      <c r="R1338" s="76">
        <v>0</v>
      </c>
      <c r="S1338" s="76">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6" t="s">
        <v>2732</v>
      </c>
      <c r="AA1338" s="54">
        <f>STOCK[[#This Row],[Costo total]]*STOCK[[#This Row],[Entradas]]</f>
        <v>48.57</v>
      </c>
      <c r="AB1338" s="54">
        <f>STOCK[[#This Row],[Stock Actual]]*STOCK[[#This Row],[Costo total]]</f>
        <v>48.57</v>
      </c>
      <c r="AC1338" s="53">
        <v>30</v>
      </c>
    </row>
    <row r="1339" s="53" customFormat="1" ht="50" customHeight="1" spans="1:29">
      <c r="A1339" s="53" t="s">
        <v>2758</v>
      </c>
      <c r="B1339" s="77"/>
      <c r="C1339" s="76" t="s">
        <v>32</v>
      </c>
      <c r="D1339" s="76" t="s">
        <v>2629</v>
      </c>
      <c r="E1339" s="76" t="s">
        <v>2759</v>
      </c>
      <c r="F1339" s="76" t="s">
        <v>62</v>
      </c>
      <c r="G1339" s="76" t="s">
        <v>36</v>
      </c>
      <c r="H1339" s="76">
        <f>STOCK[[#This Row],[Precio Final]]</f>
        <v>15</v>
      </c>
      <c r="I1339" s="80">
        <f>STOCK[[#This Row],[Precio Venta Ideal (x1.5)]]</f>
        <v>18.675</v>
      </c>
      <c r="J1339" s="78">
        <v>0</v>
      </c>
      <c r="K1339" s="78">
        <f>SUMIFS(VENTAS[Cantidad],VENTAS[Código del producto Vendido],STOCK[[#This Row],[Code]])</f>
        <v>0</v>
      </c>
      <c r="L1339" s="78">
        <f>STOCK[[#This Row],[Entradas]]-STOCK[[#This Row],[Salidas]]</f>
        <v>0</v>
      </c>
      <c r="M1339" s="76">
        <f>STOCK[[#This Row],[Precio Final]]*10%</f>
        <v>1.5</v>
      </c>
      <c r="N1339" s="76">
        <v>0</v>
      </c>
      <c r="O1339" s="76">
        <v>0</v>
      </c>
      <c r="P1339" s="76">
        <v>8.58</v>
      </c>
      <c r="Q1339" s="78">
        <v>0</v>
      </c>
      <c r="R1339" s="76">
        <v>0</v>
      </c>
      <c r="S1339" s="76">
        <v>2.37</v>
      </c>
      <c r="T1339" s="76">
        <f>STOCK[[#This Row],[Costo Unitario (USD)]]+STOCK[[#This Row],[Costo Envío (USD)]]+STOCK[[#This Row],[Comisión 10%]]</f>
        <v>12.45</v>
      </c>
      <c r="U1339" s="53">
        <f>STOCK[[#This Row],[Costo total]]*1.5</f>
        <v>18.675</v>
      </c>
      <c r="V1339" s="76">
        <v>15</v>
      </c>
      <c r="W1339" s="76">
        <f>STOCK[[#This Row],[Precio Final]]-STOCK[[#This Row],[Costo total]]</f>
        <v>2.55</v>
      </c>
      <c r="X1339" s="76">
        <f>STOCK[[#This Row],[Ganancia Unitaria]]*STOCK[[#This Row],[Salidas]]</f>
        <v>0</v>
      </c>
      <c r="Y1339" s="76" t="s">
        <v>2732</v>
      </c>
      <c r="Z1339" s="76"/>
      <c r="AA1339" s="54">
        <f>STOCK[[#This Row],[Costo total]]*STOCK[[#This Row],[Entradas]]</f>
        <v>0</v>
      </c>
      <c r="AB1339" s="54">
        <f>STOCK[[#This Row],[Stock Actual]]*STOCK[[#This Row],[Costo total]]</f>
        <v>0</v>
      </c>
      <c r="AC1339" s="76"/>
    </row>
    <row r="1340" s="53" customFormat="1" ht="50" customHeight="1" spans="1:29">
      <c r="A1340" s="53" t="s">
        <v>2760</v>
      </c>
      <c r="B1340" s="77"/>
      <c r="C1340" s="76" t="s">
        <v>32</v>
      </c>
      <c r="D1340" s="76" t="s">
        <v>2629</v>
      </c>
      <c r="E1340" s="76" t="s">
        <v>2761</v>
      </c>
      <c r="F1340" s="76" t="s">
        <v>62</v>
      </c>
      <c r="G1340" s="76" t="s">
        <v>36</v>
      </c>
      <c r="H1340" s="76">
        <f>STOCK[[#This Row],[Precio Final]]</f>
        <v>25</v>
      </c>
      <c r="I1340" s="80">
        <f>STOCK[[#This Row],[Precio Venta Ideal (x1.5)]]</f>
        <v>21.15</v>
      </c>
      <c r="J1340" s="78">
        <v>1</v>
      </c>
      <c r="K1340" s="78">
        <f>SUMIFS(VENTAS[Cantidad],VENTAS[Código del producto Vendido],STOCK[[#This Row],[Code]])</f>
        <v>1</v>
      </c>
      <c r="L1340" s="78">
        <f>STOCK[[#This Row],[Entradas]]-STOCK[[#This Row],[Salidas]]</f>
        <v>0</v>
      </c>
      <c r="M1340" s="76">
        <f>STOCK[[#This Row],[Precio Final]]*10%</f>
        <v>2.5</v>
      </c>
      <c r="N1340" s="76">
        <v>0</v>
      </c>
      <c r="O1340" s="76">
        <v>0</v>
      </c>
      <c r="P1340" s="76">
        <v>9.23</v>
      </c>
      <c r="Q1340" s="78">
        <v>0</v>
      </c>
      <c r="R1340" s="76">
        <v>0</v>
      </c>
      <c r="S1340" s="76">
        <v>2.37</v>
      </c>
      <c r="T1340" s="76">
        <f>STOCK[[#This Row],[Costo Unitario (USD)]]+STOCK[[#This Row],[Costo Envío (USD)]]+STOCK[[#This Row],[Comisión 10%]]</f>
        <v>14.1</v>
      </c>
      <c r="U1340" s="53">
        <f>STOCK[[#This Row],[Costo total]]*1.5</f>
        <v>21.15</v>
      </c>
      <c r="V1340" s="76">
        <v>25</v>
      </c>
      <c r="W1340" s="76">
        <f>STOCK[[#This Row],[Precio Final]]-STOCK[[#This Row],[Costo total]]</f>
        <v>10.9</v>
      </c>
      <c r="X1340" s="76">
        <f>STOCK[[#This Row],[Ganancia Unitaria]]*STOCK[[#This Row],[Salidas]]</f>
        <v>10.9</v>
      </c>
      <c r="Y1340" s="76" t="s">
        <v>2732</v>
      </c>
      <c r="Z1340" s="76"/>
      <c r="AA1340" s="54">
        <f>STOCK[[#This Row],[Costo total]]*STOCK[[#This Row],[Entradas]]</f>
        <v>14.1</v>
      </c>
      <c r="AB1340" s="54">
        <f>STOCK[[#This Row],[Stock Actual]]*STOCK[[#This Row],[Costo total]]</f>
        <v>0</v>
      </c>
      <c r="AC1340" s="76"/>
    </row>
    <row r="1341" s="53" customFormat="1" ht="50" customHeight="1" spans="1:29">
      <c r="A1341" s="53" t="s">
        <v>2762</v>
      </c>
      <c r="B1341" s="77"/>
      <c r="C1341" s="76" t="s">
        <v>32</v>
      </c>
      <c r="D1341" s="76" t="s">
        <v>2127</v>
      </c>
      <c r="E1341" s="76" t="s">
        <v>2763</v>
      </c>
      <c r="F1341" s="76" t="s">
        <v>62</v>
      </c>
      <c r="G1341" s="76" t="s">
        <v>36</v>
      </c>
      <c r="H1341" s="76">
        <f>STOCK[[#This Row],[Precio Final]]</f>
        <v>22</v>
      </c>
      <c r="I1341" s="80">
        <f>STOCK[[#This Row],[Precio Venta Ideal (x1.5)]]</f>
        <v>23.145</v>
      </c>
      <c r="J1341" s="78">
        <v>2</v>
      </c>
      <c r="K1341" s="78">
        <f>SUMIFS(VENTAS[Cantidad],VENTAS[Código del producto Vendido],STOCK[[#This Row],[Code]])</f>
        <v>2</v>
      </c>
      <c r="L1341" s="78">
        <f>STOCK[[#This Row],[Entradas]]-STOCK[[#This Row],[Salidas]]</f>
        <v>0</v>
      </c>
      <c r="M1341" s="76">
        <f>STOCK[[#This Row],[Precio Final]]*10%</f>
        <v>2.2</v>
      </c>
      <c r="N1341" s="76">
        <v>0</v>
      </c>
      <c r="O1341" s="76">
        <v>0</v>
      </c>
      <c r="P1341" s="76">
        <v>10.86</v>
      </c>
      <c r="Q1341" s="78">
        <v>0</v>
      </c>
      <c r="R1341" s="76">
        <v>0</v>
      </c>
      <c r="S1341" s="76">
        <v>2.37</v>
      </c>
      <c r="T1341" s="76">
        <f>STOCK[[#This Row],[Costo Unitario (USD)]]+STOCK[[#This Row],[Costo Envío (USD)]]+STOCK[[#This Row],[Comisión 10%]]</f>
        <v>15.43</v>
      </c>
      <c r="U1341" s="53">
        <f>STOCK[[#This Row],[Costo total]]*1.5</f>
        <v>23.145</v>
      </c>
      <c r="V1341" s="76">
        <v>22</v>
      </c>
      <c r="W1341" s="76">
        <f>STOCK[[#This Row],[Precio Final]]-STOCK[[#This Row],[Costo total]]</f>
        <v>6.57</v>
      </c>
      <c r="X1341" s="76">
        <f>STOCK[[#This Row],[Ganancia Unitaria]]*STOCK[[#This Row],[Salidas]]</f>
        <v>13.14</v>
      </c>
      <c r="Y1341" s="76" t="s">
        <v>2732</v>
      </c>
      <c r="Z1341" s="76"/>
      <c r="AA1341" s="54">
        <f>STOCK[[#This Row],[Costo total]]*STOCK[[#This Row],[Entradas]]</f>
        <v>30.86</v>
      </c>
      <c r="AB1341" s="54">
        <f>STOCK[[#This Row],[Stock Actual]]*STOCK[[#This Row],[Costo total]]</f>
        <v>0</v>
      </c>
      <c r="AC1341" s="76"/>
    </row>
    <row r="1342" s="53" customFormat="1" ht="50" customHeight="1" spans="1:29">
      <c r="A1342" s="53" t="s">
        <v>2764</v>
      </c>
      <c r="B1342" s="77"/>
      <c r="C1342" s="76" t="s">
        <v>32</v>
      </c>
      <c r="D1342" s="76" t="s">
        <v>2127</v>
      </c>
      <c r="E1342" s="76" t="s">
        <v>2763</v>
      </c>
      <c r="F1342" s="76" t="s">
        <v>49</v>
      </c>
      <c r="G1342" s="76" t="s">
        <v>36</v>
      </c>
      <c r="H1342" s="76">
        <f>STOCK[[#This Row],[Precio Final]]</f>
        <v>22</v>
      </c>
      <c r="I1342" s="80">
        <f>STOCK[[#This Row],[Precio Venta Ideal (x1.5)]]</f>
        <v>23.145</v>
      </c>
      <c r="J1342" s="78">
        <v>2</v>
      </c>
      <c r="K1342" s="78">
        <f>SUMIFS(VENTAS[Cantidad],VENTAS[Código del producto Vendido],STOCK[[#This Row],[Code]])</f>
        <v>1</v>
      </c>
      <c r="L1342" s="78">
        <f>STOCK[[#This Row],[Entradas]]-STOCK[[#This Row],[Salidas]]</f>
        <v>1</v>
      </c>
      <c r="M1342" s="76">
        <f>STOCK[[#This Row],[Precio Final]]*10%</f>
        <v>2.2</v>
      </c>
      <c r="N1342" s="76">
        <v>0</v>
      </c>
      <c r="O1342" s="76">
        <v>0</v>
      </c>
      <c r="P1342" s="76">
        <v>10.86</v>
      </c>
      <c r="Q1342" s="78">
        <v>0</v>
      </c>
      <c r="R1342" s="76">
        <v>0</v>
      </c>
      <c r="S1342" s="76">
        <v>2.37</v>
      </c>
      <c r="T1342" s="76">
        <f>STOCK[[#This Row],[Costo Unitario (USD)]]+STOCK[[#This Row],[Costo Envío (USD)]]+STOCK[[#This Row],[Comisión 10%]]</f>
        <v>15.43</v>
      </c>
      <c r="U1342" s="53">
        <f>STOCK[[#This Row],[Costo total]]*1.5</f>
        <v>23.145</v>
      </c>
      <c r="V1342" s="76">
        <v>22</v>
      </c>
      <c r="W1342" s="76">
        <f>STOCK[[#This Row],[Precio Final]]-STOCK[[#This Row],[Costo total]]</f>
        <v>6.57</v>
      </c>
      <c r="X1342" s="76">
        <f>STOCK[[#This Row],[Ganancia Unitaria]]*STOCK[[#This Row],[Salidas]]</f>
        <v>6.57</v>
      </c>
      <c r="Y1342" s="76" t="s">
        <v>2732</v>
      </c>
      <c r="Z1342" s="76"/>
      <c r="AA1342" s="54">
        <f>STOCK[[#This Row],[Costo total]]*STOCK[[#This Row],[Entradas]]</f>
        <v>30.86</v>
      </c>
      <c r="AB1342" s="54">
        <f>STOCK[[#This Row],[Stock Actual]]*STOCK[[#This Row],[Costo total]]</f>
        <v>15.43</v>
      </c>
      <c r="AC1342" s="76"/>
    </row>
    <row r="1343" s="53" customFormat="1" ht="50" customHeight="1" spans="1:29">
      <c r="A1343" s="53" t="s">
        <v>2765</v>
      </c>
      <c r="B1343" s="77"/>
      <c r="C1343" s="76" t="s">
        <v>32</v>
      </c>
      <c r="D1343" s="76" t="s">
        <v>2127</v>
      </c>
      <c r="E1343" s="76" t="s">
        <v>2763</v>
      </c>
      <c r="F1343" s="76" t="s">
        <v>46</v>
      </c>
      <c r="G1343" s="76" t="s">
        <v>36</v>
      </c>
      <c r="H1343" s="76">
        <f>STOCK[[#This Row],[Precio Final]]</f>
        <v>22</v>
      </c>
      <c r="I1343" s="80">
        <f>STOCK[[#This Row],[Precio Venta Ideal (x1.5)]]</f>
        <v>23.145</v>
      </c>
      <c r="J1343" s="78">
        <v>2</v>
      </c>
      <c r="K1343" s="78">
        <f>SUMIFS(VENTAS[Cantidad],VENTAS[Código del producto Vendido],STOCK[[#This Row],[Code]])</f>
        <v>0</v>
      </c>
      <c r="L1343" s="78">
        <f>STOCK[[#This Row],[Entradas]]-STOCK[[#This Row],[Salidas]]</f>
        <v>2</v>
      </c>
      <c r="M1343" s="76">
        <f>STOCK[[#This Row],[Precio Final]]*10%</f>
        <v>2.2</v>
      </c>
      <c r="N1343" s="76">
        <v>0</v>
      </c>
      <c r="O1343" s="76">
        <v>0</v>
      </c>
      <c r="P1343" s="76">
        <v>10.86</v>
      </c>
      <c r="Q1343" s="78">
        <v>0</v>
      </c>
      <c r="R1343" s="76">
        <v>0</v>
      </c>
      <c r="S1343" s="76">
        <v>2.37</v>
      </c>
      <c r="T1343" s="76">
        <f>STOCK[[#This Row],[Costo Unitario (USD)]]+STOCK[[#This Row],[Costo Envío (USD)]]+STOCK[[#This Row],[Comisión 10%]]</f>
        <v>15.43</v>
      </c>
      <c r="U1343" s="53">
        <f>STOCK[[#This Row],[Costo total]]*1.5</f>
        <v>23.145</v>
      </c>
      <c r="V1343" s="76">
        <v>22</v>
      </c>
      <c r="W1343" s="76">
        <f>STOCK[[#This Row],[Precio Final]]-STOCK[[#This Row],[Costo total]]</f>
        <v>6.57</v>
      </c>
      <c r="X1343" s="76">
        <f>STOCK[[#This Row],[Ganancia Unitaria]]*STOCK[[#This Row],[Salidas]]</f>
        <v>0</v>
      </c>
      <c r="Y1343" s="76" t="s">
        <v>2732</v>
      </c>
      <c r="Z1343" s="76"/>
      <c r="AA1343" s="54">
        <f>STOCK[[#This Row],[Costo total]]*STOCK[[#This Row],[Entradas]]</f>
        <v>30.86</v>
      </c>
      <c r="AB1343" s="54">
        <f>STOCK[[#This Row],[Stock Actual]]*STOCK[[#This Row],[Costo total]]</f>
        <v>30.86</v>
      </c>
      <c r="AC1343" s="76"/>
    </row>
    <row r="1344" s="53" customFormat="1" ht="50" customHeight="1" spans="1:29">
      <c r="A1344" s="53" t="s">
        <v>2766</v>
      </c>
      <c r="B1344" s="77"/>
      <c r="C1344" s="76" t="s">
        <v>32</v>
      </c>
      <c r="D1344" s="76" t="s">
        <v>2127</v>
      </c>
      <c r="E1344" s="76" t="s">
        <v>2767</v>
      </c>
      <c r="F1344" s="76" t="s">
        <v>62</v>
      </c>
      <c r="G1344" s="76" t="s">
        <v>36</v>
      </c>
      <c r="H1344" s="76">
        <f>STOCK[[#This Row],[Precio Final]]</f>
        <v>22</v>
      </c>
      <c r="I1344" s="80">
        <f>STOCK[[#This Row],[Precio Venta Ideal (x1.5)]]</f>
        <v>22.605</v>
      </c>
      <c r="J1344" s="78">
        <v>2</v>
      </c>
      <c r="K1344" s="78">
        <f>SUMIFS(VENTAS[Cantidad],VENTAS[Código del producto Vendido],STOCK[[#This Row],[Code]])</f>
        <v>0</v>
      </c>
      <c r="L1344" s="78">
        <f>STOCK[[#This Row],[Entradas]]-STOCK[[#This Row],[Salidas]]</f>
        <v>2</v>
      </c>
      <c r="M1344" s="76">
        <f>STOCK[[#This Row],[Precio Final]]*10%</f>
        <v>2.2</v>
      </c>
      <c r="N1344" s="76">
        <v>0</v>
      </c>
      <c r="O1344" s="76">
        <v>0</v>
      </c>
      <c r="P1344" s="76">
        <v>10.5</v>
      </c>
      <c r="Q1344" s="78">
        <v>0</v>
      </c>
      <c r="R1344" s="76">
        <v>0</v>
      </c>
      <c r="S1344" s="76">
        <v>2.37</v>
      </c>
      <c r="T1344" s="76">
        <f>STOCK[[#This Row],[Costo Unitario (USD)]]+STOCK[[#This Row],[Costo Envío (USD)]]+STOCK[[#This Row],[Comisión 10%]]</f>
        <v>15.07</v>
      </c>
      <c r="U1344" s="53">
        <f>STOCK[[#This Row],[Costo total]]*1.5</f>
        <v>22.605</v>
      </c>
      <c r="V1344" s="76">
        <v>22</v>
      </c>
      <c r="W1344" s="76">
        <f>STOCK[[#This Row],[Precio Final]]-STOCK[[#This Row],[Costo total]]</f>
        <v>6.93</v>
      </c>
      <c r="X1344" s="76">
        <f>STOCK[[#This Row],[Ganancia Unitaria]]*STOCK[[#This Row],[Salidas]]</f>
        <v>0</v>
      </c>
      <c r="Y1344" s="76" t="s">
        <v>2732</v>
      </c>
      <c r="Z1344" s="76"/>
      <c r="AA1344" s="54">
        <f>STOCK[[#This Row],[Costo total]]*STOCK[[#This Row],[Entradas]]</f>
        <v>30.14</v>
      </c>
      <c r="AB1344" s="54">
        <f>STOCK[[#This Row],[Stock Actual]]*STOCK[[#This Row],[Costo total]]</f>
        <v>30.14</v>
      </c>
      <c r="AC1344" s="76"/>
    </row>
    <row r="1345" s="53" customFormat="1" ht="50" customHeight="1" spans="1:29">
      <c r="A1345" s="53" t="s">
        <v>2768</v>
      </c>
      <c r="B1345" s="77"/>
      <c r="C1345" s="76" t="s">
        <v>32</v>
      </c>
      <c r="D1345" s="76" t="s">
        <v>2127</v>
      </c>
      <c r="E1345" s="76" t="s">
        <v>2767</v>
      </c>
      <c r="F1345" s="76" t="s">
        <v>49</v>
      </c>
      <c r="G1345" s="76" t="s">
        <v>36</v>
      </c>
      <c r="H1345" s="76">
        <f>STOCK[[#This Row],[Precio Final]]</f>
        <v>22</v>
      </c>
      <c r="I1345" s="80">
        <f>STOCK[[#This Row],[Precio Venta Ideal (x1.5)]]</f>
        <v>22.605</v>
      </c>
      <c r="J1345" s="78">
        <v>2</v>
      </c>
      <c r="K1345" s="78">
        <f>SUMIFS(VENTAS[Cantidad],VENTAS[Código del producto Vendido],STOCK[[#This Row],[Code]])</f>
        <v>0</v>
      </c>
      <c r="L1345" s="78">
        <f>STOCK[[#This Row],[Entradas]]-STOCK[[#This Row],[Salidas]]</f>
        <v>2</v>
      </c>
      <c r="M1345" s="76">
        <f>STOCK[[#This Row],[Precio Final]]*10%</f>
        <v>2.2</v>
      </c>
      <c r="N1345" s="76">
        <v>0</v>
      </c>
      <c r="O1345" s="76">
        <v>0</v>
      </c>
      <c r="P1345" s="76">
        <v>10.5</v>
      </c>
      <c r="Q1345" s="78">
        <v>0</v>
      </c>
      <c r="R1345" s="76">
        <v>0</v>
      </c>
      <c r="S1345" s="76">
        <v>2.37</v>
      </c>
      <c r="T1345" s="76">
        <f>STOCK[[#This Row],[Costo Unitario (USD)]]+STOCK[[#This Row],[Costo Envío (USD)]]+STOCK[[#This Row],[Comisión 10%]]</f>
        <v>15.07</v>
      </c>
      <c r="U1345" s="53">
        <f>STOCK[[#This Row],[Costo total]]*1.5</f>
        <v>22.605</v>
      </c>
      <c r="V1345" s="76">
        <v>22</v>
      </c>
      <c r="W1345" s="76">
        <f>STOCK[[#This Row],[Precio Final]]-STOCK[[#This Row],[Costo total]]</f>
        <v>6.93</v>
      </c>
      <c r="X1345" s="76">
        <f>STOCK[[#This Row],[Ganancia Unitaria]]*STOCK[[#This Row],[Salidas]]</f>
        <v>0</v>
      </c>
      <c r="Y1345" s="76" t="s">
        <v>2732</v>
      </c>
      <c r="Z1345" s="76"/>
      <c r="AA1345" s="54">
        <f>STOCK[[#This Row],[Costo total]]*STOCK[[#This Row],[Entradas]]</f>
        <v>30.14</v>
      </c>
      <c r="AB1345" s="54">
        <f>STOCK[[#This Row],[Stock Actual]]*STOCK[[#This Row],[Costo total]]</f>
        <v>30.14</v>
      </c>
      <c r="AC1345" s="76"/>
    </row>
    <row r="1346" s="53" customFormat="1" ht="50" customHeight="1" spans="1:29">
      <c r="A1346" s="53" t="s">
        <v>2769</v>
      </c>
      <c r="B1346" s="77"/>
      <c r="C1346" s="76" t="s">
        <v>32</v>
      </c>
      <c r="D1346" s="76" t="s">
        <v>2127</v>
      </c>
      <c r="E1346" s="76" t="s">
        <v>2767</v>
      </c>
      <c r="F1346" s="76" t="s">
        <v>46</v>
      </c>
      <c r="G1346" s="76" t="s">
        <v>36</v>
      </c>
      <c r="H1346" s="76">
        <f>STOCK[[#This Row],[Precio Final]]</f>
        <v>22</v>
      </c>
      <c r="I1346" s="80">
        <f>STOCK[[#This Row],[Precio Venta Ideal (x1.5)]]</f>
        <v>22.605</v>
      </c>
      <c r="J1346" s="78">
        <v>2</v>
      </c>
      <c r="K1346" s="78">
        <f>SUMIFS(VENTAS[Cantidad],VENTAS[Código del producto Vendido],STOCK[[#This Row],[Code]])</f>
        <v>2</v>
      </c>
      <c r="L1346" s="78">
        <f>STOCK[[#This Row],[Entradas]]-STOCK[[#This Row],[Salidas]]</f>
        <v>0</v>
      </c>
      <c r="M1346" s="76">
        <f>STOCK[[#This Row],[Precio Final]]*10%</f>
        <v>2.2</v>
      </c>
      <c r="N1346" s="76">
        <v>0</v>
      </c>
      <c r="O1346" s="76">
        <v>0</v>
      </c>
      <c r="P1346" s="76">
        <v>10.5</v>
      </c>
      <c r="Q1346" s="78">
        <v>0</v>
      </c>
      <c r="R1346" s="76">
        <v>0</v>
      </c>
      <c r="S1346" s="76">
        <v>2.37</v>
      </c>
      <c r="T1346" s="76">
        <f>STOCK[[#This Row],[Costo Unitario (USD)]]+STOCK[[#This Row],[Costo Envío (USD)]]+STOCK[[#This Row],[Comisión 10%]]</f>
        <v>15.07</v>
      </c>
      <c r="U1346" s="53">
        <f>STOCK[[#This Row],[Costo total]]*1.5</f>
        <v>22.605</v>
      </c>
      <c r="V1346" s="76">
        <v>22</v>
      </c>
      <c r="W1346" s="76">
        <f>STOCK[[#This Row],[Precio Final]]-STOCK[[#This Row],[Costo total]]</f>
        <v>6.93</v>
      </c>
      <c r="X1346" s="76">
        <f>STOCK[[#This Row],[Ganancia Unitaria]]*STOCK[[#This Row],[Salidas]]</f>
        <v>13.86</v>
      </c>
      <c r="Y1346" s="76" t="s">
        <v>2732</v>
      </c>
      <c r="Z1346" s="76"/>
      <c r="AA1346" s="54">
        <f>STOCK[[#This Row],[Costo total]]*STOCK[[#This Row],[Entradas]]</f>
        <v>30.14</v>
      </c>
      <c r="AB1346" s="54">
        <f>STOCK[[#This Row],[Stock Actual]]*STOCK[[#This Row],[Costo total]]</f>
        <v>0</v>
      </c>
      <c r="AC1346" s="76"/>
    </row>
    <row r="1347" s="53" customFormat="1" ht="50" customHeight="1" spans="1:29">
      <c r="A1347" s="53" t="s">
        <v>2770</v>
      </c>
      <c r="B1347" s="77"/>
      <c r="C1347" s="76" t="s">
        <v>32</v>
      </c>
      <c r="D1347" s="76" t="s">
        <v>1226</v>
      </c>
      <c r="E1347" s="76" t="s">
        <v>2771</v>
      </c>
      <c r="F1347" s="76" t="s">
        <v>517</v>
      </c>
      <c r="G1347" s="76" t="s">
        <v>2451</v>
      </c>
      <c r="H1347" s="76">
        <f>STOCK[[#This Row],[Precio Final]]</f>
        <v>45</v>
      </c>
      <c r="I1347" s="80">
        <f>STOCK[[#This Row],[Precio Venta Ideal (x1.5)]]</f>
        <v>36.225</v>
      </c>
      <c r="J1347" s="78">
        <v>2</v>
      </c>
      <c r="K1347" s="78">
        <f>SUMIFS(VENTAS[Cantidad],VENTAS[Código del producto Vendido],STOCK[[#This Row],[Code]])</f>
        <v>0</v>
      </c>
      <c r="L1347" s="78">
        <f>STOCK[[#This Row],[Entradas]]-STOCK[[#This Row],[Salidas]]</f>
        <v>2</v>
      </c>
      <c r="M1347" s="76">
        <f>STOCK[[#This Row],[Precio Final]]*10%</f>
        <v>4.5</v>
      </c>
      <c r="N1347" s="76">
        <v>0</v>
      </c>
      <c r="O1347" s="76">
        <v>0</v>
      </c>
      <c r="P1347" s="76">
        <v>18</v>
      </c>
      <c r="Q1347" s="78">
        <v>0</v>
      </c>
      <c r="R1347" s="76">
        <v>0</v>
      </c>
      <c r="S1347" s="76">
        <v>1.65</v>
      </c>
      <c r="T1347" s="76">
        <f>STOCK[[#This Row],[Costo Unitario (USD)]]+STOCK[[#This Row],[Costo Envío (USD)]]+STOCK[[#This Row],[Comisión 10%]]</f>
        <v>24.15</v>
      </c>
      <c r="U1347" s="53">
        <f>STOCK[[#This Row],[Costo total]]*1.5</f>
        <v>36.225</v>
      </c>
      <c r="V1347" s="76">
        <v>45</v>
      </c>
      <c r="W1347" s="76">
        <f>STOCK[[#This Row],[Precio Final]]-STOCK[[#This Row],[Costo total]]</f>
        <v>20.85</v>
      </c>
      <c r="X1347" s="76">
        <f>STOCK[[#This Row],[Ganancia Unitaria]]*STOCK[[#This Row],[Salidas]]</f>
        <v>0</v>
      </c>
      <c r="Y1347" s="76" t="s">
        <v>2772</v>
      </c>
      <c r="Z1347" s="76"/>
      <c r="AA1347" s="54">
        <f>STOCK[[#This Row],[Costo total]]*STOCK[[#This Row],[Entradas]]</f>
        <v>48.3</v>
      </c>
      <c r="AB1347" s="54">
        <f>STOCK[[#This Row],[Stock Actual]]*STOCK[[#This Row],[Costo total]]</f>
        <v>48.3</v>
      </c>
      <c r="AC1347" s="76"/>
    </row>
    <row r="1348" s="53" customFormat="1" ht="50" customHeight="1" spans="1:29">
      <c r="A1348" s="53" t="s">
        <v>2773</v>
      </c>
      <c r="B1348" s="77"/>
      <c r="C1348" s="76" t="s">
        <v>32</v>
      </c>
      <c r="D1348" s="76" t="s">
        <v>1226</v>
      </c>
      <c r="E1348" s="76" t="s">
        <v>2771</v>
      </c>
      <c r="F1348" s="76" t="s">
        <v>766</v>
      </c>
      <c r="G1348" s="76" t="s">
        <v>2451</v>
      </c>
      <c r="H1348" s="76">
        <f>STOCK[[#This Row],[Precio Final]]</f>
        <v>45</v>
      </c>
      <c r="I1348" s="80">
        <f>STOCK[[#This Row],[Precio Venta Ideal (x1.5)]]</f>
        <v>36.225</v>
      </c>
      <c r="J1348" s="78">
        <v>2</v>
      </c>
      <c r="K1348" s="78">
        <f>SUMIFS(VENTAS[Cantidad],VENTAS[Código del producto Vendido],STOCK[[#This Row],[Code]])</f>
        <v>2</v>
      </c>
      <c r="L1348" s="78">
        <f>STOCK[[#This Row],[Entradas]]-STOCK[[#This Row],[Salidas]]</f>
        <v>0</v>
      </c>
      <c r="M1348" s="76">
        <f>STOCK[[#This Row],[Precio Final]]*10%</f>
        <v>4.5</v>
      </c>
      <c r="N1348" s="76">
        <v>0</v>
      </c>
      <c r="O1348" s="76">
        <v>0</v>
      </c>
      <c r="P1348" s="76">
        <v>18</v>
      </c>
      <c r="Q1348" s="78">
        <v>0</v>
      </c>
      <c r="R1348" s="76">
        <v>0</v>
      </c>
      <c r="S1348" s="76">
        <v>1.65</v>
      </c>
      <c r="T1348" s="76">
        <f>STOCK[[#This Row],[Costo Unitario (USD)]]+STOCK[[#This Row],[Costo Envío (USD)]]+STOCK[[#This Row],[Comisión 10%]]</f>
        <v>24.15</v>
      </c>
      <c r="U1348" s="53">
        <f>STOCK[[#This Row],[Costo total]]*1.5</f>
        <v>36.225</v>
      </c>
      <c r="V1348" s="76">
        <v>45</v>
      </c>
      <c r="W1348" s="76">
        <f>STOCK[[#This Row],[Precio Final]]-STOCK[[#This Row],[Costo total]]</f>
        <v>20.85</v>
      </c>
      <c r="X1348" s="76">
        <f>STOCK[[#This Row],[Ganancia Unitaria]]*STOCK[[#This Row],[Salidas]]</f>
        <v>41.7</v>
      </c>
      <c r="Y1348" s="76"/>
      <c r="Z1348" s="76"/>
      <c r="AA1348" s="54">
        <f>STOCK[[#This Row],[Costo total]]*STOCK[[#This Row],[Entradas]]</f>
        <v>48.3</v>
      </c>
      <c r="AB1348" s="54">
        <f>STOCK[[#This Row],[Stock Actual]]*STOCK[[#This Row],[Costo total]]</f>
        <v>0</v>
      </c>
      <c r="AC1348" s="76"/>
    </row>
    <row r="1349" s="53" customFormat="1" ht="50" customHeight="1" spans="1:29">
      <c r="A1349" s="53" t="s">
        <v>2774</v>
      </c>
      <c r="B1349" s="77"/>
      <c r="C1349" s="76" t="s">
        <v>32</v>
      </c>
      <c r="D1349" s="76" t="s">
        <v>1226</v>
      </c>
      <c r="E1349" s="76" t="s">
        <v>2771</v>
      </c>
      <c r="F1349" s="76" t="s">
        <v>764</v>
      </c>
      <c r="G1349" s="76" t="s">
        <v>2451</v>
      </c>
      <c r="H1349" s="76">
        <f>STOCK[[#This Row],[Precio Final]]</f>
        <v>45</v>
      </c>
      <c r="I1349" s="80">
        <f>STOCK[[#This Row],[Precio Venta Ideal (x1.5)]]</f>
        <v>36.225</v>
      </c>
      <c r="J1349" s="78">
        <v>1</v>
      </c>
      <c r="K1349" s="78">
        <f>SUMIFS(VENTAS[Cantidad],VENTAS[Código del producto Vendido],STOCK[[#This Row],[Code]])</f>
        <v>1</v>
      </c>
      <c r="L1349" s="78">
        <f>STOCK[[#This Row],[Entradas]]-STOCK[[#This Row],[Salidas]]</f>
        <v>0</v>
      </c>
      <c r="M1349" s="76">
        <f>STOCK[[#This Row],[Precio Final]]*10%</f>
        <v>4.5</v>
      </c>
      <c r="N1349" s="76">
        <v>0</v>
      </c>
      <c r="O1349" s="76">
        <v>0</v>
      </c>
      <c r="P1349" s="76">
        <v>18</v>
      </c>
      <c r="Q1349" s="78">
        <v>0</v>
      </c>
      <c r="R1349" s="76">
        <v>0</v>
      </c>
      <c r="S1349" s="76">
        <v>1.65</v>
      </c>
      <c r="T1349" s="76">
        <f>STOCK[[#This Row],[Costo Unitario (USD)]]+STOCK[[#This Row],[Costo Envío (USD)]]+STOCK[[#This Row],[Comisión 10%]]</f>
        <v>24.15</v>
      </c>
      <c r="U1349" s="53">
        <f>STOCK[[#This Row],[Costo total]]*1.5</f>
        <v>36.225</v>
      </c>
      <c r="V1349" s="76">
        <v>45</v>
      </c>
      <c r="W1349" s="76">
        <f>STOCK[[#This Row],[Precio Final]]-STOCK[[#This Row],[Costo total]]</f>
        <v>20.85</v>
      </c>
      <c r="X1349" s="76">
        <f>STOCK[[#This Row],[Ganancia Unitaria]]*STOCK[[#This Row],[Salidas]]</f>
        <v>20.85</v>
      </c>
      <c r="Y1349" s="76"/>
      <c r="Z1349" s="76"/>
      <c r="AA1349" s="54">
        <f>STOCK[[#This Row],[Costo total]]*STOCK[[#This Row],[Entradas]]</f>
        <v>24.15</v>
      </c>
      <c r="AB1349" s="54">
        <f>STOCK[[#This Row],[Stock Actual]]*STOCK[[#This Row],[Costo total]]</f>
        <v>0</v>
      </c>
      <c r="AC1349" s="76"/>
    </row>
    <row r="1350" s="53" customFormat="1" ht="50" customHeight="1" spans="1:29">
      <c r="A1350" s="53" t="s">
        <v>2775</v>
      </c>
      <c r="B1350" s="77"/>
      <c r="C1350" s="76" t="s">
        <v>32</v>
      </c>
      <c r="D1350" s="76" t="s">
        <v>1226</v>
      </c>
      <c r="E1350" s="76" t="s">
        <v>2771</v>
      </c>
      <c r="F1350" s="76" t="s">
        <v>759</v>
      </c>
      <c r="G1350" s="76" t="s">
        <v>2451</v>
      </c>
      <c r="H1350" s="76">
        <f>STOCK[[#This Row],[Precio Final]]</f>
        <v>45</v>
      </c>
      <c r="I1350" s="80">
        <f>STOCK[[#This Row],[Precio Venta Ideal (x1.5)]]</f>
        <v>36.225</v>
      </c>
      <c r="J1350" s="78">
        <v>2</v>
      </c>
      <c r="K1350" s="78">
        <f>SUMIFS(VENTAS[Cantidad],VENTAS[Código del producto Vendido],STOCK[[#This Row],[Code]])</f>
        <v>0</v>
      </c>
      <c r="L1350" s="78">
        <f>STOCK[[#This Row],[Entradas]]-STOCK[[#This Row],[Salidas]]</f>
        <v>2</v>
      </c>
      <c r="M1350" s="76">
        <f>STOCK[[#This Row],[Precio Final]]*10%</f>
        <v>4.5</v>
      </c>
      <c r="N1350" s="76">
        <v>0</v>
      </c>
      <c r="O1350" s="76">
        <v>0</v>
      </c>
      <c r="P1350" s="76">
        <v>18</v>
      </c>
      <c r="Q1350" s="78">
        <v>0</v>
      </c>
      <c r="R1350" s="76">
        <v>0</v>
      </c>
      <c r="S1350" s="76">
        <v>1.65</v>
      </c>
      <c r="T1350" s="76">
        <f>STOCK[[#This Row],[Costo Unitario (USD)]]+STOCK[[#This Row],[Costo Envío (USD)]]+STOCK[[#This Row],[Comisión 10%]]</f>
        <v>24.15</v>
      </c>
      <c r="U1350" s="53">
        <f>STOCK[[#This Row],[Costo total]]*1.5</f>
        <v>36.225</v>
      </c>
      <c r="V1350" s="76">
        <v>45</v>
      </c>
      <c r="W1350" s="76">
        <f>STOCK[[#This Row],[Precio Final]]-STOCK[[#This Row],[Costo total]]</f>
        <v>20.85</v>
      </c>
      <c r="X1350" s="76">
        <f>STOCK[[#This Row],[Ganancia Unitaria]]*STOCK[[#This Row],[Salidas]]</f>
        <v>0</v>
      </c>
      <c r="Y1350" s="76"/>
      <c r="Z1350" s="76"/>
      <c r="AA1350" s="54">
        <f>STOCK[[#This Row],[Costo total]]*STOCK[[#This Row],[Entradas]]</f>
        <v>48.3</v>
      </c>
      <c r="AB1350" s="54">
        <f>STOCK[[#This Row],[Stock Actual]]*STOCK[[#This Row],[Costo total]]</f>
        <v>48.3</v>
      </c>
      <c r="AC1350" s="76"/>
    </row>
    <row r="1351" s="53" customFormat="1" ht="50" customHeight="1" spans="1:29">
      <c r="A1351" s="53" t="s">
        <v>2776</v>
      </c>
      <c r="B1351" s="77"/>
      <c r="C1351" s="76" t="s">
        <v>32</v>
      </c>
      <c r="D1351" s="76" t="s">
        <v>1226</v>
      </c>
      <c r="E1351" s="76" t="s">
        <v>2777</v>
      </c>
      <c r="F1351" s="76" t="s">
        <v>517</v>
      </c>
      <c r="G1351" s="76" t="s">
        <v>2451</v>
      </c>
      <c r="H1351" s="76">
        <f>STOCK[[#This Row],[Precio Final]]</f>
        <v>35</v>
      </c>
      <c r="I1351" s="80">
        <f>STOCK[[#This Row],[Precio Venta Ideal (x1.5)]]</f>
        <v>23.475</v>
      </c>
      <c r="J1351" s="78">
        <v>1</v>
      </c>
      <c r="K1351" s="78">
        <f>SUMIFS(VENTAS[Cantidad],VENTAS[Código del producto Vendido],STOCK[[#This Row],[Code]])</f>
        <v>1</v>
      </c>
      <c r="L1351" s="78">
        <f>STOCK[[#This Row],[Entradas]]-STOCK[[#This Row],[Salidas]]</f>
        <v>0</v>
      </c>
      <c r="M1351" s="76">
        <f>STOCK[[#This Row],[Precio Final]]*10%</f>
        <v>3.5</v>
      </c>
      <c r="N1351" s="76">
        <v>0</v>
      </c>
      <c r="O1351" s="76">
        <v>0</v>
      </c>
      <c r="P1351" s="76">
        <v>10.5</v>
      </c>
      <c r="Q1351" s="78">
        <v>0</v>
      </c>
      <c r="R1351" s="76">
        <v>0</v>
      </c>
      <c r="S1351" s="76">
        <v>1.65</v>
      </c>
      <c r="T1351" s="76">
        <f>STOCK[[#This Row],[Costo Unitario (USD)]]+STOCK[[#This Row],[Costo Envío (USD)]]+STOCK[[#This Row],[Comisión 10%]]</f>
        <v>15.65</v>
      </c>
      <c r="U1351" s="53">
        <f>STOCK[[#This Row],[Costo total]]*1.5</f>
        <v>23.475</v>
      </c>
      <c r="V1351" s="76">
        <v>35</v>
      </c>
      <c r="W1351" s="76">
        <f>STOCK[[#This Row],[Precio Final]]-STOCK[[#This Row],[Costo total]]</f>
        <v>19.35</v>
      </c>
      <c r="X1351" s="76">
        <f>STOCK[[#This Row],[Ganancia Unitaria]]*STOCK[[#This Row],[Salidas]]</f>
        <v>19.35</v>
      </c>
      <c r="Y1351" s="76"/>
      <c r="Z1351" s="76"/>
      <c r="AA1351" s="54">
        <f>STOCK[[#This Row],[Costo total]]*STOCK[[#This Row],[Entradas]]</f>
        <v>15.65</v>
      </c>
      <c r="AB1351" s="54">
        <f>STOCK[[#This Row],[Stock Actual]]*STOCK[[#This Row],[Costo total]]</f>
        <v>0</v>
      </c>
      <c r="AC1351" s="76"/>
    </row>
    <row r="1352" s="53" customFormat="1" ht="50" customHeight="1" spans="1:29">
      <c r="A1352" s="53" t="s">
        <v>2778</v>
      </c>
      <c r="B1352" s="77"/>
      <c r="C1352" s="76" t="s">
        <v>32</v>
      </c>
      <c r="D1352" s="76" t="s">
        <v>1226</v>
      </c>
      <c r="E1352" s="76" t="s">
        <v>2777</v>
      </c>
      <c r="F1352" s="76" t="s">
        <v>540</v>
      </c>
      <c r="G1352" s="76" t="s">
        <v>2451</v>
      </c>
      <c r="H1352" s="76">
        <f>STOCK[[#This Row],[Precio Final]]</f>
        <v>35</v>
      </c>
      <c r="I1352" s="80">
        <f>STOCK[[#This Row],[Precio Venta Ideal (x1.5)]]</f>
        <v>23.475</v>
      </c>
      <c r="J1352" s="78">
        <v>2</v>
      </c>
      <c r="K1352" s="78">
        <f>SUMIFS(VENTAS[Cantidad],VENTAS[Código del producto Vendido],STOCK[[#This Row],[Code]])</f>
        <v>2</v>
      </c>
      <c r="L1352" s="78">
        <f>STOCK[[#This Row],[Entradas]]-STOCK[[#This Row],[Salidas]]</f>
        <v>0</v>
      </c>
      <c r="M1352" s="76">
        <f>STOCK[[#This Row],[Precio Final]]*10%</f>
        <v>3.5</v>
      </c>
      <c r="N1352" s="76">
        <v>0</v>
      </c>
      <c r="O1352" s="76">
        <v>0</v>
      </c>
      <c r="P1352" s="76">
        <v>10.5</v>
      </c>
      <c r="Q1352" s="78">
        <v>0</v>
      </c>
      <c r="R1352" s="76">
        <v>0</v>
      </c>
      <c r="S1352" s="76">
        <v>1.65</v>
      </c>
      <c r="T1352" s="76">
        <f>STOCK[[#This Row],[Costo Unitario (USD)]]+STOCK[[#This Row],[Costo Envío (USD)]]+STOCK[[#This Row],[Comisión 10%]]</f>
        <v>15.65</v>
      </c>
      <c r="U1352" s="53">
        <f>STOCK[[#This Row],[Costo total]]*1.5</f>
        <v>23.475</v>
      </c>
      <c r="V1352" s="76">
        <v>35</v>
      </c>
      <c r="W1352" s="76">
        <f>STOCK[[#This Row],[Precio Final]]-STOCK[[#This Row],[Costo total]]</f>
        <v>19.35</v>
      </c>
      <c r="X1352" s="76">
        <f>STOCK[[#This Row],[Ganancia Unitaria]]*STOCK[[#This Row],[Salidas]]</f>
        <v>38.7</v>
      </c>
      <c r="Y1352" s="76"/>
      <c r="Z1352" s="76"/>
      <c r="AA1352" s="54">
        <f>STOCK[[#This Row],[Costo total]]*STOCK[[#This Row],[Entradas]]</f>
        <v>31.3</v>
      </c>
      <c r="AB1352" s="54">
        <f>STOCK[[#This Row],[Stock Actual]]*STOCK[[#This Row],[Costo total]]</f>
        <v>0</v>
      </c>
      <c r="AC1352" s="76"/>
    </row>
    <row r="1353" s="53" customFormat="1" ht="50" customHeight="1" spans="1:29">
      <c r="A1353" s="53" t="s">
        <v>2779</v>
      </c>
      <c r="B1353" s="77"/>
      <c r="C1353" s="76" t="s">
        <v>32</v>
      </c>
      <c r="D1353" s="76" t="s">
        <v>1226</v>
      </c>
      <c r="E1353" s="76" t="s">
        <v>2777</v>
      </c>
      <c r="F1353" s="76" t="s">
        <v>754</v>
      </c>
      <c r="G1353" s="76" t="s">
        <v>2451</v>
      </c>
      <c r="H1353" s="76">
        <f>STOCK[[#This Row],[Precio Final]]</f>
        <v>35</v>
      </c>
      <c r="I1353" s="80">
        <f>STOCK[[#This Row],[Precio Venta Ideal (x1.5)]]</f>
        <v>23.475</v>
      </c>
      <c r="J1353" s="78">
        <v>2</v>
      </c>
      <c r="K1353" s="78">
        <f>SUMIFS(VENTAS[Cantidad],VENTAS[Código del producto Vendido],STOCK[[#This Row],[Code]])</f>
        <v>1</v>
      </c>
      <c r="L1353" s="78">
        <f>STOCK[[#This Row],[Entradas]]-STOCK[[#This Row],[Salidas]]</f>
        <v>1</v>
      </c>
      <c r="M1353" s="76">
        <f>STOCK[[#This Row],[Precio Final]]*10%</f>
        <v>3.5</v>
      </c>
      <c r="N1353" s="76">
        <v>0</v>
      </c>
      <c r="O1353" s="76">
        <v>0</v>
      </c>
      <c r="P1353" s="76">
        <v>10.5</v>
      </c>
      <c r="Q1353" s="78">
        <v>0</v>
      </c>
      <c r="R1353" s="76">
        <v>0</v>
      </c>
      <c r="S1353" s="76">
        <v>1.65</v>
      </c>
      <c r="T1353" s="76">
        <f>STOCK[[#This Row],[Costo Unitario (USD)]]+STOCK[[#This Row],[Costo Envío (USD)]]+STOCK[[#This Row],[Comisión 10%]]</f>
        <v>15.65</v>
      </c>
      <c r="U1353" s="53">
        <f>STOCK[[#This Row],[Costo total]]*1.5</f>
        <v>23.475</v>
      </c>
      <c r="V1353" s="76">
        <v>35</v>
      </c>
      <c r="W1353" s="76">
        <f>STOCK[[#This Row],[Precio Final]]-STOCK[[#This Row],[Costo total]]</f>
        <v>19.35</v>
      </c>
      <c r="X1353" s="76">
        <f>STOCK[[#This Row],[Ganancia Unitaria]]*STOCK[[#This Row],[Salidas]]</f>
        <v>19.35</v>
      </c>
      <c r="Y1353" s="76"/>
      <c r="Z1353" s="76"/>
      <c r="AA1353" s="54">
        <f>STOCK[[#This Row],[Costo total]]*STOCK[[#This Row],[Entradas]]</f>
        <v>31.3</v>
      </c>
      <c r="AB1353" s="54">
        <f>STOCK[[#This Row],[Stock Actual]]*STOCK[[#This Row],[Costo total]]</f>
        <v>15.65</v>
      </c>
      <c r="AC1353" s="76"/>
    </row>
    <row r="1354" s="53" customFormat="1" ht="50" customHeight="1" spans="1:29">
      <c r="A1354" s="53" t="s">
        <v>2780</v>
      </c>
      <c r="B1354" s="77"/>
      <c r="C1354" s="76" t="s">
        <v>32</v>
      </c>
      <c r="D1354" s="76" t="s">
        <v>1226</v>
      </c>
      <c r="E1354" s="76" t="s">
        <v>2781</v>
      </c>
      <c r="F1354" s="76" t="s">
        <v>517</v>
      </c>
      <c r="G1354" s="76" t="s">
        <v>2451</v>
      </c>
      <c r="H1354" s="76">
        <f>STOCK[[#This Row],[Precio Final]]</f>
        <v>35</v>
      </c>
      <c r="I1354" s="80">
        <f>STOCK[[#This Row],[Precio Venta Ideal (x1.5)]]</f>
        <v>20.85</v>
      </c>
      <c r="J1354" s="78">
        <v>2</v>
      </c>
      <c r="K1354" s="78">
        <f>SUMIFS(VENTAS[Cantidad],VENTAS[Código del producto Vendido],STOCK[[#This Row],[Code]])</f>
        <v>1</v>
      </c>
      <c r="L1354" s="78">
        <f>STOCK[[#This Row],[Entradas]]-STOCK[[#This Row],[Salidas]]</f>
        <v>1</v>
      </c>
      <c r="M1354" s="76">
        <f>STOCK[[#This Row],[Precio Final]]*10%</f>
        <v>3.5</v>
      </c>
      <c r="N1354" s="76">
        <v>0</v>
      </c>
      <c r="O1354" s="76">
        <v>0</v>
      </c>
      <c r="P1354" s="76">
        <v>8.75</v>
      </c>
      <c r="Q1354" s="78">
        <v>0</v>
      </c>
      <c r="R1354" s="76">
        <v>0</v>
      </c>
      <c r="S1354" s="76">
        <v>1.65</v>
      </c>
      <c r="T1354" s="76">
        <f>STOCK[[#This Row],[Costo Unitario (USD)]]+STOCK[[#This Row],[Costo Envío (USD)]]+STOCK[[#This Row],[Comisión 10%]]</f>
        <v>13.9</v>
      </c>
      <c r="U1354" s="53">
        <f>STOCK[[#This Row],[Costo total]]*1.5</f>
        <v>20.85</v>
      </c>
      <c r="V1354" s="76">
        <v>35</v>
      </c>
      <c r="W1354" s="76">
        <f>STOCK[[#This Row],[Precio Final]]-STOCK[[#This Row],[Costo total]]</f>
        <v>21.1</v>
      </c>
      <c r="X1354" s="76">
        <f>STOCK[[#This Row],[Ganancia Unitaria]]*STOCK[[#This Row],[Salidas]]</f>
        <v>21.1</v>
      </c>
      <c r="Y1354" s="76"/>
      <c r="Z1354" s="76"/>
      <c r="AA1354" s="54">
        <f>STOCK[[#This Row],[Costo total]]*STOCK[[#This Row],[Entradas]]</f>
        <v>27.8</v>
      </c>
      <c r="AB1354" s="54">
        <f>STOCK[[#This Row],[Stock Actual]]*STOCK[[#This Row],[Costo total]]</f>
        <v>13.9</v>
      </c>
      <c r="AC1354" s="76"/>
    </row>
    <row r="1355" s="53" customFormat="1" ht="50" customHeight="1" spans="1:29">
      <c r="A1355" s="53" t="s">
        <v>2782</v>
      </c>
      <c r="B1355" s="77"/>
      <c r="C1355" s="76" t="s">
        <v>32</v>
      </c>
      <c r="D1355" s="76" t="s">
        <v>1226</v>
      </c>
      <c r="E1355" s="76" t="s">
        <v>2781</v>
      </c>
      <c r="F1355" s="76" t="s">
        <v>766</v>
      </c>
      <c r="G1355" s="76" t="s">
        <v>2451</v>
      </c>
      <c r="H1355" s="76">
        <f>STOCK[[#This Row],[Precio Final]]</f>
        <v>35</v>
      </c>
      <c r="I1355" s="80">
        <f>STOCK[[#This Row],[Precio Venta Ideal (x1.5)]]</f>
        <v>20.85</v>
      </c>
      <c r="J1355" s="78">
        <v>2</v>
      </c>
      <c r="K1355" s="78">
        <f>SUMIFS(VENTAS[Cantidad],VENTAS[Código del producto Vendido],STOCK[[#This Row],[Code]])</f>
        <v>0</v>
      </c>
      <c r="L1355" s="78">
        <f>STOCK[[#This Row],[Entradas]]-STOCK[[#This Row],[Salidas]]</f>
        <v>2</v>
      </c>
      <c r="M1355" s="76">
        <f>STOCK[[#This Row],[Precio Final]]*10%</f>
        <v>3.5</v>
      </c>
      <c r="N1355" s="76">
        <v>0</v>
      </c>
      <c r="O1355" s="76">
        <v>0</v>
      </c>
      <c r="P1355" s="76">
        <v>8.75</v>
      </c>
      <c r="Q1355" s="78">
        <v>0</v>
      </c>
      <c r="R1355" s="76">
        <v>0</v>
      </c>
      <c r="S1355" s="76">
        <v>1.65</v>
      </c>
      <c r="T1355" s="76">
        <f>STOCK[[#This Row],[Costo Unitario (USD)]]+STOCK[[#This Row],[Costo Envío (USD)]]+STOCK[[#This Row],[Comisión 10%]]</f>
        <v>13.9</v>
      </c>
      <c r="U1355" s="53">
        <f>STOCK[[#This Row],[Costo total]]*1.5</f>
        <v>20.85</v>
      </c>
      <c r="V1355" s="76">
        <v>35</v>
      </c>
      <c r="W1355" s="76">
        <f>STOCK[[#This Row],[Precio Final]]-STOCK[[#This Row],[Costo total]]</f>
        <v>21.1</v>
      </c>
      <c r="X1355" s="76">
        <f>STOCK[[#This Row],[Ganancia Unitaria]]*STOCK[[#This Row],[Salidas]]</f>
        <v>0</v>
      </c>
      <c r="Y1355" s="76"/>
      <c r="Z1355" s="76"/>
      <c r="AA1355" s="54">
        <f>STOCK[[#This Row],[Costo total]]*STOCK[[#This Row],[Entradas]]</f>
        <v>27.8</v>
      </c>
      <c r="AB1355" s="54">
        <f>STOCK[[#This Row],[Stock Actual]]*STOCK[[#This Row],[Costo total]]</f>
        <v>27.8</v>
      </c>
      <c r="AC1355" s="76"/>
    </row>
    <row r="1356" s="53" customFormat="1" ht="50" customHeight="1" spans="1:29">
      <c r="A1356" s="53" t="s">
        <v>2783</v>
      </c>
      <c r="B1356" s="77"/>
      <c r="C1356" s="76" t="s">
        <v>32</v>
      </c>
      <c r="D1356" s="76" t="s">
        <v>1226</v>
      </c>
      <c r="E1356" s="76" t="s">
        <v>2781</v>
      </c>
      <c r="F1356" s="76" t="s">
        <v>540</v>
      </c>
      <c r="G1356" s="76" t="s">
        <v>2451</v>
      </c>
      <c r="H1356" s="76">
        <f>STOCK[[#This Row],[Precio Final]]</f>
        <v>35</v>
      </c>
      <c r="I1356" s="80">
        <f>STOCK[[#This Row],[Precio Venta Ideal (x1.5)]]</f>
        <v>20.85</v>
      </c>
      <c r="J1356" s="78">
        <v>2</v>
      </c>
      <c r="K1356" s="78">
        <f>SUMIFS(VENTAS[Cantidad],VENTAS[Código del producto Vendido],STOCK[[#This Row],[Code]])</f>
        <v>1</v>
      </c>
      <c r="L1356" s="78">
        <f>STOCK[[#This Row],[Entradas]]-STOCK[[#This Row],[Salidas]]</f>
        <v>1</v>
      </c>
      <c r="M1356" s="76">
        <f>STOCK[[#This Row],[Precio Final]]*10%</f>
        <v>3.5</v>
      </c>
      <c r="N1356" s="76">
        <v>0</v>
      </c>
      <c r="O1356" s="76">
        <v>0</v>
      </c>
      <c r="P1356" s="76">
        <v>8.75</v>
      </c>
      <c r="Q1356" s="78">
        <v>0</v>
      </c>
      <c r="R1356" s="76">
        <v>0</v>
      </c>
      <c r="S1356" s="76">
        <v>1.65</v>
      </c>
      <c r="T1356" s="76">
        <f>STOCK[[#This Row],[Costo Unitario (USD)]]+STOCK[[#This Row],[Costo Envío (USD)]]+STOCK[[#This Row],[Comisión 10%]]</f>
        <v>13.9</v>
      </c>
      <c r="U1356" s="53">
        <f>STOCK[[#This Row],[Costo total]]*1.5</f>
        <v>20.85</v>
      </c>
      <c r="V1356" s="76">
        <v>35</v>
      </c>
      <c r="W1356" s="76">
        <f>STOCK[[#This Row],[Precio Final]]-STOCK[[#This Row],[Costo total]]</f>
        <v>21.1</v>
      </c>
      <c r="X1356" s="76">
        <f>STOCK[[#This Row],[Ganancia Unitaria]]*STOCK[[#This Row],[Salidas]]</f>
        <v>21.1</v>
      </c>
      <c r="Y1356" s="76"/>
      <c r="Z1356" s="76"/>
      <c r="AA1356" s="54">
        <f>STOCK[[#This Row],[Costo total]]*STOCK[[#This Row],[Entradas]]</f>
        <v>27.8</v>
      </c>
      <c r="AB1356" s="54">
        <f>STOCK[[#This Row],[Stock Actual]]*STOCK[[#This Row],[Costo total]]</f>
        <v>13.9</v>
      </c>
      <c r="AC1356" s="76"/>
    </row>
    <row r="1357" s="53" customFormat="1" ht="50" customHeight="1" spans="1:29">
      <c r="A1357" s="53" t="s">
        <v>2784</v>
      </c>
      <c r="B1357" s="77"/>
      <c r="C1357" s="76" t="s">
        <v>32</v>
      </c>
      <c r="D1357" s="76" t="s">
        <v>1226</v>
      </c>
      <c r="E1357" s="76" t="s">
        <v>2785</v>
      </c>
      <c r="F1357" s="76" t="s">
        <v>517</v>
      </c>
      <c r="G1357" s="76" t="s">
        <v>2451</v>
      </c>
      <c r="H1357" s="76">
        <f>STOCK[[#This Row],[Precio Final]]</f>
        <v>20</v>
      </c>
      <c r="I1357" s="80">
        <f>STOCK[[#This Row],[Precio Venta Ideal (x1.5)]]</f>
        <v>12.975</v>
      </c>
      <c r="J1357" s="78">
        <v>2</v>
      </c>
      <c r="K1357" s="78">
        <f>SUMIFS(VENTAS[Cantidad],VENTAS[Código del producto Vendido],STOCK[[#This Row],[Code]])</f>
        <v>0</v>
      </c>
      <c r="L1357" s="78">
        <f>STOCK[[#This Row],[Entradas]]-STOCK[[#This Row],[Salidas]]</f>
        <v>2</v>
      </c>
      <c r="M1357" s="76">
        <f>STOCK[[#This Row],[Precio Final]]*10%</f>
        <v>2</v>
      </c>
      <c r="N1357" s="76">
        <v>0</v>
      </c>
      <c r="O1357" s="76">
        <v>0</v>
      </c>
      <c r="P1357" s="76">
        <v>5</v>
      </c>
      <c r="Q1357" s="78">
        <v>0</v>
      </c>
      <c r="R1357" s="76">
        <v>0</v>
      </c>
      <c r="S1357" s="76">
        <v>1.65</v>
      </c>
      <c r="T1357" s="76">
        <f>STOCK[[#This Row],[Costo Unitario (USD)]]+STOCK[[#This Row],[Costo Envío (USD)]]+STOCK[[#This Row],[Comisión 10%]]</f>
        <v>8.65</v>
      </c>
      <c r="U1357" s="53">
        <f>STOCK[[#This Row],[Costo total]]*1.5</f>
        <v>12.975</v>
      </c>
      <c r="V1357" s="76">
        <v>20</v>
      </c>
      <c r="W1357" s="76">
        <f>STOCK[[#This Row],[Precio Final]]-STOCK[[#This Row],[Costo total]]</f>
        <v>11.35</v>
      </c>
      <c r="X1357" s="76">
        <f>STOCK[[#This Row],[Ganancia Unitaria]]*STOCK[[#This Row],[Salidas]]</f>
        <v>0</v>
      </c>
      <c r="Y1357" s="76"/>
      <c r="Z1357" s="76"/>
      <c r="AA1357" s="54">
        <f>STOCK[[#This Row],[Costo total]]*STOCK[[#This Row],[Entradas]]</f>
        <v>17.3</v>
      </c>
      <c r="AB1357" s="54">
        <f>STOCK[[#This Row],[Stock Actual]]*STOCK[[#This Row],[Costo total]]</f>
        <v>17.3</v>
      </c>
      <c r="AC1357" s="76"/>
    </row>
    <row r="1358" s="53" customFormat="1" ht="50" customHeight="1" spans="1:29">
      <c r="A1358" s="53" t="s">
        <v>2786</v>
      </c>
      <c r="B1358" s="77"/>
      <c r="C1358" s="76" t="s">
        <v>32</v>
      </c>
      <c r="D1358" s="76" t="s">
        <v>1226</v>
      </c>
      <c r="E1358" s="76" t="s">
        <v>2785</v>
      </c>
      <c r="F1358" s="76" t="s">
        <v>766</v>
      </c>
      <c r="G1358" s="76" t="s">
        <v>2451</v>
      </c>
      <c r="H1358" s="76">
        <f>STOCK[[#This Row],[Precio Final]]</f>
        <v>20</v>
      </c>
      <c r="I1358" s="80">
        <f>STOCK[[#This Row],[Precio Venta Ideal (x1.5)]]</f>
        <v>12.975</v>
      </c>
      <c r="J1358" s="78">
        <v>2</v>
      </c>
      <c r="K1358" s="78">
        <f>SUMIFS(VENTAS[Cantidad],VENTAS[Código del producto Vendido],STOCK[[#This Row],[Code]])</f>
        <v>2</v>
      </c>
      <c r="L1358" s="78">
        <f>STOCK[[#This Row],[Entradas]]-STOCK[[#This Row],[Salidas]]</f>
        <v>0</v>
      </c>
      <c r="M1358" s="76">
        <f>STOCK[[#This Row],[Precio Final]]*10%</f>
        <v>2</v>
      </c>
      <c r="N1358" s="76">
        <v>0</v>
      </c>
      <c r="O1358" s="76">
        <v>0</v>
      </c>
      <c r="P1358" s="76">
        <v>5</v>
      </c>
      <c r="Q1358" s="78">
        <v>0</v>
      </c>
      <c r="R1358" s="76">
        <v>0</v>
      </c>
      <c r="S1358" s="76">
        <v>1.65</v>
      </c>
      <c r="T1358" s="76">
        <f>STOCK[[#This Row],[Costo Unitario (USD)]]+STOCK[[#This Row],[Costo Envío (USD)]]+STOCK[[#This Row],[Comisión 10%]]</f>
        <v>8.65</v>
      </c>
      <c r="U1358" s="53">
        <f>STOCK[[#This Row],[Costo total]]*1.5</f>
        <v>12.975</v>
      </c>
      <c r="V1358" s="76">
        <v>20</v>
      </c>
      <c r="W1358" s="76">
        <f>STOCK[[#This Row],[Precio Final]]-STOCK[[#This Row],[Costo total]]</f>
        <v>11.35</v>
      </c>
      <c r="X1358" s="76">
        <f>STOCK[[#This Row],[Ganancia Unitaria]]*STOCK[[#This Row],[Salidas]]</f>
        <v>22.7</v>
      </c>
      <c r="Y1358" s="76"/>
      <c r="Z1358" s="76"/>
      <c r="AA1358" s="54">
        <f>STOCK[[#This Row],[Costo total]]*STOCK[[#This Row],[Entradas]]</f>
        <v>17.3</v>
      </c>
      <c r="AB1358" s="54">
        <f>STOCK[[#This Row],[Stock Actual]]*STOCK[[#This Row],[Costo total]]</f>
        <v>0</v>
      </c>
      <c r="AC1358" s="76"/>
    </row>
    <row r="1359" s="53" customFormat="1" ht="50" customHeight="1" spans="1:29">
      <c r="A1359" s="53" t="s">
        <v>2787</v>
      </c>
      <c r="B1359" s="77"/>
      <c r="C1359" s="76" t="s">
        <v>32</v>
      </c>
      <c r="D1359" s="76" t="s">
        <v>1226</v>
      </c>
      <c r="E1359" s="76" t="s">
        <v>2785</v>
      </c>
      <c r="F1359" s="76" t="s">
        <v>2788</v>
      </c>
      <c r="G1359" s="76" t="s">
        <v>2451</v>
      </c>
      <c r="H1359" s="76">
        <f>STOCK[[#This Row],[Precio Final]]</f>
        <v>20</v>
      </c>
      <c r="I1359" s="80">
        <f>STOCK[[#This Row],[Precio Venta Ideal (x1.5)]]</f>
        <v>12.975</v>
      </c>
      <c r="J1359" s="78">
        <v>2</v>
      </c>
      <c r="K1359" s="78">
        <f>SUMIFS(VENTAS[Cantidad],VENTAS[Código del producto Vendido],STOCK[[#This Row],[Code]])</f>
        <v>1</v>
      </c>
      <c r="L1359" s="78">
        <f>STOCK[[#This Row],[Entradas]]-STOCK[[#This Row],[Salidas]]</f>
        <v>1</v>
      </c>
      <c r="M1359" s="76">
        <f>STOCK[[#This Row],[Precio Final]]*10%</f>
        <v>2</v>
      </c>
      <c r="N1359" s="76">
        <v>0</v>
      </c>
      <c r="O1359" s="76">
        <v>0</v>
      </c>
      <c r="P1359" s="76">
        <v>5</v>
      </c>
      <c r="Q1359" s="78">
        <v>0</v>
      </c>
      <c r="R1359" s="76">
        <v>0</v>
      </c>
      <c r="S1359" s="76">
        <v>1.65</v>
      </c>
      <c r="T1359" s="76">
        <f>STOCK[[#This Row],[Costo Unitario (USD)]]+STOCK[[#This Row],[Costo Envío (USD)]]+STOCK[[#This Row],[Comisión 10%]]</f>
        <v>8.65</v>
      </c>
      <c r="U1359" s="53">
        <f>STOCK[[#This Row],[Costo total]]*1.5</f>
        <v>12.975</v>
      </c>
      <c r="V1359" s="76">
        <v>20</v>
      </c>
      <c r="W1359" s="76">
        <f>STOCK[[#This Row],[Precio Final]]-STOCK[[#This Row],[Costo total]]</f>
        <v>11.35</v>
      </c>
      <c r="X1359" s="76">
        <f>STOCK[[#This Row],[Ganancia Unitaria]]*STOCK[[#This Row],[Salidas]]</f>
        <v>11.35</v>
      </c>
      <c r="Y1359" s="76"/>
      <c r="Z1359" s="76"/>
      <c r="AA1359" s="54">
        <f>STOCK[[#This Row],[Costo total]]*STOCK[[#This Row],[Entradas]]</f>
        <v>17.3</v>
      </c>
      <c r="AB1359" s="54">
        <f>STOCK[[#This Row],[Stock Actual]]*STOCK[[#This Row],[Costo total]]</f>
        <v>8.65</v>
      </c>
      <c r="AC1359" s="76"/>
    </row>
    <row r="1360" s="53" customFormat="1" ht="50" customHeight="1" spans="1:29">
      <c r="A1360" s="53" t="s">
        <v>2789</v>
      </c>
      <c r="B1360" s="77"/>
      <c r="C1360" s="76" t="s">
        <v>32</v>
      </c>
      <c r="D1360" s="76" t="s">
        <v>1226</v>
      </c>
      <c r="E1360" s="76" t="s">
        <v>2785</v>
      </c>
      <c r="F1360" s="76" t="s">
        <v>754</v>
      </c>
      <c r="G1360" s="76" t="s">
        <v>2451</v>
      </c>
      <c r="H1360" s="76">
        <f>STOCK[[#This Row],[Precio Final]]</f>
        <v>20</v>
      </c>
      <c r="I1360" s="80">
        <f>STOCK[[#This Row],[Precio Venta Ideal (x1.5)]]</f>
        <v>12.975</v>
      </c>
      <c r="J1360" s="78">
        <v>2</v>
      </c>
      <c r="K1360" s="78">
        <f>SUMIFS(VENTAS[Cantidad],VENTAS[Código del producto Vendido],STOCK[[#This Row],[Code]])</f>
        <v>0</v>
      </c>
      <c r="L1360" s="78">
        <f>STOCK[[#This Row],[Entradas]]-STOCK[[#This Row],[Salidas]]</f>
        <v>2</v>
      </c>
      <c r="M1360" s="76">
        <f>STOCK[[#This Row],[Precio Final]]*10%</f>
        <v>2</v>
      </c>
      <c r="N1360" s="76">
        <v>0</v>
      </c>
      <c r="O1360" s="76">
        <v>0</v>
      </c>
      <c r="P1360" s="76">
        <v>5</v>
      </c>
      <c r="Q1360" s="78">
        <v>0</v>
      </c>
      <c r="R1360" s="76">
        <v>0</v>
      </c>
      <c r="S1360" s="76">
        <v>1.65</v>
      </c>
      <c r="T1360" s="76">
        <f>STOCK[[#This Row],[Costo Unitario (USD)]]+STOCK[[#This Row],[Costo Envío (USD)]]+STOCK[[#This Row],[Comisión 10%]]</f>
        <v>8.65</v>
      </c>
      <c r="U1360" s="53">
        <f>STOCK[[#This Row],[Costo total]]*1.5</f>
        <v>12.975</v>
      </c>
      <c r="V1360" s="76">
        <v>20</v>
      </c>
      <c r="W1360" s="76">
        <f>STOCK[[#This Row],[Precio Final]]-STOCK[[#This Row],[Costo total]]</f>
        <v>11.35</v>
      </c>
      <c r="X1360" s="76">
        <f>STOCK[[#This Row],[Ganancia Unitaria]]*STOCK[[#This Row],[Salidas]]</f>
        <v>0</v>
      </c>
      <c r="Y1360" s="76"/>
      <c r="Z1360" s="76"/>
      <c r="AA1360" s="54">
        <f>STOCK[[#This Row],[Costo total]]*STOCK[[#This Row],[Entradas]]</f>
        <v>17.3</v>
      </c>
      <c r="AB1360" s="54">
        <f>STOCK[[#This Row],[Stock Actual]]*STOCK[[#This Row],[Costo total]]</f>
        <v>17.3</v>
      </c>
      <c r="AC1360" s="76"/>
    </row>
    <row r="1361" s="53" customFormat="1" ht="50" customHeight="1" spans="1:29">
      <c r="A1361" s="53" t="s">
        <v>2790</v>
      </c>
      <c r="B1361" s="77"/>
      <c r="C1361" s="76" t="s">
        <v>32</v>
      </c>
      <c r="D1361" s="76" t="s">
        <v>1226</v>
      </c>
      <c r="E1361" s="76" t="s">
        <v>2791</v>
      </c>
      <c r="F1361" s="76" t="s">
        <v>517</v>
      </c>
      <c r="G1361" s="76" t="s">
        <v>2451</v>
      </c>
      <c r="H1361" s="76">
        <f>STOCK[[#This Row],[Precio Final]]</f>
        <v>30</v>
      </c>
      <c r="I1361" s="80">
        <f>STOCK[[#This Row],[Precio Venta Ideal (x1.5)]]</f>
        <v>20.1</v>
      </c>
      <c r="J1361" s="78">
        <v>1</v>
      </c>
      <c r="K1361" s="78">
        <f>SUMIFS(VENTAS[Cantidad],VENTAS[Código del producto Vendido],STOCK[[#This Row],[Code]])</f>
        <v>0</v>
      </c>
      <c r="L1361" s="78">
        <f>STOCK[[#This Row],[Entradas]]-STOCK[[#This Row],[Salidas]]</f>
        <v>1</v>
      </c>
      <c r="M1361" s="76">
        <f>STOCK[[#This Row],[Precio Final]]*10%</f>
        <v>3</v>
      </c>
      <c r="N1361" s="76">
        <v>0</v>
      </c>
      <c r="O1361" s="76">
        <v>0</v>
      </c>
      <c r="P1361" s="76">
        <v>8.75</v>
      </c>
      <c r="Q1361" s="78">
        <v>0</v>
      </c>
      <c r="R1361" s="76">
        <v>0</v>
      </c>
      <c r="S1361" s="76">
        <v>1.65</v>
      </c>
      <c r="T1361" s="76">
        <f>STOCK[[#This Row],[Costo Unitario (USD)]]+STOCK[[#This Row],[Costo Envío (USD)]]+STOCK[[#This Row],[Comisión 10%]]</f>
        <v>13.4</v>
      </c>
      <c r="U1361" s="53">
        <f>STOCK[[#This Row],[Costo total]]*1.5</f>
        <v>20.1</v>
      </c>
      <c r="V1361" s="76">
        <v>30</v>
      </c>
      <c r="W1361" s="76">
        <f>STOCK[[#This Row],[Precio Final]]-STOCK[[#This Row],[Costo total]]</f>
        <v>16.6</v>
      </c>
      <c r="X1361" s="76">
        <f>STOCK[[#This Row],[Ganancia Unitaria]]*STOCK[[#This Row],[Salidas]]</f>
        <v>0</v>
      </c>
      <c r="Y1361" s="76"/>
      <c r="Z1361" s="76"/>
      <c r="AA1361" s="54">
        <f>STOCK[[#This Row],[Costo total]]*STOCK[[#This Row],[Entradas]]</f>
        <v>13.4</v>
      </c>
      <c r="AB1361" s="54">
        <f>STOCK[[#This Row],[Stock Actual]]*STOCK[[#This Row],[Costo total]]</f>
        <v>13.4</v>
      </c>
      <c r="AC1361" s="76"/>
    </row>
    <row r="1362" s="53" customFormat="1" ht="50" customHeight="1" spans="1:29">
      <c r="A1362" s="53" t="s">
        <v>2792</v>
      </c>
      <c r="B1362" s="77"/>
      <c r="C1362" s="76" t="s">
        <v>32</v>
      </c>
      <c r="D1362" s="76" t="s">
        <v>1226</v>
      </c>
      <c r="E1362" s="76" t="s">
        <v>2791</v>
      </c>
      <c r="F1362" s="76" t="s">
        <v>766</v>
      </c>
      <c r="G1362" s="76" t="s">
        <v>2451</v>
      </c>
      <c r="H1362" s="76">
        <f>STOCK[[#This Row],[Precio Final]]</f>
        <v>30</v>
      </c>
      <c r="I1362" s="80">
        <f>STOCK[[#This Row],[Precio Venta Ideal (x1.5)]]</f>
        <v>20.1</v>
      </c>
      <c r="J1362" s="78">
        <v>1</v>
      </c>
      <c r="K1362" s="78">
        <f>SUMIFS(VENTAS[Cantidad],VENTAS[Código del producto Vendido],STOCK[[#This Row],[Code]])</f>
        <v>0</v>
      </c>
      <c r="L1362" s="78">
        <f>STOCK[[#This Row],[Entradas]]-STOCK[[#This Row],[Salidas]]</f>
        <v>1</v>
      </c>
      <c r="M1362" s="76">
        <f>STOCK[[#This Row],[Precio Final]]*10%</f>
        <v>3</v>
      </c>
      <c r="N1362" s="76">
        <v>0</v>
      </c>
      <c r="O1362" s="76">
        <v>0</v>
      </c>
      <c r="P1362" s="76">
        <v>8.75</v>
      </c>
      <c r="Q1362" s="78">
        <v>0</v>
      </c>
      <c r="R1362" s="76">
        <v>0</v>
      </c>
      <c r="S1362" s="76">
        <v>1.65</v>
      </c>
      <c r="T1362" s="76">
        <f>STOCK[[#This Row],[Costo Unitario (USD)]]+STOCK[[#This Row],[Costo Envío (USD)]]+STOCK[[#This Row],[Comisión 10%]]</f>
        <v>13.4</v>
      </c>
      <c r="U1362" s="53">
        <f>STOCK[[#This Row],[Costo total]]*1.5</f>
        <v>20.1</v>
      </c>
      <c r="V1362" s="76">
        <v>30</v>
      </c>
      <c r="W1362" s="76">
        <f>STOCK[[#This Row],[Precio Final]]-STOCK[[#This Row],[Costo total]]</f>
        <v>16.6</v>
      </c>
      <c r="X1362" s="76">
        <f>STOCK[[#This Row],[Ganancia Unitaria]]*STOCK[[#This Row],[Salidas]]</f>
        <v>0</v>
      </c>
      <c r="Y1362" s="76"/>
      <c r="Z1362" s="76"/>
      <c r="AA1362" s="54">
        <f>STOCK[[#This Row],[Costo total]]*STOCK[[#This Row],[Entradas]]</f>
        <v>13.4</v>
      </c>
      <c r="AB1362" s="54">
        <f>STOCK[[#This Row],[Stock Actual]]*STOCK[[#This Row],[Costo total]]</f>
        <v>13.4</v>
      </c>
      <c r="AC1362" s="76"/>
    </row>
    <row r="1363" s="53" customFormat="1" ht="50" customHeight="1" spans="1:29">
      <c r="A1363" s="53" t="s">
        <v>2793</v>
      </c>
      <c r="B1363" s="77"/>
      <c r="C1363" s="76" t="s">
        <v>32</v>
      </c>
      <c r="D1363" s="76" t="s">
        <v>1226</v>
      </c>
      <c r="E1363" s="76" t="s">
        <v>2794</v>
      </c>
      <c r="F1363" s="76" t="s">
        <v>517</v>
      </c>
      <c r="G1363" s="76" t="s">
        <v>2451</v>
      </c>
      <c r="H1363" s="76">
        <f>STOCK[[#This Row],[Precio Final]]</f>
        <v>35</v>
      </c>
      <c r="I1363" s="80">
        <f>STOCK[[#This Row],[Precio Venta Ideal (x1.5)]]</f>
        <v>25.35</v>
      </c>
      <c r="J1363" s="78">
        <v>1</v>
      </c>
      <c r="K1363" s="78">
        <f>SUMIFS(VENTAS[Cantidad],VENTAS[Código del producto Vendido],STOCK[[#This Row],[Code]])</f>
        <v>2</v>
      </c>
      <c r="L1363" s="78">
        <f>STOCK[[#This Row],[Entradas]]-STOCK[[#This Row],[Salidas]]</f>
        <v>-1</v>
      </c>
      <c r="M1363" s="76">
        <f>STOCK[[#This Row],[Precio Final]]*10%</f>
        <v>3.5</v>
      </c>
      <c r="N1363" s="76">
        <v>0</v>
      </c>
      <c r="O1363" s="76">
        <v>0</v>
      </c>
      <c r="P1363" s="76">
        <v>11.75</v>
      </c>
      <c r="Q1363" s="78">
        <v>0</v>
      </c>
      <c r="R1363" s="76">
        <v>0</v>
      </c>
      <c r="S1363" s="76">
        <v>1.65</v>
      </c>
      <c r="T1363" s="76">
        <f>STOCK[[#This Row],[Costo Unitario (USD)]]+STOCK[[#This Row],[Costo Envío (USD)]]+STOCK[[#This Row],[Comisión 10%]]</f>
        <v>16.9</v>
      </c>
      <c r="U1363" s="53">
        <f>STOCK[[#This Row],[Costo total]]*1.5</f>
        <v>25.35</v>
      </c>
      <c r="V1363" s="76">
        <v>35</v>
      </c>
      <c r="W1363" s="76">
        <f>STOCK[[#This Row],[Precio Final]]-STOCK[[#This Row],[Costo total]]</f>
        <v>18.1</v>
      </c>
      <c r="X1363" s="76">
        <f>STOCK[[#This Row],[Ganancia Unitaria]]*STOCK[[#This Row],[Salidas]]</f>
        <v>36.2</v>
      </c>
      <c r="Y1363" s="76"/>
      <c r="Z1363" s="76"/>
      <c r="AA1363" s="54">
        <f>STOCK[[#This Row],[Costo total]]*STOCK[[#This Row],[Entradas]]</f>
        <v>16.9</v>
      </c>
      <c r="AB1363" s="54">
        <f>STOCK[[#This Row],[Stock Actual]]*STOCK[[#This Row],[Costo total]]</f>
        <v>-16.9</v>
      </c>
      <c r="AC1363" s="76"/>
    </row>
    <row r="1364" s="53" customFormat="1" ht="50" customHeight="1" spans="1:29">
      <c r="A1364" s="53" t="s">
        <v>2795</v>
      </c>
      <c r="B1364" s="77"/>
      <c r="C1364" s="76" t="s">
        <v>32</v>
      </c>
      <c r="D1364" s="76" t="s">
        <v>1226</v>
      </c>
      <c r="E1364" s="76" t="s">
        <v>2794</v>
      </c>
      <c r="F1364" s="76" t="s">
        <v>766</v>
      </c>
      <c r="G1364" s="76" t="s">
        <v>2451</v>
      </c>
      <c r="H1364" s="76">
        <f>STOCK[[#This Row],[Precio Final]]</f>
        <v>35</v>
      </c>
      <c r="I1364" s="80">
        <f>STOCK[[#This Row],[Precio Venta Ideal (x1.5)]]</f>
        <v>22.35</v>
      </c>
      <c r="J1364" s="78">
        <v>2</v>
      </c>
      <c r="K1364" s="78">
        <f>SUMIFS(VENTAS[Cantidad],VENTAS[Código del producto Vendido],STOCK[[#This Row],[Code]])</f>
        <v>4</v>
      </c>
      <c r="L1364" s="78">
        <f>STOCK[[#This Row],[Entradas]]-STOCK[[#This Row],[Salidas]]</f>
        <v>-2</v>
      </c>
      <c r="M1364" s="76">
        <f>STOCK[[#This Row],[Precio Final]]*10%</f>
        <v>3.5</v>
      </c>
      <c r="N1364" s="76">
        <v>0</v>
      </c>
      <c r="O1364" s="76">
        <v>0</v>
      </c>
      <c r="P1364" s="76">
        <v>9.75</v>
      </c>
      <c r="Q1364" s="78">
        <v>0</v>
      </c>
      <c r="R1364" s="76">
        <v>0</v>
      </c>
      <c r="S1364" s="76">
        <v>1.65</v>
      </c>
      <c r="T1364" s="76">
        <f>STOCK[[#This Row],[Costo Unitario (USD)]]+STOCK[[#This Row],[Costo Envío (USD)]]+STOCK[[#This Row],[Comisión 10%]]</f>
        <v>14.9</v>
      </c>
      <c r="U1364" s="53">
        <f>STOCK[[#This Row],[Costo total]]*1.5</f>
        <v>22.35</v>
      </c>
      <c r="V1364" s="76">
        <v>35</v>
      </c>
      <c r="W1364" s="76">
        <f>STOCK[[#This Row],[Precio Final]]-STOCK[[#This Row],[Costo total]]</f>
        <v>20.1</v>
      </c>
      <c r="X1364" s="76">
        <f>STOCK[[#This Row],[Ganancia Unitaria]]*STOCK[[#This Row],[Salidas]]</f>
        <v>80.4</v>
      </c>
      <c r="Y1364" s="76"/>
      <c r="Z1364" s="76"/>
      <c r="AA1364" s="54">
        <f>STOCK[[#This Row],[Costo total]]*STOCK[[#This Row],[Entradas]]</f>
        <v>29.8</v>
      </c>
      <c r="AB1364" s="54">
        <f>STOCK[[#This Row],[Stock Actual]]*STOCK[[#This Row],[Costo total]]</f>
        <v>-29.8</v>
      </c>
      <c r="AC1364" s="76"/>
    </row>
    <row r="1365" s="53" customFormat="1" ht="50" customHeight="1" spans="1:29">
      <c r="A1365" s="53" t="s">
        <v>2796</v>
      </c>
      <c r="B1365" s="77"/>
      <c r="C1365" s="76" t="s">
        <v>32</v>
      </c>
      <c r="D1365" s="76" t="s">
        <v>1226</v>
      </c>
      <c r="E1365" s="76" t="s">
        <v>2794</v>
      </c>
      <c r="F1365" s="76" t="s">
        <v>540</v>
      </c>
      <c r="G1365" s="76" t="s">
        <v>2451</v>
      </c>
      <c r="H1365" s="76">
        <f>STOCK[[#This Row],[Precio Final]]</f>
        <v>35</v>
      </c>
      <c r="I1365" s="80">
        <f>STOCK[[#This Row],[Precio Venta Ideal (x1.5)]]</f>
        <v>25.35</v>
      </c>
      <c r="J1365" s="78">
        <v>2</v>
      </c>
      <c r="K1365" s="78">
        <f>SUMIFS(VENTAS[Cantidad],VENTAS[Código del producto Vendido],STOCK[[#This Row],[Code]])</f>
        <v>2</v>
      </c>
      <c r="L1365" s="78">
        <f>STOCK[[#This Row],[Entradas]]-STOCK[[#This Row],[Salidas]]</f>
        <v>0</v>
      </c>
      <c r="M1365" s="76">
        <f>STOCK[[#This Row],[Precio Final]]*10%</f>
        <v>3.5</v>
      </c>
      <c r="N1365" s="76">
        <v>0</v>
      </c>
      <c r="O1365" s="76">
        <v>0</v>
      </c>
      <c r="P1365" s="76">
        <v>11.75</v>
      </c>
      <c r="Q1365" s="78">
        <v>0</v>
      </c>
      <c r="R1365" s="76">
        <v>0</v>
      </c>
      <c r="S1365" s="76">
        <v>1.65</v>
      </c>
      <c r="T1365" s="76">
        <f>STOCK[[#This Row],[Costo Unitario (USD)]]+STOCK[[#This Row],[Costo Envío (USD)]]+STOCK[[#This Row],[Comisión 10%]]</f>
        <v>16.9</v>
      </c>
      <c r="U1365" s="53">
        <f>STOCK[[#This Row],[Costo total]]*1.5</f>
        <v>25.35</v>
      </c>
      <c r="V1365" s="76">
        <v>35</v>
      </c>
      <c r="W1365" s="76">
        <f>STOCK[[#This Row],[Precio Final]]-STOCK[[#This Row],[Costo total]]</f>
        <v>18.1</v>
      </c>
      <c r="X1365" s="76">
        <f>STOCK[[#This Row],[Ganancia Unitaria]]*STOCK[[#This Row],[Salidas]]</f>
        <v>36.2</v>
      </c>
      <c r="Y1365" s="76"/>
      <c r="Z1365" s="76"/>
      <c r="AA1365" s="54">
        <f>STOCK[[#This Row],[Costo total]]*STOCK[[#This Row],[Entradas]]</f>
        <v>33.8</v>
      </c>
      <c r="AB1365" s="54">
        <f>STOCK[[#This Row],[Stock Actual]]*STOCK[[#This Row],[Costo total]]</f>
        <v>0</v>
      </c>
      <c r="AC1365" s="76"/>
    </row>
    <row r="1366" s="53" customFormat="1" ht="50" customHeight="1" spans="1:29">
      <c r="A1366" s="53" t="s">
        <v>2797</v>
      </c>
      <c r="B1366" s="77"/>
      <c r="C1366" s="76" t="s">
        <v>32</v>
      </c>
      <c r="D1366" s="76" t="s">
        <v>1226</v>
      </c>
      <c r="E1366" s="76" t="s">
        <v>2794</v>
      </c>
      <c r="F1366" s="76" t="s">
        <v>764</v>
      </c>
      <c r="G1366" s="76" t="s">
        <v>2451</v>
      </c>
      <c r="H1366" s="76">
        <f>STOCK[[#This Row],[Precio Final]]</f>
        <v>35</v>
      </c>
      <c r="I1366" s="80">
        <f>STOCK[[#This Row],[Precio Venta Ideal (x1.5)]]</f>
        <v>34.725</v>
      </c>
      <c r="J1366" s="78">
        <v>1</v>
      </c>
      <c r="K1366" s="78">
        <f>SUMIFS(VENTAS[Cantidad],VENTAS[Código del producto Vendido],STOCK[[#This Row],[Code]])</f>
        <v>2</v>
      </c>
      <c r="L1366" s="78">
        <f>STOCK[[#This Row],[Entradas]]-STOCK[[#This Row],[Salidas]]</f>
        <v>-1</v>
      </c>
      <c r="M1366" s="76">
        <f>STOCK[[#This Row],[Precio Final]]*10%</f>
        <v>3.5</v>
      </c>
      <c r="N1366" s="76">
        <v>0</v>
      </c>
      <c r="O1366" s="76">
        <v>0</v>
      </c>
      <c r="P1366" s="76">
        <v>18</v>
      </c>
      <c r="Q1366" s="78">
        <v>0</v>
      </c>
      <c r="R1366" s="76">
        <v>0</v>
      </c>
      <c r="S1366" s="76">
        <v>1.65</v>
      </c>
      <c r="T1366" s="76">
        <f>STOCK[[#This Row],[Costo Unitario (USD)]]+STOCK[[#This Row],[Costo Envío (USD)]]+STOCK[[#This Row],[Comisión 10%]]</f>
        <v>23.15</v>
      </c>
      <c r="U1366" s="53">
        <f>STOCK[[#This Row],[Costo total]]*1.5</f>
        <v>34.725</v>
      </c>
      <c r="V1366" s="76">
        <v>35</v>
      </c>
      <c r="W1366" s="76">
        <f>STOCK[[#This Row],[Precio Final]]-STOCK[[#This Row],[Costo total]]</f>
        <v>11.85</v>
      </c>
      <c r="X1366" s="76">
        <f>STOCK[[#This Row],[Ganancia Unitaria]]*STOCK[[#This Row],[Salidas]]</f>
        <v>23.7</v>
      </c>
      <c r="Y1366" s="76"/>
      <c r="Z1366" s="76"/>
      <c r="AA1366" s="54">
        <f>STOCK[[#This Row],[Costo total]]*STOCK[[#This Row],[Entradas]]</f>
        <v>23.15</v>
      </c>
      <c r="AB1366" s="54">
        <f>STOCK[[#This Row],[Stock Actual]]*STOCK[[#This Row],[Costo total]]</f>
        <v>-23.15</v>
      </c>
      <c r="AC1366" s="76"/>
    </row>
    <row r="1367" s="53" customFormat="1" ht="50" customHeight="1" spans="1:29">
      <c r="A1367" s="53" t="s">
        <v>2798</v>
      </c>
      <c r="B1367" s="77"/>
      <c r="C1367" s="76" t="s">
        <v>32</v>
      </c>
      <c r="D1367" s="76" t="s">
        <v>1226</v>
      </c>
      <c r="E1367" s="76" t="s">
        <v>2794</v>
      </c>
      <c r="F1367" s="76" t="s">
        <v>754</v>
      </c>
      <c r="G1367" s="76" t="s">
        <v>2451</v>
      </c>
      <c r="H1367" s="76">
        <f>STOCK[[#This Row],[Precio Final]]</f>
        <v>35</v>
      </c>
      <c r="I1367" s="80">
        <f>STOCK[[#This Row],[Precio Venta Ideal (x1.5)]]</f>
        <v>25.35</v>
      </c>
      <c r="J1367" s="78">
        <v>2</v>
      </c>
      <c r="K1367" s="78">
        <f>SUMIFS(VENTAS[Cantidad],VENTAS[Código del producto Vendido],STOCK[[#This Row],[Code]])</f>
        <v>4</v>
      </c>
      <c r="L1367" s="78">
        <f>STOCK[[#This Row],[Entradas]]-STOCK[[#This Row],[Salidas]]</f>
        <v>-2</v>
      </c>
      <c r="M1367" s="76">
        <f>STOCK[[#This Row],[Precio Final]]*10%</f>
        <v>3.5</v>
      </c>
      <c r="N1367" s="76">
        <v>0</v>
      </c>
      <c r="O1367" s="76">
        <v>0</v>
      </c>
      <c r="P1367" s="76">
        <v>11.75</v>
      </c>
      <c r="Q1367" s="78">
        <v>0</v>
      </c>
      <c r="R1367" s="76">
        <v>0</v>
      </c>
      <c r="S1367" s="76">
        <v>1.65</v>
      </c>
      <c r="T1367" s="76">
        <f>STOCK[[#This Row],[Costo Unitario (USD)]]+STOCK[[#This Row],[Costo Envío (USD)]]+STOCK[[#This Row],[Comisión 10%]]</f>
        <v>16.9</v>
      </c>
      <c r="U1367" s="53">
        <f>STOCK[[#This Row],[Costo total]]*1.5</f>
        <v>25.35</v>
      </c>
      <c r="V1367" s="76">
        <v>35</v>
      </c>
      <c r="W1367" s="76">
        <f>STOCK[[#This Row],[Precio Final]]-STOCK[[#This Row],[Costo total]]</f>
        <v>18.1</v>
      </c>
      <c r="X1367" s="76">
        <f>STOCK[[#This Row],[Ganancia Unitaria]]*STOCK[[#This Row],[Salidas]]</f>
        <v>72.4</v>
      </c>
      <c r="Y1367" s="76"/>
      <c r="Z1367" s="76"/>
      <c r="AA1367" s="54">
        <f>STOCK[[#This Row],[Costo total]]*STOCK[[#This Row],[Entradas]]</f>
        <v>33.8</v>
      </c>
      <c r="AB1367" s="54">
        <f>STOCK[[#This Row],[Stock Actual]]*STOCK[[#This Row],[Costo total]]</f>
        <v>-33.8</v>
      </c>
      <c r="AC1367" s="76"/>
    </row>
    <row r="1368" s="53" customFormat="1" ht="50" customHeight="1" spans="1:29">
      <c r="A1368" s="53" t="s">
        <v>2799</v>
      </c>
      <c r="B1368" s="77"/>
      <c r="C1368" s="76" t="s">
        <v>32</v>
      </c>
      <c r="D1368" s="76" t="s">
        <v>1226</v>
      </c>
      <c r="E1368" s="76" t="s">
        <v>2800</v>
      </c>
      <c r="F1368" s="76" t="s">
        <v>517</v>
      </c>
      <c r="G1368" s="76" t="s">
        <v>2451</v>
      </c>
      <c r="H1368" s="76">
        <f>STOCK[[#This Row],[Precio Final]]</f>
        <v>25</v>
      </c>
      <c r="I1368" s="80">
        <f>STOCK[[#This Row],[Precio Venta Ideal (x1.5)]]</f>
        <v>20.85</v>
      </c>
      <c r="J1368" s="78">
        <v>1</v>
      </c>
      <c r="K1368" s="78">
        <f>SUMIFS(VENTAS[Cantidad],VENTAS[Código del producto Vendido],STOCK[[#This Row],[Code]])</f>
        <v>0</v>
      </c>
      <c r="L1368" s="78">
        <f>STOCK[[#This Row],[Entradas]]-STOCK[[#This Row],[Salidas]]</f>
        <v>1</v>
      </c>
      <c r="M1368" s="76">
        <f>STOCK[[#This Row],[Precio Final]]*10%</f>
        <v>2.5</v>
      </c>
      <c r="N1368" s="76">
        <v>0</v>
      </c>
      <c r="O1368" s="76">
        <v>0</v>
      </c>
      <c r="P1368" s="76">
        <v>9.75</v>
      </c>
      <c r="Q1368" s="78">
        <v>0</v>
      </c>
      <c r="R1368" s="76">
        <v>0</v>
      </c>
      <c r="S1368" s="76">
        <v>1.65</v>
      </c>
      <c r="T1368" s="76">
        <f>STOCK[[#This Row],[Costo Unitario (USD)]]+STOCK[[#This Row],[Costo Envío (USD)]]+STOCK[[#This Row],[Comisión 10%]]</f>
        <v>13.9</v>
      </c>
      <c r="U1368" s="53">
        <f>STOCK[[#This Row],[Costo total]]*1.5</f>
        <v>20.85</v>
      </c>
      <c r="V1368" s="76">
        <v>25</v>
      </c>
      <c r="W1368" s="76">
        <f>STOCK[[#This Row],[Precio Final]]-STOCK[[#This Row],[Costo total]]</f>
        <v>11.1</v>
      </c>
      <c r="X1368" s="76">
        <f>STOCK[[#This Row],[Ganancia Unitaria]]*STOCK[[#This Row],[Salidas]]</f>
        <v>0</v>
      </c>
      <c r="Y1368" s="76"/>
      <c r="Z1368" s="76"/>
      <c r="AA1368" s="54">
        <f>STOCK[[#This Row],[Costo total]]*STOCK[[#This Row],[Entradas]]</f>
        <v>13.9</v>
      </c>
      <c r="AB1368" s="54">
        <f>STOCK[[#This Row],[Stock Actual]]*STOCK[[#This Row],[Costo total]]</f>
        <v>13.9</v>
      </c>
      <c r="AC1368" s="76"/>
    </row>
    <row r="1369" s="53" customFormat="1" ht="50" customHeight="1" spans="1:29">
      <c r="A1369" s="53" t="s">
        <v>2801</v>
      </c>
      <c r="B1369" s="77"/>
      <c r="C1369" s="76" t="s">
        <v>32</v>
      </c>
      <c r="D1369" s="76" t="s">
        <v>1226</v>
      </c>
      <c r="E1369" s="76" t="s">
        <v>2800</v>
      </c>
      <c r="F1369" s="76" t="s">
        <v>766</v>
      </c>
      <c r="G1369" s="76" t="s">
        <v>2451</v>
      </c>
      <c r="H1369" s="76">
        <f>STOCK[[#This Row],[Precio Final]]</f>
        <v>25</v>
      </c>
      <c r="I1369" s="80">
        <f>STOCK[[#This Row],[Precio Venta Ideal (x1.5)]]</f>
        <v>20.85</v>
      </c>
      <c r="J1369" s="78">
        <v>1</v>
      </c>
      <c r="K1369" s="78">
        <f>SUMIFS(VENTAS[Cantidad],VENTAS[Código del producto Vendido],STOCK[[#This Row],[Code]])</f>
        <v>0</v>
      </c>
      <c r="L1369" s="78">
        <f>STOCK[[#This Row],[Entradas]]-STOCK[[#This Row],[Salidas]]</f>
        <v>1</v>
      </c>
      <c r="M1369" s="76">
        <f>STOCK[[#This Row],[Precio Final]]*10%</f>
        <v>2.5</v>
      </c>
      <c r="N1369" s="76">
        <v>0</v>
      </c>
      <c r="O1369" s="76">
        <v>0</v>
      </c>
      <c r="P1369" s="76">
        <v>9.75</v>
      </c>
      <c r="Q1369" s="78">
        <v>0</v>
      </c>
      <c r="R1369" s="76">
        <v>0</v>
      </c>
      <c r="S1369" s="76">
        <v>1.65</v>
      </c>
      <c r="T1369" s="76">
        <f>STOCK[[#This Row],[Costo Unitario (USD)]]+STOCK[[#This Row],[Costo Envío (USD)]]+STOCK[[#This Row],[Comisión 10%]]</f>
        <v>13.9</v>
      </c>
      <c r="U1369" s="53">
        <f>STOCK[[#This Row],[Costo total]]*1.5</f>
        <v>20.85</v>
      </c>
      <c r="V1369" s="76">
        <v>25</v>
      </c>
      <c r="W1369" s="76">
        <f>STOCK[[#This Row],[Precio Final]]-STOCK[[#This Row],[Costo total]]</f>
        <v>11.1</v>
      </c>
      <c r="X1369" s="76">
        <f>STOCK[[#This Row],[Ganancia Unitaria]]*STOCK[[#This Row],[Salidas]]</f>
        <v>0</v>
      </c>
      <c r="Y1369" s="76"/>
      <c r="Z1369" s="76"/>
      <c r="AA1369" s="54">
        <f>STOCK[[#This Row],[Costo total]]*STOCK[[#This Row],[Entradas]]</f>
        <v>13.9</v>
      </c>
      <c r="AB1369" s="54">
        <f>STOCK[[#This Row],[Stock Actual]]*STOCK[[#This Row],[Costo total]]</f>
        <v>13.9</v>
      </c>
      <c r="AC1369" s="76"/>
    </row>
    <row r="1370" s="53" customFormat="1" ht="50" customHeight="1" spans="1:29">
      <c r="A1370" s="53" t="s">
        <v>2802</v>
      </c>
      <c r="B1370" s="77"/>
      <c r="C1370" s="76" t="s">
        <v>32</v>
      </c>
      <c r="D1370" s="76" t="s">
        <v>1226</v>
      </c>
      <c r="E1370" s="76" t="s">
        <v>2803</v>
      </c>
      <c r="F1370" s="76" t="s">
        <v>517</v>
      </c>
      <c r="G1370" s="76" t="s">
        <v>2451</v>
      </c>
      <c r="H1370" s="76">
        <f>STOCK[[#This Row],[Precio Final]]</f>
        <v>40</v>
      </c>
      <c r="I1370" s="80">
        <f>STOCK[[#This Row],[Precio Venta Ideal (x1.5)]]</f>
        <v>23.1</v>
      </c>
      <c r="J1370" s="78">
        <v>1</v>
      </c>
      <c r="K1370" s="78">
        <f>SUMIFS(VENTAS[Cantidad],VENTAS[Código del producto Vendido],STOCK[[#This Row],[Code]])</f>
        <v>2</v>
      </c>
      <c r="L1370" s="78">
        <f>STOCK[[#This Row],[Entradas]]-STOCK[[#This Row],[Salidas]]</f>
        <v>-1</v>
      </c>
      <c r="M1370" s="76">
        <f>STOCK[[#This Row],[Precio Final]]*10%</f>
        <v>4</v>
      </c>
      <c r="N1370" s="76">
        <v>0</v>
      </c>
      <c r="O1370" s="76">
        <v>0</v>
      </c>
      <c r="P1370" s="76">
        <v>9.75</v>
      </c>
      <c r="Q1370" s="78">
        <v>0</v>
      </c>
      <c r="R1370" s="76">
        <v>0</v>
      </c>
      <c r="S1370" s="76">
        <v>1.65</v>
      </c>
      <c r="T1370" s="76">
        <f>STOCK[[#This Row],[Costo Unitario (USD)]]+STOCK[[#This Row],[Costo Envío (USD)]]+STOCK[[#This Row],[Comisión 10%]]</f>
        <v>15.4</v>
      </c>
      <c r="U1370" s="53">
        <f>STOCK[[#This Row],[Costo total]]*1.5</f>
        <v>23.1</v>
      </c>
      <c r="V1370" s="76">
        <v>40</v>
      </c>
      <c r="W1370" s="76">
        <f>STOCK[[#This Row],[Precio Final]]-STOCK[[#This Row],[Costo total]]</f>
        <v>24.6</v>
      </c>
      <c r="X1370" s="76">
        <f>STOCK[[#This Row],[Ganancia Unitaria]]*STOCK[[#This Row],[Salidas]]</f>
        <v>49.2</v>
      </c>
      <c r="Y1370" s="76"/>
      <c r="Z1370" s="76"/>
      <c r="AA1370" s="54">
        <f>STOCK[[#This Row],[Costo total]]*STOCK[[#This Row],[Entradas]]</f>
        <v>15.4</v>
      </c>
      <c r="AB1370" s="54">
        <f>STOCK[[#This Row],[Stock Actual]]*STOCK[[#This Row],[Costo total]]</f>
        <v>-15.4</v>
      </c>
      <c r="AC1370" s="76"/>
    </row>
    <row r="1371" s="53" customFormat="1" ht="50" customHeight="1" spans="1:29">
      <c r="A1371" s="53" t="s">
        <v>2804</v>
      </c>
      <c r="B1371" s="77"/>
      <c r="C1371" s="76" t="s">
        <v>32</v>
      </c>
      <c r="D1371" s="76" t="s">
        <v>1226</v>
      </c>
      <c r="E1371" s="76" t="s">
        <v>2803</v>
      </c>
      <c r="F1371" s="76" t="s">
        <v>540</v>
      </c>
      <c r="G1371" s="76" t="s">
        <v>2451</v>
      </c>
      <c r="H1371" s="76">
        <f>STOCK[[#This Row],[Precio Final]]</f>
        <v>40</v>
      </c>
      <c r="I1371" s="80">
        <f>STOCK[[#This Row],[Precio Venta Ideal (x1.5)]]</f>
        <v>25.515</v>
      </c>
      <c r="J1371" s="78">
        <v>2</v>
      </c>
      <c r="K1371" s="78">
        <f>SUMIFS(VENTAS[Cantidad],VENTAS[Código del producto Vendido],STOCK[[#This Row],[Code]])</f>
        <v>4</v>
      </c>
      <c r="L1371" s="78">
        <f>STOCK[[#This Row],[Entradas]]-STOCK[[#This Row],[Salidas]]</f>
        <v>-2</v>
      </c>
      <c r="M1371" s="76">
        <f>STOCK[[#This Row],[Precio Final]]*10%</f>
        <v>4</v>
      </c>
      <c r="N1371" s="76">
        <v>0</v>
      </c>
      <c r="O1371" s="76">
        <v>0</v>
      </c>
      <c r="P1371" s="76">
        <v>11.36</v>
      </c>
      <c r="Q1371" s="78">
        <v>0</v>
      </c>
      <c r="R1371" s="76">
        <v>0</v>
      </c>
      <c r="S1371" s="76">
        <v>1.65</v>
      </c>
      <c r="T1371" s="76">
        <f>STOCK[[#This Row],[Costo Unitario (USD)]]+STOCK[[#This Row],[Costo Envío (USD)]]+STOCK[[#This Row],[Comisión 10%]]</f>
        <v>17.01</v>
      </c>
      <c r="U1371" s="53">
        <f>STOCK[[#This Row],[Costo total]]*1.5</f>
        <v>25.515</v>
      </c>
      <c r="V1371" s="76">
        <v>40</v>
      </c>
      <c r="W1371" s="76">
        <f>STOCK[[#This Row],[Precio Final]]-STOCK[[#This Row],[Costo total]]</f>
        <v>22.99</v>
      </c>
      <c r="X1371" s="76">
        <f>STOCK[[#This Row],[Ganancia Unitaria]]*STOCK[[#This Row],[Salidas]]</f>
        <v>91.96</v>
      </c>
      <c r="Y1371" s="76"/>
      <c r="Z1371" s="76"/>
      <c r="AA1371" s="54">
        <f>STOCK[[#This Row],[Costo total]]*STOCK[[#This Row],[Entradas]]</f>
        <v>34.02</v>
      </c>
      <c r="AB1371" s="54">
        <f>STOCK[[#This Row],[Stock Actual]]*STOCK[[#This Row],[Costo total]]</f>
        <v>-34.02</v>
      </c>
      <c r="AC1371" s="76"/>
    </row>
    <row r="1372" s="53" customFormat="1" ht="50" customHeight="1" spans="1:29">
      <c r="A1372" s="53" t="s">
        <v>2805</v>
      </c>
      <c r="B1372" s="77"/>
      <c r="C1372" s="76" t="s">
        <v>32</v>
      </c>
      <c r="D1372" s="76" t="s">
        <v>1226</v>
      </c>
      <c r="E1372" s="76" t="s">
        <v>2803</v>
      </c>
      <c r="F1372" s="76" t="s">
        <v>764</v>
      </c>
      <c r="G1372" s="76" t="s">
        <v>2451</v>
      </c>
      <c r="H1372" s="76">
        <f>STOCK[[#This Row],[Precio Final]]</f>
        <v>40</v>
      </c>
      <c r="I1372" s="80">
        <f>STOCK[[#This Row],[Precio Venta Ideal (x1.5)]]</f>
        <v>25.515</v>
      </c>
      <c r="J1372" s="78">
        <v>2</v>
      </c>
      <c r="K1372" s="78">
        <f>SUMIFS(VENTAS[Cantidad],VENTAS[Código del producto Vendido],STOCK[[#This Row],[Code]])</f>
        <v>1</v>
      </c>
      <c r="L1372" s="78">
        <f>STOCK[[#This Row],[Entradas]]-STOCK[[#This Row],[Salidas]]</f>
        <v>1</v>
      </c>
      <c r="M1372" s="76">
        <f>STOCK[[#This Row],[Precio Final]]*10%</f>
        <v>4</v>
      </c>
      <c r="N1372" s="76">
        <v>0</v>
      </c>
      <c r="O1372" s="76">
        <v>0</v>
      </c>
      <c r="P1372" s="76">
        <v>11.36</v>
      </c>
      <c r="Q1372" s="78">
        <v>0</v>
      </c>
      <c r="R1372" s="76">
        <v>0</v>
      </c>
      <c r="S1372" s="76">
        <v>1.65</v>
      </c>
      <c r="T1372" s="76">
        <f>STOCK[[#This Row],[Costo Unitario (USD)]]+STOCK[[#This Row],[Costo Envío (USD)]]+STOCK[[#This Row],[Comisión 10%]]</f>
        <v>17.01</v>
      </c>
      <c r="U1372" s="53">
        <f>STOCK[[#This Row],[Costo total]]*1.5</f>
        <v>25.515</v>
      </c>
      <c r="V1372" s="76">
        <v>40</v>
      </c>
      <c r="W1372" s="76">
        <f>STOCK[[#This Row],[Precio Final]]-STOCK[[#This Row],[Costo total]]</f>
        <v>22.99</v>
      </c>
      <c r="X1372" s="76">
        <f>STOCK[[#This Row],[Ganancia Unitaria]]*STOCK[[#This Row],[Salidas]]</f>
        <v>22.99</v>
      </c>
      <c r="Y1372" s="76"/>
      <c r="Z1372" s="76"/>
      <c r="AA1372" s="54">
        <f>STOCK[[#This Row],[Costo total]]*STOCK[[#This Row],[Entradas]]</f>
        <v>34.02</v>
      </c>
      <c r="AB1372" s="54">
        <f>STOCK[[#This Row],[Stock Actual]]*STOCK[[#This Row],[Costo total]]</f>
        <v>17.01</v>
      </c>
      <c r="AC1372" s="76"/>
    </row>
    <row r="1373" s="53" customFormat="1" ht="50" customHeight="1" spans="1:29">
      <c r="A1373" s="53" t="s">
        <v>2806</v>
      </c>
      <c r="B1373" s="77"/>
      <c r="C1373" s="76" t="s">
        <v>32</v>
      </c>
      <c r="D1373" s="76" t="s">
        <v>1226</v>
      </c>
      <c r="E1373" s="76" t="s">
        <v>2803</v>
      </c>
      <c r="F1373" s="76" t="s">
        <v>759</v>
      </c>
      <c r="G1373" s="76" t="s">
        <v>2451</v>
      </c>
      <c r="H1373" s="76">
        <f>STOCK[[#This Row],[Precio Final]]</f>
        <v>40</v>
      </c>
      <c r="I1373" s="80">
        <f>STOCK[[#This Row],[Precio Venta Ideal (x1.5)]]</f>
        <v>25.515</v>
      </c>
      <c r="J1373" s="78">
        <v>2</v>
      </c>
      <c r="K1373" s="78">
        <f>SUMIFS(VENTAS[Cantidad],VENTAS[Código del producto Vendido],STOCK[[#This Row],[Code]])</f>
        <v>3</v>
      </c>
      <c r="L1373" s="78">
        <f>STOCK[[#This Row],[Entradas]]-STOCK[[#This Row],[Salidas]]</f>
        <v>-1</v>
      </c>
      <c r="M1373" s="76">
        <f>STOCK[[#This Row],[Precio Final]]*10%</f>
        <v>4</v>
      </c>
      <c r="N1373" s="76">
        <v>0</v>
      </c>
      <c r="O1373" s="76">
        <v>0</v>
      </c>
      <c r="P1373" s="76">
        <v>11.36</v>
      </c>
      <c r="Q1373" s="78">
        <v>0</v>
      </c>
      <c r="R1373" s="76">
        <v>0</v>
      </c>
      <c r="S1373" s="76">
        <v>1.65</v>
      </c>
      <c r="T1373" s="76">
        <f>STOCK[[#This Row],[Costo Unitario (USD)]]+STOCK[[#This Row],[Costo Envío (USD)]]+STOCK[[#This Row],[Comisión 10%]]</f>
        <v>17.01</v>
      </c>
      <c r="U1373" s="53">
        <f>STOCK[[#This Row],[Costo total]]*1.5</f>
        <v>25.515</v>
      </c>
      <c r="V1373" s="76">
        <v>40</v>
      </c>
      <c r="W1373" s="76">
        <f>STOCK[[#This Row],[Precio Final]]-STOCK[[#This Row],[Costo total]]</f>
        <v>22.99</v>
      </c>
      <c r="X1373" s="76">
        <f>STOCK[[#This Row],[Ganancia Unitaria]]*STOCK[[#This Row],[Salidas]]</f>
        <v>68.97</v>
      </c>
      <c r="Y1373" s="76"/>
      <c r="Z1373" s="76"/>
      <c r="AA1373" s="54">
        <f>STOCK[[#This Row],[Costo total]]*STOCK[[#This Row],[Entradas]]</f>
        <v>34.02</v>
      </c>
      <c r="AB1373" s="54">
        <f>STOCK[[#This Row],[Stock Actual]]*STOCK[[#This Row],[Costo total]]</f>
        <v>-17.01</v>
      </c>
      <c r="AC1373" s="76"/>
    </row>
    <row r="1374" s="53" customFormat="1" ht="50" customHeight="1" spans="1:29">
      <c r="A1374" s="53" t="s">
        <v>2807</v>
      </c>
      <c r="B1374" s="77"/>
      <c r="C1374" s="76" t="s">
        <v>32</v>
      </c>
      <c r="D1374" s="76" t="s">
        <v>1226</v>
      </c>
      <c r="E1374" s="76" t="s">
        <v>2803</v>
      </c>
      <c r="F1374" s="76" t="s">
        <v>754</v>
      </c>
      <c r="G1374" s="76" t="s">
        <v>2451</v>
      </c>
      <c r="H1374" s="76">
        <f>STOCK[[#This Row],[Precio Final]]</f>
        <v>40</v>
      </c>
      <c r="I1374" s="80">
        <f>STOCK[[#This Row],[Precio Venta Ideal (x1.5)]]</f>
        <v>25.515</v>
      </c>
      <c r="J1374" s="78">
        <v>2</v>
      </c>
      <c r="K1374" s="78">
        <f>SUMIFS(VENTAS[Cantidad],VENTAS[Código del producto Vendido],STOCK[[#This Row],[Code]])</f>
        <v>0</v>
      </c>
      <c r="L1374" s="78">
        <f>STOCK[[#This Row],[Entradas]]-STOCK[[#This Row],[Salidas]]</f>
        <v>2</v>
      </c>
      <c r="M1374" s="76">
        <f>STOCK[[#This Row],[Precio Final]]*10%</f>
        <v>4</v>
      </c>
      <c r="N1374" s="76">
        <v>0</v>
      </c>
      <c r="O1374" s="76">
        <v>0</v>
      </c>
      <c r="P1374" s="76">
        <v>11.36</v>
      </c>
      <c r="Q1374" s="78">
        <v>0</v>
      </c>
      <c r="R1374" s="76">
        <v>0</v>
      </c>
      <c r="S1374" s="76">
        <v>1.65</v>
      </c>
      <c r="T1374" s="76">
        <f>STOCK[[#This Row],[Costo Unitario (USD)]]+STOCK[[#This Row],[Costo Envío (USD)]]+STOCK[[#This Row],[Comisión 10%]]</f>
        <v>17.01</v>
      </c>
      <c r="U1374" s="53">
        <f>STOCK[[#This Row],[Costo total]]*1.5</f>
        <v>25.515</v>
      </c>
      <c r="V1374" s="76">
        <v>40</v>
      </c>
      <c r="W1374" s="76">
        <f>STOCK[[#This Row],[Precio Final]]-STOCK[[#This Row],[Costo total]]</f>
        <v>22.99</v>
      </c>
      <c r="X1374" s="76">
        <f>STOCK[[#This Row],[Ganancia Unitaria]]*STOCK[[#This Row],[Salidas]]</f>
        <v>0</v>
      </c>
      <c r="Y1374" s="76"/>
      <c r="Z1374" s="76"/>
      <c r="AA1374" s="54">
        <f>STOCK[[#This Row],[Costo total]]*STOCK[[#This Row],[Entradas]]</f>
        <v>34.02</v>
      </c>
      <c r="AB1374" s="54">
        <f>STOCK[[#This Row],[Stock Actual]]*STOCK[[#This Row],[Costo total]]</f>
        <v>34.02</v>
      </c>
      <c r="AC1374" s="76"/>
    </row>
    <row r="1375" s="53" customFormat="1" ht="50" customHeight="1" spans="1:29">
      <c r="A1375" s="53" t="s">
        <v>2808</v>
      </c>
      <c r="B1375" s="77"/>
      <c r="C1375" s="76" t="s">
        <v>32</v>
      </c>
      <c r="D1375" s="76" t="s">
        <v>1226</v>
      </c>
      <c r="E1375" s="76" t="s">
        <v>2803</v>
      </c>
      <c r="F1375" s="76" t="s">
        <v>766</v>
      </c>
      <c r="G1375" s="76"/>
      <c r="H1375" s="76">
        <f>STOCK[[#This Row],[Precio Final]]</f>
        <v>40</v>
      </c>
      <c r="I1375" s="80">
        <f>STOCK[[#This Row],[Precio Venta Ideal (x1.5)]]</f>
        <v>25.515</v>
      </c>
      <c r="J1375" s="78">
        <v>2</v>
      </c>
      <c r="K1375" s="78">
        <f>SUMIFS(VENTAS[Cantidad],VENTAS[Código del producto Vendido],STOCK[[#This Row],[Code]])</f>
        <v>2</v>
      </c>
      <c r="L1375" s="78">
        <f>STOCK[[#This Row],[Entradas]]-STOCK[[#This Row],[Salidas]]</f>
        <v>0</v>
      </c>
      <c r="M1375" s="76">
        <f>STOCK[[#This Row],[Precio Final]]*10%</f>
        <v>4</v>
      </c>
      <c r="N1375" s="76">
        <v>0</v>
      </c>
      <c r="O1375" s="76">
        <v>0</v>
      </c>
      <c r="P1375" s="76">
        <v>11.36</v>
      </c>
      <c r="Q1375" s="78">
        <v>0</v>
      </c>
      <c r="R1375" s="76">
        <v>0</v>
      </c>
      <c r="S1375" s="76">
        <v>1.65</v>
      </c>
      <c r="T1375" s="76">
        <f>STOCK[[#This Row],[Costo Unitario (USD)]]+STOCK[[#This Row],[Costo Envío (USD)]]+STOCK[[#This Row],[Comisión 10%]]</f>
        <v>17.01</v>
      </c>
      <c r="U1375" s="53">
        <f>STOCK[[#This Row],[Costo total]]*1.5</f>
        <v>25.515</v>
      </c>
      <c r="V1375" s="76">
        <v>40</v>
      </c>
      <c r="W1375" s="76">
        <f>STOCK[[#This Row],[Precio Final]]-STOCK[[#This Row],[Costo total]]</f>
        <v>22.99</v>
      </c>
      <c r="X1375" s="76">
        <f>STOCK[[#This Row],[Ganancia Unitaria]]*STOCK[[#This Row],[Salidas]]</f>
        <v>45.98</v>
      </c>
      <c r="Y1375" s="76"/>
      <c r="Z1375" s="76"/>
      <c r="AA1375" s="54">
        <f>STOCK[[#This Row],[Costo total]]*STOCK[[#This Row],[Entradas]]</f>
        <v>34.02</v>
      </c>
      <c r="AB1375" s="54">
        <f>STOCK[[#This Row],[Stock Actual]]*STOCK[[#This Row],[Costo total]]</f>
        <v>0</v>
      </c>
      <c r="AC1375" s="76"/>
    </row>
    <row r="1376" s="53" customFormat="1" ht="50" customHeight="1" spans="1:29">
      <c r="A1376" s="53" t="s">
        <v>2809</v>
      </c>
      <c r="B1376" s="77"/>
      <c r="C1376" s="76" t="s">
        <v>32</v>
      </c>
      <c r="D1376" s="76" t="s">
        <v>1212</v>
      </c>
      <c r="E1376" s="76" t="s">
        <v>2810</v>
      </c>
      <c r="F1376" s="76" t="s">
        <v>62</v>
      </c>
      <c r="G1376" s="76"/>
      <c r="H1376" s="76">
        <f>STOCK[[#This Row],[Precio Final]]</f>
        <v>20</v>
      </c>
      <c r="I1376" s="80">
        <f>STOCK[[#This Row],[Precio Venta Ideal (x1.5)]]</f>
        <v>14.145</v>
      </c>
      <c r="J1376" s="78">
        <v>3</v>
      </c>
      <c r="K1376" s="78">
        <f>SUMIFS(VENTAS[Cantidad],VENTAS[Código del producto Vendido],STOCK[[#This Row],[Code]])</f>
        <v>1</v>
      </c>
      <c r="L1376" s="78">
        <f>STOCK[[#This Row],[Entradas]]-STOCK[[#This Row],[Salidas]]</f>
        <v>2</v>
      </c>
      <c r="M1376" s="76">
        <f>STOCK[[#This Row],[Precio Final]]*10%</f>
        <v>2</v>
      </c>
      <c r="N1376" s="76">
        <v>0</v>
      </c>
      <c r="O1376" s="76">
        <v>0</v>
      </c>
      <c r="P1376" s="76">
        <v>5.78</v>
      </c>
      <c r="Q1376" s="78">
        <v>0</v>
      </c>
      <c r="R1376" s="76">
        <v>0</v>
      </c>
      <c r="S1376" s="76">
        <v>1.65</v>
      </c>
      <c r="T1376" s="76">
        <f>STOCK[[#This Row],[Costo Unitario (USD)]]+STOCK[[#This Row],[Costo Envío (USD)]]+STOCK[[#This Row],[Comisión 10%]]</f>
        <v>9.43</v>
      </c>
      <c r="U1376" s="53">
        <f>STOCK[[#This Row],[Costo total]]*1.5</f>
        <v>14.145</v>
      </c>
      <c r="V1376" s="76">
        <v>20</v>
      </c>
      <c r="W1376" s="76">
        <f>STOCK[[#This Row],[Precio Final]]-STOCK[[#This Row],[Costo total]]</f>
        <v>10.57</v>
      </c>
      <c r="X1376" s="76">
        <f>STOCK[[#This Row],[Ganancia Unitaria]]*STOCK[[#This Row],[Salidas]]</f>
        <v>10.57</v>
      </c>
      <c r="Y1376" s="76"/>
      <c r="Z1376" s="76"/>
      <c r="AA1376" s="54">
        <f>STOCK[[#This Row],[Costo total]]*STOCK[[#This Row],[Entradas]]</f>
        <v>28.29</v>
      </c>
      <c r="AB1376" s="54">
        <f>STOCK[[#This Row],[Stock Actual]]*STOCK[[#This Row],[Costo total]]</f>
        <v>18.86</v>
      </c>
      <c r="AC1376" s="76"/>
    </row>
    <row r="1377" s="53" customFormat="1" ht="50" customHeight="1" spans="1:29">
      <c r="A1377" s="53" t="s">
        <v>2811</v>
      </c>
      <c r="B1377" s="77"/>
      <c r="C1377" s="76" t="s">
        <v>32</v>
      </c>
      <c r="D1377" s="76" t="s">
        <v>1212</v>
      </c>
      <c r="E1377" s="76" t="s">
        <v>2810</v>
      </c>
      <c r="F1377" s="76" t="s">
        <v>49</v>
      </c>
      <c r="G1377" s="76"/>
      <c r="H1377" s="76">
        <f>STOCK[[#This Row],[Precio Final]]</f>
        <v>20</v>
      </c>
      <c r="I1377" s="80">
        <f>STOCK[[#This Row],[Precio Venta Ideal (x1.5)]]</f>
        <v>14.145</v>
      </c>
      <c r="J1377" s="78">
        <v>3</v>
      </c>
      <c r="K1377" s="78">
        <f>SUMIFS(VENTAS[Cantidad],VENTAS[Código del producto Vendido],STOCK[[#This Row],[Code]])</f>
        <v>0</v>
      </c>
      <c r="L1377" s="78">
        <f>STOCK[[#This Row],[Entradas]]-STOCK[[#This Row],[Salidas]]</f>
        <v>3</v>
      </c>
      <c r="M1377" s="76">
        <f>STOCK[[#This Row],[Precio Final]]*10%</f>
        <v>2</v>
      </c>
      <c r="N1377" s="76">
        <v>0</v>
      </c>
      <c r="O1377" s="76">
        <v>0</v>
      </c>
      <c r="P1377" s="76">
        <v>5.78</v>
      </c>
      <c r="Q1377" s="78">
        <v>0</v>
      </c>
      <c r="R1377" s="76">
        <v>0</v>
      </c>
      <c r="S1377" s="76">
        <v>1.65</v>
      </c>
      <c r="T1377" s="76">
        <f>STOCK[[#This Row],[Costo Unitario (USD)]]+STOCK[[#This Row],[Costo Envío (USD)]]+STOCK[[#This Row],[Comisión 10%]]</f>
        <v>9.43</v>
      </c>
      <c r="U1377" s="53">
        <f>STOCK[[#This Row],[Costo total]]*1.5</f>
        <v>14.145</v>
      </c>
      <c r="V1377" s="76">
        <v>20</v>
      </c>
      <c r="W1377" s="76">
        <f>STOCK[[#This Row],[Precio Final]]-STOCK[[#This Row],[Costo total]]</f>
        <v>10.57</v>
      </c>
      <c r="X1377" s="76">
        <f>STOCK[[#This Row],[Ganancia Unitaria]]*STOCK[[#This Row],[Salidas]]</f>
        <v>0</v>
      </c>
      <c r="Y1377" s="76"/>
      <c r="Z1377" s="76"/>
      <c r="AA1377" s="54">
        <f>STOCK[[#This Row],[Costo total]]*STOCK[[#This Row],[Entradas]]</f>
        <v>28.29</v>
      </c>
      <c r="AB1377" s="54">
        <f>STOCK[[#This Row],[Stock Actual]]*STOCK[[#This Row],[Costo total]]</f>
        <v>28.29</v>
      </c>
      <c r="AC1377" s="76"/>
    </row>
    <row r="1378" s="53" customFormat="1" ht="50" customHeight="1" spans="1:29">
      <c r="A1378" s="53" t="s">
        <v>2812</v>
      </c>
      <c r="B1378" s="77"/>
      <c r="C1378" s="76" t="s">
        <v>32</v>
      </c>
      <c r="D1378" s="76" t="s">
        <v>1212</v>
      </c>
      <c r="E1378" s="76" t="s">
        <v>2810</v>
      </c>
      <c r="F1378" s="76" t="s">
        <v>46</v>
      </c>
      <c r="G1378" s="76"/>
      <c r="H1378" s="76">
        <f>STOCK[[#This Row],[Precio Final]]</f>
        <v>20</v>
      </c>
      <c r="I1378" s="80">
        <f>STOCK[[#This Row],[Precio Venta Ideal (x1.5)]]</f>
        <v>14.145</v>
      </c>
      <c r="J1378" s="78">
        <v>3</v>
      </c>
      <c r="K1378" s="78">
        <f>SUMIFS(VENTAS[Cantidad],VENTAS[Código del producto Vendido],STOCK[[#This Row],[Code]])</f>
        <v>0</v>
      </c>
      <c r="L1378" s="78">
        <f>STOCK[[#This Row],[Entradas]]-STOCK[[#This Row],[Salidas]]</f>
        <v>3</v>
      </c>
      <c r="M1378" s="76">
        <f>STOCK[[#This Row],[Precio Final]]*10%</f>
        <v>2</v>
      </c>
      <c r="N1378" s="76">
        <v>0</v>
      </c>
      <c r="O1378" s="76">
        <v>0</v>
      </c>
      <c r="P1378" s="76">
        <v>5.78</v>
      </c>
      <c r="Q1378" s="78">
        <v>0</v>
      </c>
      <c r="R1378" s="76">
        <v>0</v>
      </c>
      <c r="S1378" s="76">
        <v>1.65</v>
      </c>
      <c r="T1378" s="76">
        <f>STOCK[[#This Row],[Costo Unitario (USD)]]+STOCK[[#This Row],[Costo Envío (USD)]]+STOCK[[#This Row],[Comisión 10%]]</f>
        <v>9.43</v>
      </c>
      <c r="U1378" s="53">
        <f>STOCK[[#This Row],[Costo total]]*1.5</f>
        <v>14.145</v>
      </c>
      <c r="V1378" s="76">
        <v>20</v>
      </c>
      <c r="W1378" s="76">
        <f>STOCK[[#This Row],[Precio Final]]-STOCK[[#This Row],[Costo total]]</f>
        <v>10.57</v>
      </c>
      <c r="X1378" s="76">
        <f>STOCK[[#This Row],[Ganancia Unitaria]]*STOCK[[#This Row],[Salidas]]</f>
        <v>0</v>
      </c>
      <c r="Y1378" s="76"/>
      <c r="Z1378" s="76"/>
      <c r="AA1378" s="54">
        <f>STOCK[[#This Row],[Costo total]]*STOCK[[#This Row],[Entradas]]</f>
        <v>28.29</v>
      </c>
      <c r="AB1378" s="54">
        <f>STOCK[[#This Row],[Stock Actual]]*STOCK[[#This Row],[Costo total]]</f>
        <v>28.29</v>
      </c>
      <c r="AC1378" s="76"/>
    </row>
    <row r="1379" s="53" customFormat="1" ht="50" customHeight="1" spans="1:29">
      <c r="A1379" s="53" t="s">
        <v>2813</v>
      </c>
      <c r="B1379" s="77"/>
      <c r="C1379" s="76" t="s">
        <v>32</v>
      </c>
      <c r="D1379" s="76" t="s">
        <v>2111</v>
      </c>
      <c r="E1379" s="76" t="s">
        <v>2814</v>
      </c>
      <c r="F1379" s="76" t="s">
        <v>2498</v>
      </c>
      <c r="G1379" s="76"/>
      <c r="H1379" s="76">
        <f>STOCK[[#This Row],[Precio Final]]</f>
        <v>22</v>
      </c>
      <c r="I1379" s="80">
        <f>STOCK[[#This Row],[Precio Venta Ideal (x1.5)]]</f>
        <v>18.72</v>
      </c>
      <c r="J1379" s="78">
        <v>4</v>
      </c>
      <c r="K1379" s="78">
        <f>SUMIFS(VENTAS[Cantidad],VENTAS[Código del producto Vendido],STOCK[[#This Row],[Code]])</f>
        <v>6</v>
      </c>
      <c r="L1379" s="78">
        <f>STOCK[[#This Row],[Entradas]]-STOCK[[#This Row],[Salidas]]</f>
        <v>-2</v>
      </c>
      <c r="M1379" s="76">
        <f>STOCK[[#This Row],[Precio Final]]*10%</f>
        <v>2.2</v>
      </c>
      <c r="N1379" s="76">
        <v>0</v>
      </c>
      <c r="O1379" s="76">
        <v>0</v>
      </c>
      <c r="P1379" s="76">
        <v>8.63</v>
      </c>
      <c r="Q1379" s="78">
        <v>0</v>
      </c>
      <c r="R1379" s="76">
        <v>0</v>
      </c>
      <c r="S1379" s="76">
        <v>1.65</v>
      </c>
      <c r="T1379" s="76">
        <f>STOCK[[#This Row],[Costo Unitario (USD)]]+STOCK[[#This Row],[Costo Envío (USD)]]+STOCK[[#This Row],[Comisión 10%]]</f>
        <v>12.48</v>
      </c>
      <c r="U1379" s="53">
        <f>STOCK[[#This Row],[Costo total]]*1.5</f>
        <v>18.72</v>
      </c>
      <c r="V1379" s="76">
        <v>22</v>
      </c>
      <c r="W1379" s="76">
        <f>STOCK[[#This Row],[Precio Final]]-STOCK[[#This Row],[Costo total]]</f>
        <v>9.52</v>
      </c>
      <c r="X1379" s="76">
        <f>STOCK[[#This Row],[Ganancia Unitaria]]*STOCK[[#This Row],[Salidas]]</f>
        <v>57.12</v>
      </c>
      <c r="Y1379" s="76"/>
      <c r="Z1379" s="76"/>
      <c r="AA1379" s="54">
        <f>STOCK[[#This Row],[Costo total]]*STOCK[[#This Row],[Entradas]]</f>
        <v>49.92</v>
      </c>
      <c r="AB1379" s="54">
        <f>STOCK[[#This Row],[Stock Actual]]*STOCK[[#This Row],[Costo total]]</f>
        <v>-24.96</v>
      </c>
      <c r="AC1379" s="76"/>
    </row>
    <row r="1380" s="53" customFormat="1" ht="50" customHeight="1" spans="1:29">
      <c r="A1380" s="53" t="s">
        <v>2815</v>
      </c>
      <c r="B1380" s="77"/>
      <c r="C1380" s="76" t="s">
        <v>32</v>
      </c>
      <c r="D1380" s="76" t="s">
        <v>2111</v>
      </c>
      <c r="E1380" s="76" t="s">
        <v>2816</v>
      </c>
      <c r="F1380" s="76" t="s">
        <v>2817</v>
      </c>
      <c r="G1380" s="76"/>
      <c r="H1380" s="76">
        <f>STOCK[[#This Row],[Precio Final]]</f>
        <v>22</v>
      </c>
      <c r="I1380" s="80">
        <f>STOCK[[#This Row],[Precio Venta Ideal (x1.5)]]</f>
        <v>21.555</v>
      </c>
      <c r="J1380" s="78">
        <v>7</v>
      </c>
      <c r="K1380" s="78">
        <f>SUMIFS(VENTAS[Cantidad],VENTAS[Código del producto Vendido],STOCK[[#This Row],[Code]])</f>
        <v>13</v>
      </c>
      <c r="L1380" s="78">
        <f>STOCK[[#This Row],[Entradas]]-STOCK[[#This Row],[Salidas]]</f>
        <v>-6</v>
      </c>
      <c r="M1380" s="76">
        <f>STOCK[[#This Row],[Precio Final]]*10%</f>
        <v>2.2</v>
      </c>
      <c r="N1380" s="76">
        <v>0</v>
      </c>
      <c r="O1380" s="76">
        <v>0</v>
      </c>
      <c r="P1380" s="76">
        <v>10.52</v>
      </c>
      <c r="Q1380" s="78">
        <v>0</v>
      </c>
      <c r="R1380" s="76">
        <v>0</v>
      </c>
      <c r="S1380" s="76">
        <v>1.65</v>
      </c>
      <c r="T1380" s="76">
        <f>STOCK[[#This Row],[Costo Unitario (USD)]]+STOCK[[#This Row],[Costo Envío (USD)]]+STOCK[[#This Row],[Comisión 10%]]</f>
        <v>14.37</v>
      </c>
      <c r="U1380" s="53">
        <f>STOCK[[#This Row],[Costo total]]*1.5</f>
        <v>21.555</v>
      </c>
      <c r="V1380" s="76">
        <v>22</v>
      </c>
      <c r="W1380" s="76">
        <f>STOCK[[#This Row],[Precio Final]]-STOCK[[#This Row],[Costo total]]</f>
        <v>7.63</v>
      </c>
      <c r="X1380" s="76">
        <f>STOCK[[#This Row],[Ganancia Unitaria]]*STOCK[[#This Row],[Salidas]]</f>
        <v>99.19</v>
      </c>
      <c r="Y1380" s="76"/>
      <c r="Z1380" s="76"/>
      <c r="AA1380" s="54">
        <f>STOCK[[#This Row],[Costo total]]*STOCK[[#This Row],[Entradas]]</f>
        <v>100.59</v>
      </c>
      <c r="AB1380" s="54">
        <f>STOCK[[#This Row],[Stock Actual]]*STOCK[[#This Row],[Costo total]]</f>
        <v>-86.22</v>
      </c>
      <c r="AC1380" s="76"/>
    </row>
    <row r="1381" s="53" customFormat="1" ht="50" customHeight="1" spans="1:29">
      <c r="A1381" s="53" t="s">
        <v>2818</v>
      </c>
      <c r="B1381" s="77"/>
      <c r="C1381" s="76" t="s">
        <v>32</v>
      </c>
      <c r="D1381" s="76" t="s">
        <v>2111</v>
      </c>
      <c r="E1381" s="76" t="s">
        <v>2819</v>
      </c>
      <c r="F1381" s="76" t="s">
        <v>2498</v>
      </c>
      <c r="G1381" s="76"/>
      <c r="H1381" s="76">
        <f>STOCK[[#This Row],[Precio Final]]</f>
        <v>25</v>
      </c>
      <c r="I1381" s="80">
        <f>STOCK[[#This Row],[Precio Venta Ideal (x1.5)]]</f>
        <v>20.31</v>
      </c>
      <c r="J1381" s="78">
        <v>3</v>
      </c>
      <c r="K1381" s="78">
        <f>SUMIFS(VENTAS[Cantidad],VENTAS[Código del producto Vendido],STOCK[[#This Row],[Code]])</f>
        <v>0</v>
      </c>
      <c r="L1381" s="78">
        <f>STOCK[[#This Row],[Entradas]]-STOCK[[#This Row],[Salidas]]</f>
        <v>3</v>
      </c>
      <c r="M1381" s="76">
        <f>STOCK[[#This Row],[Precio Final]]*10%</f>
        <v>2.5</v>
      </c>
      <c r="N1381" s="76">
        <v>0</v>
      </c>
      <c r="O1381" s="76">
        <v>0</v>
      </c>
      <c r="P1381" s="76">
        <v>9.39</v>
      </c>
      <c r="Q1381" s="78">
        <v>0</v>
      </c>
      <c r="R1381" s="76">
        <v>0</v>
      </c>
      <c r="S1381" s="76">
        <v>1.65</v>
      </c>
      <c r="T1381" s="76">
        <f>STOCK[[#This Row],[Costo Unitario (USD)]]+STOCK[[#This Row],[Costo Envío (USD)]]+STOCK[[#This Row],[Comisión 10%]]</f>
        <v>13.54</v>
      </c>
      <c r="U1381" s="53">
        <f>STOCK[[#This Row],[Costo total]]*1.5</f>
        <v>20.31</v>
      </c>
      <c r="V1381" s="76">
        <v>25</v>
      </c>
      <c r="W1381" s="76">
        <f>STOCK[[#This Row],[Precio Final]]-STOCK[[#This Row],[Costo total]]</f>
        <v>11.46</v>
      </c>
      <c r="X1381" s="76">
        <f>STOCK[[#This Row],[Ganancia Unitaria]]*STOCK[[#This Row],[Salidas]]</f>
        <v>0</v>
      </c>
      <c r="Y1381" s="76"/>
      <c r="Z1381" s="76"/>
      <c r="AA1381" s="54">
        <f>STOCK[[#This Row],[Costo total]]*STOCK[[#This Row],[Entradas]]</f>
        <v>40.62</v>
      </c>
      <c r="AB1381" s="54">
        <f>STOCK[[#This Row],[Stock Actual]]*STOCK[[#This Row],[Costo total]]</f>
        <v>40.62</v>
      </c>
      <c r="AC1381" s="76"/>
    </row>
    <row r="1382" s="53" customFormat="1" ht="50" customHeight="1" spans="1:29">
      <c r="A1382" s="53" t="s">
        <v>2820</v>
      </c>
      <c r="B1382" s="77"/>
      <c r="C1382" s="76" t="s">
        <v>32</v>
      </c>
      <c r="D1382" s="76" t="s">
        <v>2111</v>
      </c>
      <c r="E1382" s="76" t="s">
        <v>2821</v>
      </c>
      <c r="F1382" s="76" t="s">
        <v>2822</v>
      </c>
      <c r="G1382" s="76"/>
      <c r="H1382" s="76">
        <f>STOCK[[#This Row],[Precio Final]]</f>
        <v>25</v>
      </c>
      <c r="I1382" s="80">
        <f>STOCK[[#This Row],[Precio Venta Ideal (x1.5)]]</f>
        <v>18.96</v>
      </c>
      <c r="J1382" s="78">
        <v>5</v>
      </c>
      <c r="K1382" s="78">
        <f>SUMIFS(VENTAS[Cantidad],VENTAS[Código del producto Vendido],STOCK[[#This Row],[Code]])</f>
        <v>7</v>
      </c>
      <c r="L1382" s="78">
        <f>STOCK[[#This Row],[Entradas]]-STOCK[[#This Row],[Salidas]]</f>
        <v>-2</v>
      </c>
      <c r="M1382" s="76">
        <f>STOCK[[#This Row],[Precio Final]]*10%</f>
        <v>2.5</v>
      </c>
      <c r="N1382" s="76">
        <v>0</v>
      </c>
      <c r="O1382" s="76">
        <v>0</v>
      </c>
      <c r="P1382" s="76">
        <v>8.49</v>
      </c>
      <c r="Q1382" s="78">
        <v>0</v>
      </c>
      <c r="R1382" s="76">
        <v>0</v>
      </c>
      <c r="S1382" s="76">
        <v>1.65</v>
      </c>
      <c r="T1382" s="76">
        <f>STOCK[[#This Row],[Costo Unitario (USD)]]+STOCK[[#This Row],[Costo Envío (USD)]]+STOCK[[#This Row],[Comisión 10%]]</f>
        <v>12.64</v>
      </c>
      <c r="U1382" s="53">
        <f>STOCK[[#This Row],[Costo total]]*1.5</f>
        <v>18.96</v>
      </c>
      <c r="V1382" s="76">
        <v>25</v>
      </c>
      <c r="W1382" s="76">
        <f>STOCK[[#This Row],[Precio Final]]-STOCK[[#This Row],[Costo total]]</f>
        <v>12.36</v>
      </c>
      <c r="X1382" s="76">
        <f>STOCK[[#This Row],[Ganancia Unitaria]]*STOCK[[#This Row],[Salidas]]</f>
        <v>86.52</v>
      </c>
      <c r="Y1382" s="76"/>
      <c r="Z1382" s="76"/>
      <c r="AA1382" s="54">
        <f>STOCK[[#This Row],[Costo total]]*STOCK[[#This Row],[Entradas]]</f>
        <v>63.2</v>
      </c>
      <c r="AB1382" s="54">
        <f>STOCK[[#This Row],[Stock Actual]]*STOCK[[#This Row],[Costo total]]</f>
        <v>-25.28</v>
      </c>
      <c r="AC1382" s="76"/>
    </row>
    <row r="1383" s="53" customFormat="1" ht="50" customHeight="1" spans="1:29">
      <c r="A1383" s="53" t="s">
        <v>2823</v>
      </c>
      <c r="B1383" s="77"/>
      <c r="C1383" s="76" t="s">
        <v>32</v>
      </c>
      <c r="D1383" s="76" t="s">
        <v>2111</v>
      </c>
      <c r="E1383" s="76" t="s">
        <v>2824</v>
      </c>
      <c r="F1383" s="76" t="s">
        <v>2817</v>
      </c>
      <c r="G1383" s="76"/>
      <c r="H1383" s="76">
        <f>STOCK[[#This Row],[Precio Final]]</f>
        <v>25</v>
      </c>
      <c r="I1383" s="80">
        <f>STOCK[[#This Row],[Precio Venta Ideal (x1.5)]]</f>
        <v>23.775</v>
      </c>
      <c r="J1383" s="78">
        <v>4</v>
      </c>
      <c r="K1383" s="78">
        <f>SUMIFS(VENTAS[Cantidad],VENTAS[Código del producto Vendido],STOCK[[#This Row],[Code]])</f>
        <v>8</v>
      </c>
      <c r="L1383" s="78">
        <f>STOCK[[#This Row],[Entradas]]-STOCK[[#This Row],[Salidas]]</f>
        <v>-4</v>
      </c>
      <c r="M1383" s="76">
        <f>STOCK[[#This Row],[Precio Final]]*10%</f>
        <v>2.5</v>
      </c>
      <c r="N1383" s="76">
        <v>0</v>
      </c>
      <c r="O1383" s="76">
        <v>0</v>
      </c>
      <c r="P1383" s="76">
        <v>11.7</v>
      </c>
      <c r="Q1383" s="78">
        <v>0</v>
      </c>
      <c r="R1383" s="76">
        <v>0</v>
      </c>
      <c r="S1383" s="76">
        <v>1.65</v>
      </c>
      <c r="T1383" s="76">
        <f>STOCK[[#This Row],[Costo Unitario (USD)]]+STOCK[[#This Row],[Costo Envío (USD)]]+STOCK[[#This Row],[Comisión 10%]]</f>
        <v>15.85</v>
      </c>
      <c r="U1383" s="53">
        <f>STOCK[[#This Row],[Costo total]]*1.5</f>
        <v>23.775</v>
      </c>
      <c r="V1383" s="76">
        <v>25</v>
      </c>
      <c r="W1383" s="76">
        <f>STOCK[[#This Row],[Precio Final]]-STOCK[[#This Row],[Costo total]]</f>
        <v>9.15</v>
      </c>
      <c r="X1383" s="76">
        <f>STOCK[[#This Row],[Ganancia Unitaria]]*STOCK[[#This Row],[Salidas]]</f>
        <v>73.2</v>
      </c>
      <c r="Y1383" s="76"/>
      <c r="Z1383" s="76"/>
      <c r="AA1383" s="54">
        <f>STOCK[[#This Row],[Costo total]]*STOCK[[#This Row],[Entradas]]</f>
        <v>63.4</v>
      </c>
      <c r="AB1383" s="54">
        <f>STOCK[[#This Row],[Stock Actual]]*STOCK[[#This Row],[Costo total]]</f>
        <v>-63.4</v>
      </c>
      <c r="AC1383" s="76"/>
    </row>
    <row r="1384" s="53" customFormat="1" ht="50" customHeight="1" spans="1:29">
      <c r="A1384" s="53" t="s">
        <v>2825</v>
      </c>
      <c r="B1384" s="77"/>
      <c r="C1384" s="76" t="s">
        <v>32</v>
      </c>
      <c r="D1384" s="76" t="s">
        <v>2111</v>
      </c>
      <c r="E1384" s="76" t="s">
        <v>2826</v>
      </c>
      <c r="F1384" s="76" t="s">
        <v>2822</v>
      </c>
      <c r="G1384" s="76"/>
      <c r="H1384" s="76">
        <f>STOCK[[#This Row],[Precio Final]]</f>
        <v>25</v>
      </c>
      <c r="I1384" s="80">
        <f>STOCK[[#This Row],[Precio Venta Ideal (x1.5)]]</f>
        <v>22.86</v>
      </c>
      <c r="J1384" s="78">
        <v>3</v>
      </c>
      <c r="K1384" s="78">
        <f>SUMIFS(VENTAS[Cantidad],VENTAS[Código del producto Vendido],STOCK[[#This Row],[Code]])</f>
        <v>6</v>
      </c>
      <c r="L1384" s="78">
        <f>STOCK[[#This Row],[Entradas]]-STOCK[[#This Row],[Salidas]]</f>
        <v>-3</v>
      </c>
      <c r="M1384" s="76">
        <f>STOCK[[#This Row],[Precio Final]]*10%</f>
        <v>2.5</v>
      </c>
      <c r="N1384" s="76">
        <v>0</v>
      </c>
      <c r="O1384" s="76">
        <v>0</v>
      </c>
      <c r="P1384" s="76">
        <v>11.09</v>
      </c>
      <c r="Q1384" s="78">
        <v>0</v>
      </c>
      <c r="R1384" s="76">
        <v>0</v>
      </c>
      <c r="S1384" s="76">
        <v>1.65</v>
      </c>
      <c r="T1384" s="76">
        <f>STOCK[[#This Row],[Costo Unitario (USD)]]+STOCK[[#This Row],[Costo Envío (USD)]]+STOCK[[#This Row],[Comisión 10%]]</f>
        <v>15.24</v>
      </c>
      <c r="U1384" s="53">
        <f>STOCK[[#This Row],[Costo total]]*1.5</f>
        <v>22.86</v>
      </c>
      <c r="V1384" s="76">
        <v>25</v>
      </c>
      <c r="W1384" s="76">
        <f>STOCK[[#This Row],[Precio Final]]-STOCK[[#This Row],[Costo total]]</f>
        <v>9.76</v>
      </c>
      <c r="X1384" s="76">
        <f>STOCK[[#This Row],[Ganancia Unitaria]]*STOCK[[#This Row],[Salidas]]</f>
        <v>58.56</v>
      </c>
      <c r="Y1384" s="76"/>
      <c r="Z1384" s="76"/>
      <c r="AA1384" s="54">
        <f>STOCK[[#This Row],[Costo total]]*STOCK[[#This Row],[Entradas]]</f>
        <v>45.72</v>
      </c>
      <c r="AB1384" s="54">
        <f>STOCK[[#This Row],[Stock Actual]]*STOCK[[#This Row],[Costo total]]</f>
        <v>-45.72</v>
      </c>
      <c r="AC1384" s="76"/>
    </row>
    <row r="1385" s="53" customFormat="1" ht="50" customHeight="1" spans="1:29">
      <c r="A1385" s="53" t="s">
        <v>2827</v>
      </c>
      <c r="B1385" s="77"/>
      <c r="C1385" s="76" t="s">
        <v>32</v>
      </c>
      <c r="D1385" s="76" t="s">
        <v>2111</v>
      </c>
      <c r="E1385" s="76" t="s">
        <v>2828</v>
      </c>
      <c r="F1385" s="76" t="s">
        <v>2822</v>
      </c>
      <c r="G1385" s="76"/>
      <c r="H1385" s="76">
        <f>STOCK[[#This Row],[Precio Final]]</f>
        <v>25</v>
      </c>
      <c r="I1385" s="80">
        <f>STOCK[[#This Row],[Precio Venta Ideal (x1.5)]]</f>
        <v>23.715</v>
      </c>
      <c r="J1385" s="78">
        <v>3</v>
      </c>
      <c r="K1385" s="78">
        <f>SUMIFS(VENTAS[Cantidad],VENTAS[Código del producto Vendido],STOCK[[#This Row],[Code]])</f>
        <v>6</v>
      </c>
      <c r="L1385" s="78">
        <f>STOCK[[#This Row],[Entradas]]-STOCK[[#This Row],[Salidas]]</f>
        <v>-3</v>
      </c>
      <c r="M1385" s="76">
        <f>STOCK[[#This Row],[Precio Final]]*10%</f>
        <v>2.5</v>
      </c>
      <c r="N1385" s="76">
        <v>0</v>
      </c>
      <c r="O1385" s="76">
        <v>0</v>
      </c>
      <c r="P1385" s="76">
        <v>11.66</v>
      </c>
      <c r="Q1385" s="78">
        <v>0</v>
      </c>
      <c r="R1385" s="76">
        <v>0</v>
      </c>
      <c r="S1385" s="76">
        <v>1.65</v>
      </c>
      <c r="T1385" s="76">
        <f>STOCK[[#This Row],[Costo Unitario (USD)]]+STOCK[[#This Row],[Costo Envío (USD)]]+STOCK[[#This Row],[Comisión 10%]]</f>
        <v>15.81</v>
      </c>
      <c r="U1385" s="53">
        <f>STOCK[[#This Row],[Costo total]]*1.5</f>
        <v>23.715</v>
      </c>
      <c r="V1385" s="76">
        <v>25</v>
      </c>
      <c r="W1385" s="76">
        <f>STOCK[[#This Row],[Precio Final]]-STOCK[[#This Row],[Costo total]]</f>
        <v>9.19</v>
      </c>
      <c r="X1385" s="76">
        <f>STOCK[[#This Row],[Ganancia Unitaria]]*STOCK[[#This Row],[Salidas]]</f>
        <v>55.14</v>
      </c>
      <c r="Y1385" s="76"/>
      <c r="Z1385" s="76"/>
      <c r="AA1385" s="54">
        <f>STOCK[[#This Row],[Costo total]]*STOCK[[#This Row],[Entradas]]</f>
        <v>47.43</v>
      </c>
      <c r="AB1385" s="54">
        <f>STOCK[[#This Row],[Stock Actual]]*STOCK[[#This Row],[Costo total]]</f>
        <v>-47.43</v>
      </c>
      <c r="AC1385" s="76"/>
    </row>
    <row r="1386" s="53" customFormat="1" ht="50" customHeight="1" spans="1:29">
      <c r="A1386" s="53" t="s">
        <v>2829</v>
      </c>
      <c r="B1386" s="77"/>
      <c r="C1386" s="76" t="s">
        <v>32</v>
      </c>
      <c r="D1386" s="76" t="s">
        <v>2111</v>
      </c>
      <c r="E1386" s="76" t="s">
        <v>2830</v>
      </c>
      <c r="F1386" s="76" t="s">
        <v>2822</v>
      </c>
      <c r="G1386" s="76"/>
      <c r="H1386" s="76">
        <f>STOCK[[#This Row],[Precio Final]]</f>
        <v>25</v>
      </c>
      <c r="I1386" s="80">
        <f>STOCK[[#This Row],[Precio Venta Ideal (x1.5)]]</f>
        <v>23.295</v>
      </c>
      <c r="J1386" s="78">
        <v>3</v>
      </c>
      <c r="K1386" s="78">
        <f>SUMIFS(VENTAS[Cantidad],VENTAS[Código del producto Vendido],STOCK[[#This Row],[Code]])</f>
        <v>5</v>
      </c>
      <c r="L1386" s="78">
        <f>STOCK[[#This Row],[Entradas]]-STOCK[[#This Row],[Salidas]]</f>
        <v>-2</v>
      </c>
      <c r="M1386" s="76">
        <f>STOCK[[#This Row],[Precio Final]]*10%</f>
        <v>2.5</v>
      </c>
      <c r="N1386" s="76">
        <v>0</v>
      </c>
      <c r="O1386" s="76">
        <v>0</v>
      </c>
      <c r="P1386" s="76">
        <v>11.38</v>
      </c>
      <c r="Q1386" s="78">
        <v>0</v>
      </c>
      <c r="R1386" s="76">
        <v>0</v>
      </c>
      <c r="S1386" s="76">
        <v>1.65</v>
      </c>
      <c r="T1386" s="76">
        <f>STOCK[[#This Row],[Costo Unitario (USD)]]+STOCK[[#This Row],[Costo Envío (USD)]]+STOCK[[#This Row],[Comisión 10%]]</f>
        <v>15.53</v>
      </c>
      <c r="U1386" s="53">
        <f>STOCK[[#This Row],[Costo total]]*1.5</f>
        <v>23.295</v>
      </c>
      <c r="V1386" s="76">
        <v>25</v>
      </c>
      <c r="W1386" s="76">
        <f>STOCK[[#This Row],[Precio Final]]-STOCK[[#This Row],[Costo total]]</f>
        <v>9.47</v>
      </c>
      <c r="X1386" s="76">
        <f>STOCK[[#This Row],[Ganancia Unitaria]]*STOCK[[#This Row],[Salidas]]</f>
        <v>47.35</v>
      </c>
      <c r="Y1386" s="76"/>
      <c r="Z1386" s="76"/>
      <c r="AA1386" s="54">
        <f>STOCK[[#This Row],[Costo total]]*STOCK[[#This Row],[Entradas]]</f>
        <v>46.59</v>
      </c>
      <c r="AB1386" s="54">
        <f>STOCK[[#This Row],[Stock Actual]]*STOCK[[#This Row],[Costo total]]</f>
        <v>-31.06</v>
      </c>
      <c r="AC1386" s="76"/>
    </row>
    <row r="1387" s="53" customFormat="1" ht="50" customHeight="1" spans="1:29">
      <c r="A1387" s="53" t="s">
        <v>2831</v>
      </c>
      <c r="B1387" s="77"/>
      <c r="C1387" s="76" t="s">
        <v>32</v>
      </c>
      <c r="D1387" s="76" t="s">
        <v>2127</v>
      </c>
      <c r="E1387" s="76" t="s">
        <v>2832</v>
      </c>
      <c r="F1387" s="76" t="s">
        <v>62</v>
      </c>
      <c r="G1387" s="76"/>
      <c r="H1387" s="76">
        <f>STOCK[[#This Row],[Precio Final]]</f>
        <v>25</v>
      </c>
      <c r="I1387" s="80">
        <f>STOCK[[#This Row],[Precio Venta Ideal (x1.5)]]</f>
        <v>21.66</v>
      </c>
      <c r="J1387" s="78">
        <v>4</v>
      </c>
      <c r="K1387" s="78">
        <f>SUMIFS(VENTAS[Cantidad],VENTAS[Código del producto Vendido],STOCK[[#This Row],[Code]])</f>
        <v>2</v>
      </c>
      <c r="L1387" s="78">
        <f>STOCK[[#This Row],[Entradas]]-STOCK[[#This Row],[Salidas]]</f>
        <v>2</v>
      </c>
      <c r="M1387" s="76">
        <f>STOCK[[#This Row],[Precio Final]]*10%</f>
        <v>2.5</v>
      </c>
      <c r="N1387" s="76">
        <v>0</v>
      </c>
      <c r="O1387" s="76">
        <v>0</v>
      </c>
      <c r="P1387" s="76">
        <v>10.29</v>
      </c>
      <c r="Q1387" s="78">
        <v>0</v>
      </c>
      <c r="R1387" s="76">
        <v>0</v>
      </c>
      <c r="S1387" s="76">
        <v>1.65</v>
      </c>
      <c r="T1387" s="76">
        <f>STOCK[[#This Row],[Costo Unitario (USD)]]+STOCK[[#This Row],[Costo Envío (USD)]]+STOCK[[#This Row],[Comisión 10%]]</f>
        <v>14.44</v>
      </c>
      <c r="U1387" s="53">
        <f>STOCK[[#This Row],[Costo total]]*1.5</f>
        <v>21.66</v>
      </c>
      <c r="V1387" s="76">
        <v>25</v>
      </c>
      <c r="W1387" s="76">
        <f>STOCK[[#This Row],[Precio Final]]-STOCK[[#This Row],[Costo total]]</f>
        <v>10.56</v>
      </c>
      <c r="X1387" s="76">
        <f>STOCK[[#This Row],[Ganancia Unitaria]]*STOCK[[#This Row],[Salidas]]</f>
        <v>21.12</v>
      </c>
      <c r="Y1387" s="76"/>
      <c r="Z1387" s="76"/>
      <c r="AA1387" s="54">
        <f>STOCK[[#This Row],[Costo total]]*STOCK[[#This Row],[Entradas]]</f>
        <v>57.76</v>
      </c>
      <c r="AB1387" s="54">
        <f>STOCK[[#This Row],[Stock Actual]]*STOCK[[#This Row],[Costo total]]</f>
        <v>28.88</v>
      </c>
      <c r="AC1387" s="76"/>
    </row>
    <row r="1388" s="53" customFormat="1" ht="50" customHeight="1" spans="1:29">
      <c r="A1388" s="53" t="s">
        <v>2833</v>
      </c>
      <c r="B1388" s="77"/>
      <c r="C1388" s="76" t="s">
        <v>32</v>
      </c>
      <c r="D1388" s="76" t="s">
        <v>2834</v>
      </c>
      <c r="E1388" s="76" t="s">
        <v>2835</v>
      </c>
      <c r="F1388" s="76" t="s">
        <v>40</v>
      </c>
      <c r="G1388" s="76"/>
      <c r="H1388" s="76">
        <f>STOCK[[#This Row],[Precio Final]]</f>
        <v>30</v>
      </c>
      <c r="I1388" s="80">
        <f>STOCK[[#This Row],[Precio Venta Ideal (x1.5)]]</f>
        <v>24.75</v>
      </c>
      <c r="J1388" s="78">
        <v>2</v>
      </c>
      <c r="K1388" s="78">
        <f>SUMIFS(VENTAS[Cantidad],VENTAS[Código del producto Vendido],STOCK[[#This Row],[Code]])</f>
        <v>3</v>
      </c>
      <c r="L1388" s="78">
        <f>STOCK[[#This Row],[Entradas]]-STOCK[[#This Row],[Salidas]]</f>
        <v>-1</v>
      </c>
      <c r="M1388" s="76">
        <f>STOCK[[#This Row],[Precio Final]]*10%</f>
        <v>3</v>
      </c>
      <c r="N1388" s="76">
        <v>0</v>
      </c>
      <c r="O1388" s="76">
        <v>0</v>
      </c>
      <c r="P1388" s="76">
        <v>11.85</v>
      </c>
      <c r="Q1388" s="78">
        <v>0</v>
      </c>
      <c r="R1388" s="76">
        <v>0</v>
      </c>
      <c r="S1388" s="76">
        <v>1.65</v>
      </c>
      <c r="T1388" s="76">
        <f>STOCK[[#This Row],[Costo Unitario (USD)]]+STOCK[[#This Row],[Costo Envío (USD)]]+STOCK[[#This Row],[Comisión 10%]]</f>
        <v>16.5</v>
      </c>
      <c r="U1388" s="53">
        <f>STOCK[[#This Row],[Costo total]]*1.5</f>
        <v>24.75</v>
      </c>
      <c r="V1388" s="76">
        <v>30</v>
      </c>
      <c r="W1388" s="76">
        <f>STOCK[[#This Row],[Precio Final]]-STOCK[[#This Row],[Costo total]]</f>
        <v>13.5</v>
      </c>
      <c r="X1388" s="76">
        <f>STOCK[[#This Row],[Ganancia Unitaria]]*STOCK[[#This Row],[Salidas]]</f>
        <v>40.5</v>
      </c>
      <c r="Y1388" s="76"/>
      <c r="Z1388" s="76"/>
      <c r="AA1388" s="54">
        <f>STOCK[[#This Row],[Costo total]]*STOCK[[#This Row],[Entradas]]</f>
        <v>33</v>
      </c>
      <c r="AB1388" s="54">
        <f>STOCK[[#This Row],[Stock Actual]]*STOCK[[#This Row],[Costo total]]</f>
        <v>-16.5</v>
      </c>
      <c r="AC1388" s="76"/>
    </row>
    <row r="1389" s="53" customFormat="1" ht="50" customHeight="1" spans="1:29">
      <c r="A1389" s="53" t="s">
        <v>2836</v>
      </c>
      <c r="B1389" s="77"/>
      <c r="C1389" s="76" t="s">
        <v>32</v>
      </c>
      <c r="D1389" s="76" t="s">
        <v>2834</v>
      </c>
      <c r="E1389" s="76" t="s">
        <v>2835</v>
      </c>
      <c r="F1389" s="76" t="s">
        <v>62</v>
      </c>
      <c r="G1389" s="76"/>
      <c r="H1389" s="76">
        <f>STOCK[[#This Row],[Precio Final]]</f>
        <v>30</v>
      </c>
      <c r="I1389" s="80">
        <f>STOCK[[#This Row],[Precio Venta Ideal (x1.5)]]</f>
        <v>24.75</v>
      </c>
      <c r="J1389" s="78">
        <v>2</v>
      </c>
      <c r="K1389" s="78">
        <f>SUMIFS(VENTAS[Cantidad],VENTAS[Código del producto Vendido],STOCK[[#This Row],[Code]])</f>
        <v>4</v>
      </c>
      <c r="L1389" s="78">
        <f>STOCK[[#This Row],[Entradas]]-STOCK[[#This Row],[Salidas]]</f>
        <v>-2</v>
      </c>
      <c r="M1389" s="76">
        <f>STOCK[[#This Row],[Precio Final]]*10%</f>
        <v>3</v>
      </c>
      <c r="N1389" s="76">
        <v>0</v>
      </c>
      <c r="O1389" s="76">
        <v>0</v>
      </c>
      <c r="P1389" s="76">
        <v>11.85</v>
      </c>
      <c r="Q1389" s="78">
        <v>0</v>
      </c>
      <c r="R1389" s="76">
        <v>0</v>
      </c>
      <c r="S1389" s="76">
        <v>1.65</v>
      </c>
      <c r="T1389" s="76">
        <f>STOCK[[#This Row],[Costo Unitario (USD)]]+STOCK[[#This Row],[Costo Envío (USD)]]+STOCK[[#This Row],[Comisión 10%]]</f>
        <v>16.5</v>
      </c>
      <c r="U1389" s="53">
        <f>STOCK[[#This Row],[Costo total]]*1.5</f>
        <v>24.75</v>
      </c>
      <c r="V1389" s="76">
        <v>30</v>
      </c>
      <c r="W1389" s="76">
        <f>STOCK[[#This Row],[Precio Final]]-STOCK[[#This Row],[Costo total]]</f>
        <v>13.5</v>
      </c>
      <c r="X1389" s="76">
        <f>STOCK[[#This Row],[Ganancia Unitaria]]*STOCK[[#This Row],[Salidas]]</f>
        <v>54</v>
      </c>
      <c r="Y1389" s="76"/>
      <c r="Z1389" s="76"/>
      <c r="AA1389" s="54">
        <f>STOCK[[#This Row],[Costo total]]*STOCK[[#This Row],[Entradas]]</f>
        <v>33</v>
      </c>
      <c r="AB1389" s="54">
        <f>STOCK[[#This Row],[Stock Actual]]*STOCK[[#This Row],[Costo total]]</f>
        <v>-33</v>
      </c>
      <c r="AC1389" s="76"/>
    </row>
    <row r="1390" s="53" customFormat="1" ht="50" customHeight="1" spans="1:29">
      <c r="A1390" s="53" t="s">
        <v>2837</v>
      </c>
      <c r="B1390" s="77"/>
      <c r="C1390" s="76" t="s">
        <v>32</v>
      </c>
      <c r="D1390" s="76" t="s">
        <v>2834</v>
      </c>
      <c r="E1390" s="76" t="s">
        <v>2835</v>
      </c>
      <c r="F1390" s="76" t="s">
        <v>49</v>
      </c>
      <c r="G1390" s="76"/>
      <c r="H1390" s="76">
        <f>STOCK[[#This Row],[Precio Final]]</f>
        <v>30</v>
      </c>
      <c r="I1390" s="80">
        <f>STOCK[[#This Row],[Precio Venta Ideal (x1.5)]]</f>
        <v>24.75</v>
      </c>
      <c r="J1390" s="78">
        <v>2</v>
      </c>
      <c r="K1390" s="78">
        <f>SUMIFS(VENTAS[Cantidad],VENTAS[Código del producto Vendido],STOCK[[#This Row],[Code]])</f>
        <v>3</v>
      </c>
      <c r="L1390" s="78">
        <f>STOCK[[#This Row],[Entradas]]-STOCK[[#This Row],[Salidas]]</f>
        <v>-1</v>
      </c>
      <c r="M1390" s="76">
        <f>STOCK[[#This Row],[Precio Final]]*10%</f>
        <v>3</v>
      </c>
      <c r="N1390" s="76">
        <v>0</v>
      </c>
      <c r="O1390" s="76">
        <v>0</v>
      </c>
      <c r="P1390" s="76">
        <v>11.85</v>
      </c>
      <c r="Q1390" s="78">
        <v>0</v>
      </c>
      <c r="R1390" s="76">
        <v>0</v>
      </c>
      <c r="S1390" s="76">
        <v>1.65</v>
      </c>
      <c r="T1390" s="76">
        <f>STOCK[[#This Row],[Costo Unitario (USD)]]+STOCK[[#This Row],[Costo Envío (USD)]]+STOCK[[#This Row],[Comisión 10%]]</f>
        <v>16.5</v>
      </c>
      <c r="U1390" s="53">
        <f>STOCK[[#This Row],[Costo total]]*1.5</f>
        <v>24.75</v>
      </c>
      <c r="V1390" s="76">
        <v>30</v>
      </c>
      <c r="W1390" s="76">
        <f>STOCK[[#This Row],[Precio Final]]-STOCK[[#This Row],[Costo total]]</f>
        <v>13.5</v>
      </c>
      <c r="X1390" s="76">
        <f>STOCK[[#This Row],[Ganancia Unitaria]]*STOCK[[#This Row],[Salidas]]</f>
        <v>40.5</v>
      </c>
      <c r="Y1390" s="76"/>
      <c r="Z1390" s="76"/>
      <c r="AA1390" s="54">
        <f>STOCK[[#This Row],[Costo total]]*STOCK[[#This Row],[Entradas]]</f>
        <v>33</v>
      </c>
      <c r="AB1390" s="54">
        <f>STOCK[[#This Row],[Stock Actual]]*STOCK[[#This Row],[Costo total]]</f>
        <v>-16.5</v>
      </c>
      <c r="AC1390" s="76"/>
    </row>
    <row r="1391" s="53" customFormat="1" ht="50" customHeight="1" spans="1:29">
      <c r="A1391" s="53" t="s">
        <v>2838</v>
      </c>
      <c r="B1391" s="77"/>
      <c r="C1391" s="76" t="s">
        <v>32</v>
      </c>
      <c r="D1391" s="76" t="s">
        <v>2834</v>
      </c>
      <c r="E1391" s="76" t="s">
        <v>2835</v>
      </c>
      <c r="F1391" s="76" t="s">
        <v>46</v>
      </c>
      <c r="G1391" s="76"/>
      <c r="H1391" s="76">
        <f>STOCK[[#This Row],[Precio Final]]</f>
        <v>30</v>
      </c>
      <c r="I1391" s="80">
        <f>STOCK[[#This Row],[Precio Venta Ideal (x1.5)]]</f>
        <v>24.75</v>
      </c>
      <c r="J1391" s="78">
        <v>2</v>
      </c>
      <c r="K1391" s="78">
        <f>SUMIFS(VENTAS[Cantidad],VENTAS[Código del producto Vendido],STOCK[[#This Row],[Code]])</f>
        <v>3</v>
      </c>
      <c r="L1391" s="78">
        <f>STOCK[[#This Row],[Entradas]]-STOCK[[#This Row],[Salidas]]</f>
        <v>-1</v>
      </c>
      <c r="M1391" s="76">
        <f>STOCK[[#This Row],[Precio Final]]*10%</f>
        <v>3</v>
      </c>
      <c r="N1391" s="76">
        <v>0</v>
      </c>
      <c r="O1391" s="76">
        <v>0</v>
      </c>
      <c r="P1391" s="76">
        <v>11.85</v>
      </c>
      <c r="Q1391" s="78">
        <v>0</v>
      </c>
      <c r="R1391" s="76">
        <v>0</v>
      </c>
      <c r="S1391" s="76">
        <v>1.65</v>
      </c>
      <c r="T1391" s="76">
        <f>STOCK[[#This Row],[Costo Unitario (USD)]]+STOCK[[#This Row],[Costo Envío (USD)]]+STOCK[[#This Row],[Comisión 10%]]</f>
        <v>16.5</v>
      </c>
      <c r="U1391" s="53">
        <f>STOCK[[#This Row],[Costo total]]*1.5</f>
        <v>24.75</v>
      </c>
      <c r="V1391" s="76">
        <v>30</v>
      </c>
      <c r="W1391" s="76">
        <f>STOCK[[#This Row],[Precio Final]]-STOCK[[#This Row],[Costo total]]</f>
        <v>13.5</v>
      </c>
      <c r="X1391" s="76">
        <f>STOCK[[#This Row],[Ganancia Unitaria]]*STOCK[[#This Row],[Salidas]]</f>
        <v>40.5</v>
      </c>
      <c r="Y1391" s="76"/>
      <c r="Z1391" s="76"/>
      <c r="AA1391" s="54">
        <f>STOCK[[#This Row],[Costo total]]*STOCK[[#This Row],[Entradas]]</f>
        <v>33</v>
      </c>
      <c r="AB1391" s="54">
        <f>STOCK[[#This Row],[Stock Actual]]*STOCK[[#This Row],[Costo total]]</f>
        <v>-16.5</v>
      </c>
      <c r="AC1391" s="76"/>
    </row>
    <row r="1392" s="53" customFormat="1" ht="50" customHeight="1" spans="1:29">
      <c r="A1392" s="53" t="s">
        <v>2839</v>
      </c>
      <c r="B1392" s="77"/>
      <c r="C1392" s="76" t="s">
        <v>32</v>
      </c>
      <c r="D1392" s="76" t="s">
        <v>1190</v>
      </c>
      <c r="E1392" s="76" t="s">
        <v>2840</v>
      </c>
      <c r="F1392" s="76" t="s">
        <v>40</v>
      </c>
      <c r="G1392" s="76"/>
      <c r="H1392" s="76">
        <f>STOCK[[#This Row],[Precio Final]]</f>
        <v>18</v>
      </c>
      <c r="I1392" s="80">
        <f>STOCK[[#This Row],[Precio Venta Ideal (x1.5)]]</f>
        <v>12.9</v>
      </c>
      <c r="J1392" s="78">
        <v>3</v>
      </c>
      <c r="K1392" s="78">
        <f>SUMIFS(VENTAS[Cantidad],VENTAS[Código del producto Vendido],STOCK[[#This Row],[Code]])</f>
        <v>0</v>
      </c>
      <c r="L1392" s="78">
        <f>STOCK[[#This Row],[Entradas]]-STOCK[[#This Row],[Salidas]]</f>
        <v>3</v>
      </c>
      <c r="M1392" s="76">
        <f>STOCK[[#This Row],[Precio Final]]*10%</f>
        <v>1.8</v>
      </c>
      <c r="N1392" s="76">
        <v>0</v>
      </c>
      <c r="O1392" s="76">
        <v>0</v>
      </c>
      <c r="P1392" s="76">
        <v>5.15</v>
      </c>
      <c r="Q1392" s="78">
        <v>0</v>
      </c>
      <c r="R1392" s="76">
        <v>0</v>
      </c>
      <c r="S1392" s="76">
        <v>1.65</v>
      </c>
      <c r="T1392" s="76">
        <f>STOCK[[#This Row],[Costo Unitario (USD)]]+STOCK[[#This Row],[Costo Envío (USD)]]+STOCK[[#This Row],[Comisión 10%]]</f>
        <v>8.6</v>
      </c>
      <c r="U1392" s="53">
        <f>STOCK[[#This Row],[Costo total]]*1.5</f>
        <v>12.9</v>
      </c>
      <c r="V1392" s="76">
        <v>18</v>
      </c>
      <c r="W1392" s="76">
        <f>STOCK[[#This Row],[Precio Final]]-STOCK[[#This Row],[Costo total]]</f>
        <v>9.4</v>
      </c>
      <c r="X1392" s="76">
        <f>STOCK[[#This Row],[Ganancia Unitaria]]*STOCK[[#This Row],[Salidas]]</f>
        <v>0</v>
      </c>
      <c r="Y1392" s="76"/>
      <c r="Z1392" s="76"/>
      <c r="AA1392" s="54">
        <f>STOCK[[#This Row],[Costo total]]*STOCK[[#This Row],[Entradas]]</f>
        <v>25.8</v>
      </c>
      <c r="AB1392" s="54">
        <f>STOCK[[#This Row],[Stock Actual]]*STOCK[[#This Row],[Costo total]]</f>
        <v>25.8</v>
      </c>
      <c r="AC1392" s="76"/>
    </row>
    <row r="1393" s="53" customFormat="1" ht="50" customHeight="1" spans="1:29">
      <c r="A1393" s="53" t="s">
        <v>2841</v>
      </c>
      <c r="B1393" s="77"/>
      <c r="C1393" s="76" t="s">
        <v>32</v>
      </c>
      <c r="D1393" s="76" t="s">
        <v>1190</v>
      </c>
      <c r="E1393" s="76" t="s">
        <v>2840</v>
      </c>
      <c r="F1393" s="76" t="s">
        <v>46</v>
      </c>
      <c r="G1393" s="76"/>
      <c r="H1393" s="76">
        <f>STOCK[[#This Row],[Precio Final]]</f>
        <v>18</v>
      </c>
      <c r="I1393" s="80">
        <f>STOCK[[#This Row],[Precio Venta Ideal (x1.5)]]</f>
        <v>12.9</v>
      </c>
      <c r="J1393" s="78">
        <v>3</v>
      </c>
      <c r="K1393" s="78">
        <f>SUMIFS(VENTAS[Cantidad],VENTAS[Código del producto Vendido],STOCK[[#This Row],[Code]])</f>
        <v>0</v>
      </c>
      <c r="L1393" s="78">
        <f>STOCK[[#This Row],[Entradas]]-STOCK[[#This Row],[Salidas]]</f>
        <v>3</v>
      </c>
      <c r="M1393" s="76">
        <f>STOCK[[#This Row],[Precio Final]]*10%</f>
        <v>1.8</v>
      </c>
      <c r="N1393" s="76">
        <v>0</v>
      </c>
      <c r="O1393" s="76">
        <v>0</v>
      </c>
      <c r="P1393" s="76">
        <v>5.15</v>
      </c>
      <c r="Q1393" s="78">
        <v>0</v>
      </c>
      <c r="R1393" s="76">
        <v>0</v>
      </c>
      <c r="S1393" s="76">
        <v>1.65</v>
      </c>
      <c r="T1393" s="76">
        <f>STOCK[[#This Row],[Costo Unitario (USD)]]+STOCK[[#This Row],[Costo Envío (USD)]]+STOCK[[#This Row],[Comisión 10%]]</f>
        <v>8.6</v>
      </c>
      <c r="U1393" s="53">
        <f>STOCK[[#This Row],[Costo total]]*1.5</f>
        <v>12.9</v>
      </c>
      <c r="V1393" s="76">
        <v>18</v>
      </c>
      <c r="W1393" s="76">
        <f>STOCK[[#This Row],[Precio Final]]-STOCK[[#This Row],[Costo total]]</f>
        <v>9.4</v>
      </c>
      <c r="X1393" s="76">
        <f>STOCK[[#This Row],[Ganancia Unitaria]]*STOCK[[#This Row],[Salidas]]</f>
        <v>0</v>
      </c>
      <c r="Y1393" s="76"/>
      <c r="Z1393" s="76"/>
      <c r="AA1393" s="54">
        <f>STOCK[[#This Row],[Costo total]]*STOCK[[#This Row],[Entradas]]</f>
        <v>25.8</v>
      </c>
      <c r="AB1393" s="54">
        <f>STOCK[[#This Row],[Stock Actual]]*STOCK[[#This Row],[Costo total]]</f>
        <v>25.8</v>
      </c>
      <c r="AC1393" s="76"/>
    </row>
    <row r="1394" s="53" customFormat="1" ht="50" customHeight="1" spans="1:29">
      <c r="A1394" s="53" t="s">
        <v>2842</v>
      </c>
      <c r="B1394" s="77"/>
      <c r="C1394" s="76" t="s">
        <v>32</v>
      </c>
      <c r="D1394" s="76" t="s">
        <v>2111</v>
      </c>
      <c r="E1394" s="76" t="s">
        <v>2843</v>
      </c>
      <c r="F1394" s="76" t="s">
        <v>2817</v>
      </c>
      <c r="G1394" s="76"/>
      <c r="H1394" s="76">
        <f>STOCK[[#This Row],[Precio Final]]</f>
        <v>30</v>
      </c>
      <c r="I1394" s="80">
        <f>STOCK[[#This Row],[Precio Venta Ideal (x1.5)]]</f>
        <v>27.885</v>
      </c>
      <c r="J1394" s="78">
        <v>2</v>
      </c>
      <c r="K1394" s="78">
        <f>SUMIFS(VENTAS[Cantidad],VENTAS[Código del producto Vendido],STOCK[[#This Row],[Code]])</f>
        <v>3</v>
      </c>
      <c r="L1394" s="78">
        <f>STOCK[[#This Row],[Entradas]]-STOCK[[#This Row],[Salidas]]</f>
        <v>-1</v>
      </c>
      <c r="M1394" s="76">
        <f>STOCK[[#This Row],[Precio Final]]*10%</f>
        <v>3</v>
      </c>
      <c r="N1394" s="76">
        <v>0</v>
      </c>
      <c r="O1394" s="76">
        <v>0</v>
      </c>
      <c r="P1394" s="76">
        <v>13.94</v>
      </c>
      <c r="Q1394" s="78">
        <v>0</v>
      </c>
      <c r="R1394" s="76">
        <v>0</v>
      </c>
      <c r="S1394" s="76">
        <v>1.65</v>
      </c>
      <c r="T1394" s="76">
        <f>STOCK[[#This Row],[Costo Unitario (USD)]]+STOCK[[#This Row],[Costo Envío (USD)]]+STOCK[[#This Row],[Comisión 10%]]</f>
        <v>18.59</v>
      </c>
      <c r="U1394" s="53">
        <f>STOCK[[#This Row],[Costo total]]*1.5</f>
        <v>27.885</v>
      </c>
      <c r="V1394" s="76">
        <v>30</v>
      </c>
      <c r="W1394" s="76">
        <f>STOCK[[#This Row],[Precio Final]]-STOCK[[#This Row],[Costo total]]</f>
        <v>11.41</v>
      </c>
      <c r="X1394" s="76">
        <f>STOCK[[#This Row],[Ganancia Unitaria]]*STOCK[[#This Row],[Salidas]]</f>
        <v>34.23</v>
      </c>
      <c r="Y1394" s="76"/>
      <c r="Z1394" s="76"/>
      <c r="AA1394" s="54">
        <f>STOCK[[#This Row],[Costo total]]*STOCK[[#This Row],[Entradas]]</f>
        <v>37.18</v>
      </c>
      <c r="AB1394" s="54">
        <f>STOCK[[#This Row],[Stock Actual]]*STOCK[[#This Row],[Costo total]]</f>
        <v>-18.59</v>
      </c>
      <c r="AC1394" s="76"/>
    </row>
    <row r="1395" s="53" customFormat="1" ht="50" customHeight="1" spans="1:29">
      <c r="A1395" s="53" t="s">
        <v>2844</v>
      </c>
      <c r="B1395" s="77"/>
      <c r="C1395" s="76" t="s">
        <v>32</v>
      </c>
      <c r="D1395" s="76" t="s">
        <v>2845</v>
      </c>
      <c r="E1395" s="76" t="s">
        <v>2846</v>
      </c>
      <c r="F1395" s="76" t="s">
        <v>40</v>
      </c>
      <c r="G1395" s="76"/>
      <c r="H1395" s="76">
        <f>STOCK[[#This Row],[Precio Final]]</f>
        <v>22</v>
      </c>
      <c r="I1395" s="80">
        <f>STOCK[[#This Row],[Precio Venta Ideal (x1.5)]]</f>
        <v>19.08</v>
      </c>
      <c r="J1395" s="78">
        <v>2</v>
      </c>
      <c r="K1395" s="78">
        <f>SUMIFS(VENTAS[Cantidad],VENTAS[Código del producto Vendido],STOCK[[#This Row],[Code]])</f>
        <v>4</v>
      </c>
      <c r="L1395" s="78">
        <f>STOCK[[#This Row],[Entradas]]-STOCK[[#This Row],[Salidas]]</f>
        <v>-2</v>
      </c>
      <c r="M1395" s="76">
        <f>STOCK[[#This Row],[Precio Final]]*10%</f>
        <v>2.2</v>
      </c>
      <c r="N1395" s="76">
        <v>0</v>
      </c>
      <c r="O1395" s="76">
        <v>0</v>
      </c>
      <c r="P1395" s="76">
        <v>8.87</v>
      </c>
      <c r="Q1395" s="78">
        <v>0</v>
      </c>
      <c r="R1395" s="76">
        <v>0</v>
      </c>
      <c r="S1395" s="76">
        <v>1.65</v>
      </c>
      <c r="T1395" s="76">
        <f>STOCK[[#This Row],[Costo Unitario (USD)]]+STOCK[[#This Row],[Costo Envío (USD)]]+STOCK[[#This Row],[Comisión 10%]]</f>
        <v>12.72</v>
      </c>
      <c r="U1395" s="53">
        <f>STOCK[[#This Row],[Costo total]]*1.5</f>
        <v>19.08</v>
      </c>
      <c r="V1395" s="76">
        <v>22</v>
      </c>
      <c r="W1395" s="76">
        <f>STOCK[[#This Row],[Precio Final]]-STOCK[[#This Row],[Costo total]]</f>
        <v>9.28</v>
      </c>
      <c r="X1395" s="76">
        <f>STOCK[[#This Row],[Ganancia Unitaria]]*STOCK[[#This Row],[Salidas]]</f>
        <v>37.12</v>
      </c>
      <c r="Y1395" s="76"/>
      <c r="Z1395" s="76"/>
      <c r="AA1395" s="54">
        <f>STOCK[[#This Row],[Costo total]]*STOCK[[#This Row],[Entradas]]</f>
        <v>25.44</v>
      </c>
      <c r="AB1395" s="54">
        <f>STOCK[[#This Row],[Stock Actual]]*STOCK[[#This Row],[Costo total]]</f>
        <v>-25.44</v>
      </c>
      <c r="AC1395" s="76"/>
    </row>
    <row r="1396" s="53" customFormat="1" ht="50" customHeight="1" spans="1:29">
      <c r="A1396" s="53" t="s">
        <v>2847</v>
      </c>
      <c r="B1396" s="77"/>
      <c r="C1396" s="76" t="s">
        <v>32</v>
      </c>
      <c r="D1396" s="76" t="s">
        <v>2845</v>
      </c>
      <c r="E1396" s="76" t="s">
        <v>2846</v>
      </c>
      <c r="F1396" s="76" t="s">
        <v>1047</v>
      </c>
      <c r="G1396" s="76"/>
      <c r="H1396" s="76">
        <f>STOCK[[#This Row],[Precio Final]]</f>
        <v>22</v>
      </c>
      <c r="I1396" s="80">
        <f>STOCK[[#This Row],[Precio Venta Ideal (x1.5)]]</f>
        <v>19.08</v>
      </c>
      <c r="J1396" s="78">
        <v>2</v>
      </c>
      <c r="K1396" s="78">
        <f>SUMIFS(VENTAS[Cantidad],VENTAS[Código del producto Vendido],STOCK[[#This Row],[Code]])</f>
        <v>0</v>
      </c>
      <c r="L1396" s="78">
        <f>STOCK[[#This Row],[Entradas]]-STOCK[[#This Row],[Salidas]]</f>
        <v>2</v>
      </c>
      <c r="M1396" s="76">
        <f>STOCK[[#This Row],[Precio Final]]*10%</f>
        <v>2.2</v>
      </c>
      <c r="N1396" s="76">
        <v>0</v>
      </c>
      <c r="O1396" s="76">
        <v>0</v>
      </c>
      <c r="P1396" s="76">
        <v>8.87</v>
      </c>
      <c r="Q1396" s="78">
        <v>0</v>
      </c>
      <c r="R1396" s="76">
        <v>0</v>
      </c>
      <c r="S1396" s="76">
        <v>1.65</v>
      </c>
      <c r="T1396" s="76">
        <f>STOCK[[#This Row],[Costo Unitario (USD)]]+STOCK[[#This Row],[Costo Envío (USD)]]+STOCK[[#This Row],[Comisión 10%]]</f>
        <v>12.72</v>
      </c>
      <c r="U1396" s="53">
        <f>STOCK[[#This Row],[Costo total]]*1.5</f>
        <v>19.08</v>
      </c>
      <c r="V1396" s="76">
        <v>22</v>
      </c>
      <c r="W1396" s="76">
        <f>STOCK[[#This Row],[Precio Final]]-STOCK[[#This Row],[Costo total]]</f>
        <v>9.28</v>
      </c>
      <c r="X1396" s="76">
        <f>STOCK[[#This Row],[Ganancia Unitaria]]*STOCK[[#This Row],[Salidas]]</f>
        <v>0</v>
      </c>
      <c r="Y1396" s="76"/>
      <c r="Z1396" s="76"/>
      <c r="AA1396" s="54">
        <f>STOCK[[#This Row],[Costo total]]*STOCK[[#This Row],[Entradas]]</f>
        <v>25.44</v>
      </c>
      <c r="AB1396" s="54">
        <f>STOCK[[#This Row],[Stock Actual]]*STOCK[[#This Row],[Costo total]]</f>
        <v>25.44</v>
      </c>
      <c r="AC1396" s="76"/>
    </row>
    <row r="1397" s="53" customFormat="1" ht="50" customHeight="1" spans="1:29">
      <c r="A1397" s="53" t="s">
        <v>2848</v>
      </c>
      <c r="B1397" s="77"/>
      <c r="C1397" s="76" t="s">
        <v>32</v>
      </c>
      <c r="D1397" s="76" t="s">
        <v>2845</v>
      </c>
      <c r="E1397" s="76" t="s">
        <v>2846</v>
      </c>
      <c r="F1397" s="76" t="s">
        <v>49</v>
      </c>
      <c r="G1397" s="76"/>
      <c r="H1397" s="76">
        <f>STOCK[[#This Row],[Precio Final]]</f>
        <v>22</v>
      </c>
      <c r="I1397" s="80">
        <f>STOCK[[#This Row],[Precio Venta Ideal (x1.5)]]</f>
        <v>19.08</v>
      </c>
      <c r="J1397" s="78">
        <v>3</v>
      </c>
      <c r="K1397" s="78">
        <f>SUMIFS(VENTAS[Cantidad],VENTAS[Código del producto Vendido],STOCK[[#This Row],[Code]])</f>
        <v>5</v>
      </c>
      <c r="L1397" s="78">
        <f>STOCK[[#This Row],[Entradas]]-STOCK[[#This Row],[Salidas]]</f>
        <v>-2</v>
      </c>
      <c r="M1397" s="76">
        <f>STOCK[[#This Row],[Precio Final]]*10%</f>
        <v>2.2</v>
      </c>
      <c r="N1397" s="76">
        <v>0</v>
      </c>
      <c r="O1397" s="76">
        <v>0</v>
      </c>
      <c r="P1397" s="76">
        <v>8.87</v>
      </c>
      <c r="Q1397" s="78">
        <v>0</v>
      </c>
      <c r="R1397" s="76">
        <v>0</v>
      </c>
      <c r="S1397" s="76">
        <v>1.65</v>
      </c>
      <c r="T1397" s="76">
        <f>STOCK[[#This Row],[Costo Unitario (USD)]]+STOCK[[#This Row],[Costo Envío (USD)]]+STOCK[[#This Row],[Comisión 10%]]</f>
        <v>12.72</v>
      </c>
      <c r="U1397" s="53">
        <f>STOCK[[#This Row],[Costo total]]*1.5</f>
        <v>19.08</v>
      </c>
      <c r="V1397" s="76">
        <v>22</v>
      </c>
      <c r="W1397" s="76">
        <f>STOCK[[#This Row],[Precio Final]]-STOCK[[#This Row],[Costo total]]</f>
        <v>9.28</v>
      </c>
      <c r="X1397" s="76">
        <f>STOCK[[#This Row],[Ganancia Unitaria]]*STOCK[[#This Row],[Salidas]]</f>
        <v>46.4</v>
      </c>
      <c r="Y1397" s="76"/>
      <c r="Z1397" s="76"/>
      <c r="AA1397" s="54">
        <f>STOCK[[#This Row],[Costo total]]*STOCK[[#This Row],[Entradas]]</f>
        <v>38.16</v>
      </c>
      <c r="AB1397" s="54">
        <f>STOCK[[#This Row],[Stock Actual]]*STOCK[[#This Row],[Costo total]]</f>
        <v>-25.44</v>
      </c>
      <c r="AC1397" s="76"/>
    </row>
    <row r="1398" s="53" customFormat="1" ht="50" customHeight="1" spans="1:29">
      <c r="A1398" s="53" t="s">
        <v>2849</v>
      </c>
      <c r="B1398" s="77"/>
      <c r="C1398" s="76" t="s">
        <v>32</v>
      </c>
      <c r="D1398" s="76" t="s">
        <v>2845</v>
      </c>
      <c r="E1398" s="76" t="s">
        <v>2846</v>
      </c>
      <c r="F1398" s="76" t="s">
        <v>46</v>
      </c>
      <c r="G1398" s="76"/>
      <c r="H1398" s="76">
        <f>STOCK[[#This Row],[Precio Final]]</f>
        <v>22</v>
      </c>
      <c r="I1398" s="80">
        <f>STOCK[[#This Row],[Precio Venta Ideal (x1.5)]]</f>
        <v>19.08</v>
      </c>
      <c r="J1398" s="78">
        <v>3</v>
      </c>
      <c r="K1398" s="78">
        <f>SUMIFS(VENTAS[Cantidad],VENTAS[Código del producto Vendido],STOCK[[#This Row],[Code]])</f>
        <v>4</v>
      </c>
      <c r="L1398" s="78">
        <f>STOCK[[#This Row],[Entradas]]-STOCK[[#This Row],[Salidas]]</f>
        <v>-1</v>
      </c>
      <c r="M1398" s="76">
        <f>STOCK[[#This Row],[Precio Final]]*10%</f>
        <v>2.2</v>
      </c>
      <c r="N1398" s="76">
        <v>0</v>
      </c>
      <c r="O1398" s="76">
        <v>0</v>
      </c>
      <c r="P1398" s="76">
        <v>8.87</v>
      </c>
      <c r="Q1398" s="78">
        <v>0</v>
      </c>
      <c r="R1398" s="76">
        <v>0</v>
      </c>
      <c r="S1398" s="76">
        <v>1.65</v>
      </c>
      <c r="T1398" s="76">
        <f>STOCK[[#This Row],[Costo Unitario (USD)]]+STOCK[[#This Row],[Costo Envío (USD)]]+STOCK[[#This Row],[Comisión 10%]]</f>
        <v>12.72</v>
      </c>
      <c r="U1398" s="53">
        <f>STOCK[[#This Row],[Costo total]]*1.5</f>
        <v>19.08</v>
      </c>
      <c r="V1398" s="76">
        <v>22</v>
      </c>
      <c r="W1398" s="76">
        <f>STOCK[[#This Row],[Precio Final]]-STOCK[[#This Row],[Costo total]]</f>
        <v>9.28</v>
      </c>
      <c r="X1398" s="76">
        <f>STOCK[[#This Row],[Ganancia Unitaria]]*STOCK[[#This Row],[Salidas]]</f>
        <v>37.12</v>
      </c>
      <c r="Y1398" s="76"/>
      <c r="Z1398" s="76"/>
      <c r="AA1398" s="54">
        <f>STOCK[[#This Row],[Costo total]]*STOCK[[#This Row],[Entradas]]</f>
        <v>38.16</v>
      </c>
      <c r="AB1398" s="54">
        <f>STOCK[[#This Row],[Stock Actual]]*STOCK[[#This Row],[Costo total]]</f>
        <v>-12.72</v>
      </c>
      <c r="AC1398" s="76"/>
    </row>
    <row r="1399" s="53" customFormat="1" ht="50" customHeight="1" spans="1:29">
      <c r="A1399" s="53" t="s">
        <v>2850</v>
      </c>
      <c r="B1399" s="77"/>
      <c r="C1399" s="76" t="s">
        <v>32</v>
      </c>
      <c r="D1399" s="76" t="s">
        <v>1190</v>
      </c>
      <c r="E1399" s="76" t="s">
        <v>2851</v>
      </c>
      <c r="F1399" s="76" t="s">
        <v>40</v>
      </c>
      <c r="G1399" s="76"/>
      <c r="H1399" s="76">
        <f>STOCK[[#This Row],[Precio Final]]</f>
        <v>18</v>
      </c>
      <c r="I1399" s="80">
        <f>STOCK[[#This Row],[Precio Venta Ideal (x1.5)]]</f>
        <v>15.78</v>
      </c>
      <c r="J1399" s="78">
        <v>2</v>
      </c>
      <c r="K1399" s="78">
        <f>SUMIFS(VENTAS[Cantidad],VENTAS[Código del producto Vendido],STOCK[[#This Row],[Code]])</f>
        <v>0</v>
      </c>
      <c r="L1399" s="78">
        <f>STOCK[[#This Row],[Entradas]]-STOCK[[#This Row],[Salidas]]</f>
        <v>2</v>
      </c>
      <c r="M1399" s="76">
        <f>STOCK[[#This Row],[Precio Final]]*10%</f>
        <v>1.8</v>
      </c>
      <c r="N1399" s="76">
        <v>0</v>
      </c>
      <c r="O1399" s="76">
        <v>0</v>
      </c>
      <c r="P1399" s="76">
        <v>7.07</v>
      </c>
      <c r="Q1399" s="78">
        <v>0</v>
      </c>
      <c r="R1399" s="76">
        <v>0</v>
      </c>
      <c r="S1399" s="76">
        <v>1.65</v>
      </c>
      <c r="T1399" s="76">
        <f>STOCK[[#This Row],[Costo Unitario (USD)]]+STOCK[[#This Row],[Costo Envío (USD)]]+STOCK[[#This Row],[Comisión 10%]]</f>
        <v>10.52</v>
      </c>
      <c r="U1399" s="53">
        <f>STOCK[[#This Row],[Costo total]]*1.5</f>
        <v>15.78</v>
      </c>
      <c r="V1399" s="76">
        <v>18</v>
      </c>
      <c r="W1399" s="76">
        <f>STOCK[[#This Row],[Precio Final]]-STOCK[[#This Row],[Costo total]]</f>
        <v>7.48</v>
      </c>
      <c r="X1399" s="76">
        <f>STOCK[[#This Row],[Ganancia Unitaria]]*STOCK[[#This Row],[Salidas]]</f>
        <v>0</v>
      </c>
      <c r="Y1399" s="76"/>
      <c r="Z1399" s="76"/>
      <c r="AA1399" s="54">
        <f>STOCK[[#This Row],[Costo total]]*STOCK[[#This Row],[Entradas]]</f>
        <v>21.04</v>
      </c>
      <c r="AB1399" s="54">
        <f>STOCK[[#This Row],[Stock Actual]]*STOCK[[#This Row],[Costo total]]</f>
        <v>21.04</v>
      </c>
      <c r="AC1399" s="76"/>
    </row>
    <row r="1400" s="53" customFormat="1" ht="50" customHeight="1" spans="1:29">
      <c r="A1400" s="53" t="s">
        <v>2852</v>
      </c>
      <c r="B1400" s="77"/>
      <c r="C1400" s="76" t="s">
        <v>32</v>
      </c>
      <c r="D1400" s="76" t="s">
        <v>1190</v>
      </c>
      <c r="E1400" s="76" t="s">
        <v>2851</v>
      </c>
      <c r="F1400" s="76" t="s">
        <v>62</v>
      </c>
      <c r="G1400" s="76"/>
      <c r="H1400" s="76">
        <f>STOCK[[#This Row],[Precio Final]]</f>
        <v>18</v>
      </c>
      <c r="I1400" s="80">
        <f>STOCK[[#This Row],[Precio Venta Ideal (x1.5)]]</f>
        <v>15.78</v>
      </c>
      <c r="J1400" s="78">
        <v>2</v>
      </c>
      <c r="K1400" s="78">
        <f>SUMIFS(VENTAS[Cantidad],VENTAS[Código del producto Vendido],STOCK[[#This Row],[Code]])</f>
        <v>0</v>
      </c>
      <c r="L1400" s="78">
        <f>STOCK[[#This Row],[Entradas]]-STOCK[[#This Row],[Salidas]]</f>
        <v>2</v>
      </c>
      <c r="M1400" s="76">
        <f>STOCK[[#This Row],[Precio Final]]*10%</f>
        <v>1.8</v>
      </c>
      <c r="N1400" s="76">
        <v>0</v>
      </c>
      <c r="O1400" s="76">
        <v>0</v>
      </c>
      <c r="P1400" s="76">
        <v>7.07</v>
      </c>
      <c r="Q1400" s="78">
        <v>0</v>
      </c>
      <c r="R1400" s="76">
        <v>0</v>
      </c>
      <c r="S1400" s="76">
        <v>1.65</v>
      </c>
      <c r="T1400" s="76">
        <f>STOCK[[#This Row],[Costo Unitario (USD)]]+STOCK[[#This Row],[Costo Envío (USD)]]+STOCK[[#This Row],[Comisión 10%]]</f>
        <v>10.52</v>
      </c>
      <c r="U1400" s="53">
        <f>STOCK[[#This Row],[Costo total]]*1.5</f>
        <v>15.78</v>
      </c>
      <c r="V1400" s="76">
        <v>18</v>
      </c>
      <c r="W1400" s="76">
        <f>STOCK[[#This Row],[Precio Final]]-STOCK[[#This Row],[Costo total]]</f>
        <v>7.48</v>
      </c>
      <c r="X1400" s="76">
        <f>STOCK[[#This Row],[Ganancia Unitaria]]*STOCK[[#This Row],[Salidas]]</f>
        <v>0</v>
      </c>
      <c r="Y1400" s="76"/>
      <c r="Z1400" s="76"/>
      <c r="AA1400" s="54">
        <f>STOCK[[#This Row],[Costo total]]*STOCK[[#This Row],[Entradas]]</f>
        <v>21.04</v>
      </c>
      <c r="AB1400" s="54">
        <f>STOCK[[#This Row],[Stock Actual]]*STOCK[[#This Row],[Costo total]]</f>
        <v>21.04</v>
      </c>
      <c r="AC1400" s="76"/>
    </row>
    <row r="1401" s="53" customFormat="1" ht="50" customHeight="1" spans="1:29">
      <c r="A1401" s="53" t="s">
        <v>2853</v>
      </c>
      <c r="B1401" s="77"/>
      <c r="C1401" s="76" t="s">
        <v>32</v>
      </c>
      <c r="D1401" s="76" t="s">
        <v>1190</v>
      </c>
      <c r="E1401" s="76" t="s">
        <v>2851</v>
      </c>
      <c r="F1401" s="76" t="s">
        <v>49</v>
      </c>
      <c r="G1401" s="76"/>
      <c r="H1401" s="76">
        <f>STOCK[[#This Row],[Precio Final]]</f>
        <v>18</v>
      </c>
      <c r="I1401" s="80">
        <f>STOCK[[#This Row],[Precio Venta Ideal (x1.5)]]</f>
        <v>15.78</v>
      </c>
      <c r="J1401" s="78">
        <v>2</v>
      </c>
      <c r="K1401" s="78">
        <f>SUMIFS(VENTAS[Cantidad],VENTAS[Código del producto Vendido],STOCK[[#This Row],[Code]])</f>
        <v>0</v>
      </c>
      <c r="L1401" s="78">
        <f>STOCK[[#This Row],[Entradas]]-STOCK[[#This Row],[Salidas]]</f>
        <v>2</v>
      </c>
      <c r="M1401" s="76">
        <f>STOCK[[#This Row],[Precio Final]]*10%</f>
        <v>1.8</v>
      </c>
      <c r="N1401" s="76">
        <v>0</v>
      </c>
      <c r="O1401" s="76">
        <v>0</v>
      </c>
      <c r="P1401" s="76">
        <v>7.07</v>
      </c>
      <c r="Q1401" s="78">
        <v>0</v>
      </c>
      <c r="R1401" s="76">
        <v>0</v>
      </c>
      <c r="S1401" s="76">
        <v>1.65</v>
      </c>
      <c r="T1401" s="76">
        <f>STOCK[[#This Row],[Costo Unitario (USD)]]+STOCK[[#This Row],[Costo Envío (USD)]]+STOCK[[#This Row],[Comisión 10%]]</f>
        <v>10.52</v>
      </c>
      <c r="U1401" s="53">
        <f>STOCK[[#This Row],[Costo total]]*1.5</f>
        <v>15.78</v>
      </c>
      <c r="V1401" s="76">
        <v>18</v>
      </c>
      <c r="W1401" s="76">
        <f>STOCK[[#This Row],[Precio Final]]-STOCK[[#This Row],[Costo total]]</f>
        <v>7.48</v>
      </c>
      <c r="X1401" s="76">
        <f>STOCK[[#This Row],[Ganancia Unitaria]]*STOCK[[#This Row],[Salidas]]</f>
        <v>0</v>
      </c>
      <c r="Y1401" s="76"/>
      <c r="Z1401" s="76"/>
      <c r="AA1401" s="54">
        <f>STOCK[[#This Row],[Costo total]]*STOCK[[#This Row],[Entradas]]</f>
        <v>21.04</v>
      </c>
      <c r="AB1401" s="54">
        <f>STOCK[[#This Row],[Stock Actual]]*STOCK[[#This Row],[Costo total]]</f>
        <v>21.04</v>
      </c>
      <c r="AC1401" s="76"/>
    </row>
    <row r="1402" s="53" customFormat="1" ht="50" customHeight="1" spans="1:29">
      <c r="A1402" s="53" t="s">
        <v>2854</v>
      </c>
      <c r="B1402" s="77"/>
      <c r="C1402" s="76" t="s">
        <v>32</v>
      </c>
      <c r="D1402" s="76" t="s">
        <v>1190</v>
      </c>
      <c r="E1402" s="76" t="s">
        <v>2855</v>
      </c>
      <c r="F1402" s="76" t="s">
        <v>40</v>
      </c>
      <c r="G1402" s="76"/>
      <c r="H1402" s="76">
        <f>STOCK[[#This Row],[Precio Final]]</f>
        <v>18</v>
      </c>
      <c r="I1402" s="80">
        <f>STOCK[[#This Row],[Precio Venta Ideal (x1.5)]]</f>
        <v>16.545</v>
      </c>
      <c r="J1402" s="78">
        <v>2</v>
      </c>
      <c r="K1402" s="78">
        <f>SUMIFS(VENTAS[Cantidad],VENTAS[Código del producto Vendido],STOCK[[#This Row],[Code]])</f>
        <v>0</v>
      </c>
      <c r="L1402" s="78">
        <f>STOCK[[#This Row],[Entradas]]-STOCK[[#This Row],[Salidas]]</f>
        <v>2</v>
      </c>
      <c r="M1402" s="76">
        <f>STOCK[[#This Row],[Precio Final]]*10%</f>
        <v>1.8</v>
      </c>
      <c r="N1402" s="76">
        <v>0</v>
      </c>
      <c r="O1402" s="76">
        <v>0</v>
      </c>
      <c r="P1402" s="76">
        <v>7.58</v>
      </c>
      <c r="Q1402" s="78">
        <v>0</v>
      </c>
      <c r="R1402" s="76">
        <v>0</v>
      </c>
      <c r="S1402" s="76">
        <v>1.65</v>
      </c>
      <c r="T1402" s="76">
        <f>STOCK[[#This Row],[Costo Unitario (USD)]]+STOCK[[#This Row],[Costo Envío (USD)]]+STOCK[[#This Row],[Comisión 10%]]</f>
        <v>11.03</v>
      </c>
      <c r="U1402" s="53">
        <f>STOCK[[#This Row],[Costo total]]*1.5</f>
        <v>16.545</v>
      </c>
      <c r="V1402" s="76">
        <v>18</v>
      </c>
      <c r="W1402" s="76">
        <f>STOCK[[#This Row],[Precio Final]]-STOCK[[#This Row],[Costo total]]</f>
        <v>6.97</v>
      </c>
      <c r="X1402" s="76">
        <f>STOCK[[#This Row],[Ganancia Unitaria]]*STOCK[[#This Row],[Salidas]]</f>
        <v>0</v>
      </c>
      <c r="Y1402" s="76"/>
      <c r="Z1402" s="76"/>
      <c r="AA1402" s="54">
        <f>STOCK[[#This Row],[Costo total]]*STOCK[[#This Row],[Entradas]]</f>
        <v>22.06</v>
      </c>
      <c r="AB1402" s="54">
        <f>STOCK[[#This Row],[Stock Actual]]*STOCK[[#This Row],[Costo total]]</f>
        <v>22.06</v>
      </c>
      <c r="AC1402" s="76"/>
    </row>
    <row r="1403" s="53" customFormat="1" ht="50" customHeight="1" spans="1:29">
      <c r="A1403" s="53" t="s">
        <v>2856</v>
      </c>
      <c r="B1403" s="77"/>
      <c r="C1403" s="76" t="s">
        <v>32</v>
      </c>
      <c r="D1403" s="76" t="s">
        <v>1190</v>
      </c>
      <c r="E1403" s="76" t="s">
        <v>2855</v>
      </c>
      <c r="F1403" s="76" t="s">
        <v>46</v>
      </c>
      <c r="G1403" s="76"/>
      <c r="H1403" s="76">
        <f>STOCK[[#This Row],[Precio Final]]</f>
        <v>18</v>
      </c>
      <c r="I1403" s="80">
        <f>STOCK[[#This Row],[Precio Venta Ideal (x1.5)]]</f>
        <v>16.545</v>
      </c>
      <c r="J1403" s="78">
        <v>1</v>
      </c>
      <c r="K1403" s="78">
        <f>SUMIFS(VENTAS[Cantidad],VENTAS[Código del producto Vendido],STOCK[[#This Row],[Code]])</f>
        <v>1</v>
      </c>
      <c r="L1403" s="78">
        <f>STOCK[[#This Row],[Entradas]]-STOCK[[#This Row],[Salidas]]</f>
        <v>0</v>
      </c>
      <c r="M1403" s="76">
        <f>STOCK[[#This Row],[Precio Final]]*10%</f>
        <v>1.8</v>
      </c>
      <c r="N1403" s="76">
        <v>0</v>
      </c>
      <c r="O1403" s="76">
        <v>0</v>
      </c>
      <c r="P1403" s="76">
        <v>7.58</v>
      </c>
      <c r="Q1403" s="78">
        <v>0</v>
      </c>
      <c r="R1403" s="76">
        <v>0</v>
      </c>
      <c r="S1403" s="76">
        <v>1.65</v>
      </c>
      <c r="T1403" s="76">
        <f>STOCK[[#This Row],[Costo Unitario (USD)]]+STOCK[[#This Row],[Costo Envío (USD)]]+STOCK[[#This Row],[Comisión 10%]]</f>
        <v>11.03</v>
      </c>
      <c r="U1403" s="53">
        <f>STOCK[[#This Row],[Costo total]]*1.5</f>
        <v>16.545</v>
      </c>
      <c r="V1403" s="76">
        <v>18</v>
      </c>
      <c r="W1403" s="76">
        <f>STOCK[[#This Row],[Precio Final]]-STOCK[[#This Row],[Costo total]]</f>
        <v>6.97</v>
      </c>
      <c r="X1403" s="76">
        <f>STOCK[[#This Row],[Ganancia Unitaria]]*STOCK[[#This Row],[Salidas]]</f>
        <v>6.97</v>
      </c>
      <c r="Y1403" s="76"/>
      <c r="Z1403" s="76"/>
      <c r="AA1403" s="54">
        <f>STOCK[[#This Row],[Costo total]]*STOCK[[#This Row],[Entradas]]</f>
        <v>11.03</v>
      </c>
      <c r="AB1403" s="54">
        <f>STOCK[[#This Row],[Stock Actual]]*STOCK[[#This Row],[Costo total]]</f>
        <v>0</v>
      </c>
      <c r="AC1403" s="76"/>
    </row>
    <row r="1404" s="53" customFormat="1" ht="50" customHeight="1" spans="1:29">
      <c r="A1404" s="53" t="s">
        <v>2857</v>
      </c>
      <c r="B1404" s="77"/>
      <c r="C1404" s="76" t="s">
        <v>32</v>
      </c>
      <c r="D1404" s="76" t="s">
        <v>2111</v>
      </c>
      <c r="E1404" s="76" t="s">
        <v>2858</v>
      </c>
      <c r="F1404" s="76" t="s">
        <v>2822</v>
      </c>
      <c r="G1404" s="76"/>
      <c r="H1404" s="76">
        <f>STOCK[[#This Row],[Precio Final]]</f>
        <v>25</v>
      </c>
      <c r="I1404" s="80">
        <f>STOCK[[#This Row],[Precio Venta Ideal (x1.5)]]</f>
        <v>26.025</v>
      </c>
      <c r="J1404" s="78">
        <v>7</v>
      </c>
      <c r="K1404" s="78">
        <f>SUMIFS(VENTAS[Cantidad],VENTAS[Código del producto Vendido],STOCK[[#This Row],[Code]])</f>
        <v>9</v>
      </c>
      <c r="L1404" s="78">
        <f>STOCK[[#This Row],[Entradas]]-STOCK[[#This Row],[Salidas]]</f>
        <v>-2</v>
      </c>
      <c r="M1404" s="76">
        <f>STOCK[[#This Row],[Precio Final]]*10%</f>
        <v>2.5</v>
      </c>
      <c r="N1404" s="76">
        <v>0</v>
      </c>
      <c r="O1404" s="76">
        <v>0</v>
      </c>
      <c r="P1404" s="76">
        <v>13.2</v>
      </c>
      <c r="Q1404" s="78">
        <v>0</v>
      </c>
      <c r="R1404" s="76">
        <v>0</v>
      </c>
      <c r="S1404" s="76">
        <v>1.65</v>
      </c>
      <c r="T1404" s="76">
        <f>STOCK[[#This Row],[Costo Unitario (USD)]]+STOCK[[#This Row],[Costo Envío (USD)]]+STOCK[[#This Row],[Comisión 10%]]</f>
        <v>17.35</v>
      </c>
      <c r="U1404" s="53">
        <f>STOCK[[#This Row],[Costo total]]*1.5</f>
        <v>26.025</v>
      </c>
      <c r="V1404" s="76">
        <v>25</v>
      </c>
      <c r="W1404" s="76">
        <f>STOCK[[#This Row],[Precio Final]]-STOCK[[#This Row],[Costo total]]</f>
        <v>7.65</v>
      </c>
      <c r="X1404" s="76">
        <f>STOCK[[#This Row],[Ganancia Unitaria]]*STOCK[[#This Row],[Salidas]]</f>
        <v>68.85</v>
      </c>
      <c r="Y1404" s="76"/>
      <c r="Z1404" s="76"/>
      <c r="AA1404" s="54">
        <f>STOCK[[#This Row],[Costo total]]*STOCK[[#This Row],[Entradas]]</f>
        <v>121.45</v>
      </c>
      <c r="AB1404" s="54">
        <f>STOCK[[#This Row],[Stock Actual]]*STOCK[[#This Row],[Costo total]]</f>
        <v>-34.7</v>
      </c>
      <c r="AC1404" s="76"/>
    </row>
    <row r="1405" s="53" customFormat="1" ht="50" customHeight="1" spans="1:29">
      <c r="A1405" s="53" t="s">
        <v>2859</v>
      </c>
      <c r="B1405" s="77"/>
      <c r="C1405" s="76" t="s">
        <v>32</v>
      </c>
      <c r="D1405" s="76" t="s">
        <v>2629</v>
      </c>
      <c r="E1405" s="76" t="s">
        <v>2860</v>
      </c>
      <c r="F1405" s="76" t="s">
        <v>62</v>
      </c>
      <c r="G1405" s="76"/>
      <c r="H1405" s="76">
        <f>STOCK[[#This Row],[Precio Final]]</f>
        <v>30</v>
      </c>
      <c r="I1405" s="80">
        <f>STOCK[[#This Row],[Precio Venta Ideal (x1.5)]]</f>
        <v>24.735</v>
      </c>
      <c r="J1405" s="78">
        <v>1</v>
      </c>
      <c r="K1405" s="78">
        <f>SUMIFS(VENTAS[Cantidad],VENTAS[Código del producto Vendido],STOCK[[#This Row],[Code]])</f>
        <v>0</v>
      </c>
      <c r="L1405" s="78">
        <f>STOCK[[#This Row],[Entradas]]-STOCK[[#This Row],[Salidas]]</f>
        <v>1</v>
      </c>
      <c r="M1405" s="76">
        <f>STOCK[[#This Row],[Precio Final]]*10%</f>
        <v>3</v>
      </c>
      <c r="N1405" s="76">
        <v>0</v>
      </c>
      <c r="O1405" s="76">
        <v>0</v>
      </c>
      <c r="P1405" s="76">
        <v>11.84</v>
      </c>
      <c r="Q1405" s="78">
        <v>0</v>
      </c>
      <c r="R1405" s="76">
        <v>0</v>
      </c>
      <c r="S1405" s="76">
        <v>1.65</v>
      </c>
      <c r="T1405" s="76">
        <f>STOCK[[#This Row],[Costo Unitario (USD)]]+STOCK[[#This Row],[Costo Envío (USD)]]+STOCK[[#This Row],[Comisión 10%]]</f>
        <v>16.49</v>
      </c>
      <c r="U1405" s="53">
        <f>STOCK[[#This Row],[Costo total]]*1.5</f>
        <v>24.735</v>
      </c>
      <c r="V1405" s="76">
        <v>30</v>
      </c>
      <c r="W1405" s="76">
        <f>STOCK[[#This Row],[Precio Final]]-STOCK[[#This Row],[Costo total]]</f>
        <v>13.51</v>
      </c>
      <c r="X1405" s="76">
        <f>STOCK[[#This Row],[Ganancia Unitaria]]*STOCK[[#This Row],[Salidas]]</f>
        <v>0</v>
      </c>
      <c r="Y1405" s="76"/>
      <c r="Z1405" s="76"/>
      <c r="AA1405" s="54">
        <f>STOCK[[#This Row],[Costo total]]*STOCK[[#This Row],[Entradas]]</f>
        <v>16.49</v>
      </c>
      <c r="AB1405" s="54">
        <f>STOCK[[#This Row],[Stock Actual]]*STOCK[[#This Row],[Costo total]]</f>
        <v>16.49</v>
      </c>
      <c r="AC1405" s="76"/>
    </row>
    <row r="1406" s="53" customFormat="1" ht="50" customHeight="1" spans="1:29">
      <c r="A1406" s="53" t="s">
        <v>2861</v>
      </c>
      <c r="B1406" s="77"/>
      <c r="C1406" s="76" t="s">
        <v>32</v>
      </c>
      <c r="D1406" s="76" t="s">
        <v>2629</v>
      </c>
      <c r="E1406" s="76" t="s">
        <v>2860</v>
      </c>
      <c r="F1406" s="76" t="s">
        <v>49</v>
      </c>
      <c r="G1406" s="76"/>
      <c r="H1406" s="76">
        <f>STOCK[[#This Row],[Precio Final]]</f>
        <v>30</v>
      </c>
      <c r="I1406" s="80">
        <f>STOCK[[#This Row],[Precio Venta Ideal (x1.5)]]</f>
        <v>24.735</v>
      </c>
      <c r="J1406" s="78">
        <v>1</v>
      </c>
      <c r="K1406" s="78">
        <f>SUMIFS(VENTAS[Cantidad],VENTAS[Código del producto Vendido],STOCK[[#This Row],[Code]])</f>
        <v>1</v>
      </c>
      <c r="L1406" s="78">
        <f>STOCK[[#This Row],[Entradas]]-STOCK[[#This Row],[Salidas]]</f>
        <v>0</v>
      </c>
      <c r="M1406" s="76">
        <f>STOCK[[#This Row],[Precio Final]]*10%</f>
        <v>3</v>
      </c>
      <c r="N1406" s="76">
        <v>0</v>
      </c>
      <c r="O1406" s="76">
        <v>0</v>
      </c>
      <c r="P1406" s="76">
        <v>11.84</v>
      </c>
      <c r="Q1406" s="78">
        <v>0</v>
      </c>
      <c r="R1406" s="76">
        <v>0</v>
      </c>
      <c r="S1406" s="76">
        <v>1.65</v>
      </c>
      <c r="T1406" s="76">
        <f>STOCK[[#This Row],[Costo Unitario (USD)]]+STOCK[[#This Row],[Costo Envío (USD)]]+STOCK[[#This Row],[Comisión 10%]]</f>
        <v>16.49</v>
      </c>
      <c r="U1406" s="53">
        <f>STOCK[[#This Row],[Costo total]]*1.5</f>
        <v>24.735</v>
      </c>
      <c r="V1406" s="76">
        <v>30</v>
      </c>
      <c r="W1406" s="76">
        <f>STOCK[[#This Row],[Precio Final]]-STOCK[[#This Row],[Costo total]]</f>
        <v>13.51</v>
      </c>
      <c r="X1406" s="76">
        <f>STOCK[[#This Row],[Ganancia Unitaria]]*STOCK[[#This Row],[Salidas]]</f>
        <v>13.51</v>
      </c>
      <c r="Y1406" s="76"/>
      <c r="Z1406" s="76"/>
      <c r="AA1406" s="54">
        <f>STOCK[[#This Row],[Costo total]]*STOCK[[#This Row],[Entradas]]</f>
        <v>16.49</v>
      </c>
      <c r="AB1406" s="54">
        <f>STOCK[[#This Row],[Stock Actual]]*STOCK[[#This Row],[Costo total]]</f>
        <v>0</v>
      </c>
      <c r="AC1406" s="76"/>
    </row>
    <row r="1407" s="53" customFormat="1" ht="50" customHeight="1" spans="1:29">
      <c r="A1407" s="53" t="s">
        <v>2862</v>
      </c>
      <c r="B1407" s="77"/>
      <c r="C1407" s="76" t="s">
        <v>32</v>
      </c>
      <c r="D1407" s="76" t="s">
        <v>2629</v>
      </c>
      <c r="E1407" s="76" t="s">
        <v>2860</v>
      </c>
      <c r="F1407" s="76" t="s">
        <v>46</v>
      </c>
      <c r="G1407" s="76"/>
      <c r="H1407" s="76">
        <f>STOCK[[#This Row],[Precio Final]]</f>
        <v>30</v>
      </c>
      <c r="I1407" s="80">
        <f>STOCK[[#This Row],[Precio Venta Ideal (x1.5)]]</f>
        <v>24.735</v>
      </c>
      <c r="J1407" s="78">
        <v>1</v>
      </c>
      <c r="K1407" s="78">
        <f>SUMIFS(VENTAS[Cantidad],VENTAS[Código del producto Vendido],STOCK[[#This Row],[Code]])</f>
        <v>1</v>
      </c>
      <c r="L1407" s="78">
        <f>STOCK[[#This Row],[Entradas]]-STOCK[[#This Row],[Salidas]]</f>
        <v>0</v>
      </c>
      <c r="M1407" s="76">
        <f>STOCK[[#This Row],[Precio Final]]*10%</f>
        <v>3</v>
      </c>
      <c r="N1407" s="76">
        <v>0</v>
      </c>
      <c r="O1407" s="76">
        <v>0</v>
      </c>
      <c r="P1407" s="76">
        <v>11.84</v>
      </c>
      <c r="Q1407" s="78">
        <v>0</v>
      </c>
      <c r="R1407" s="76">
        <v>0</v>
      </c>
      <c r="S1407" s="76">
        <v>1.65</v>
      </c>
      <c r="T1407" s="76">
        <f>STOCK[[#This Row],[Costo Unitario (USD)]]+STOCK[[#This Row],[Costo Envío (USD)]]+STOCK[[#This Row],[Comisión 10%]]</f>
        <v>16.49</v>
      </c>
      <c r="U1407" s="53">
        <f>STOCK[[#This Row],[Costo total]]*1.5</f>
        <v>24.735</v>
      </c>
      <c r="V1407" s="76">
        <v>30</v>
      </c>
      <c r="W1407" s="76">
        <f>STOCK[[#This Row],[Precio Final]]-STOCK[[#This Row],[Costo total]]</f>
        <v>13.51</v>
      </c>
      <c r="X1407" s="76">
        <f>STOCK[[#This Row],[Ganancia Unitaria]]*STOCK[[#This Row],[Salidas]]</f>
        <v>13.51</v>
      </c>
      <c r="Y1407" s="76"/>
      <c r="Z1407" s="76"/>
      <c r="AA1407" s="54">
        <f>STOCK[[#This Row],[Costo total]]*STOCK[[#This Row],[Entradas]]</f>
        <v>16.49</v>
      </c>
      <c r="AB1407" s="54">
        <f>STOCK[[#This Row],[Stock Actual]]*STOCK[[#This Row],[Costo total]]</f>
        <v>0</v>
      </c>
      <c r="AC1407" s="76"/>
    </row>
    <row r="1408" s="53" customFormat="1" ht="50" customHeight="1" spans="1:29">
      <c r="A1408" s="53" t="s">
        <v>2863</v>
      </c>
      <c r="B1408" s="77"/>
      <c r="C1408" s="76" t="s">
        <v>32</v>
      </c>
      <c r="D1408" s="76" t="s">
        <v>2629</v>
      </c>
      <c r="E1408" s="76" t="s">
        <v>2864</v>
      </c>
      <c r="F1408" s="76" t="s">
        <v>40</v>
      </c>
      <c r="G1408" s="76"/>
      <c r="H1408" s="76">
        <f>STOCK[[#This Row],[Precio Final]]</f>
        <v>25</v>
      </c>
      <c r="I1408" s="80">
        <f>STOCK[[#This Row],[Precio Venta Ideal (x1.5)]]</f>
        <v>21.72</v>
      </c>
      <c r="J1408" s="78">
        <v>2</v>
      </c>
      <c r="K1408" s="78">
        <f>SUMIFS(VENTAS[Cantidad],VENTAS[Código del producto Vendido],STOCK[[#This Row],[Code]])</f>
        <v>4</v>
      </c>
      <c r="L1408" s="78">
        <f>STOCK[[#This Row],[Entradas]]-STOCK[[#This Row],[Salidas]]</f>
        <v>-2</v>
      </c>
      <c r="M1408" s="76">
        <f>STOCK[[#This Row],[Precio Final]]*10%</f>
        <v>2.5</v>
      </c>
      <c r="N1408" s="76">
        <v>0</v>
      </c>
      <c r="O1408" s="76">
        <v>0</v>
      </c>
      <c r="P1408" s="76">
        <v>10.33</v>
      </c>
      <c r="Q1408" s="78">
        <v>0</v>
      </c>
      <c r="R1408" s="76">
        <v>0</v>
      </c>
      <c r="S1408" s="76">
        <v>1.65</v>
      </c>
      <c r="T1408" s="76">
        <f>STOCK[[#This Row],[Costo Unitario (USD)]]+STOCK[[#This Row],[Costo Envío (USD)]]+STOCK[[#This Row],[Comisión 10%]]</f>
        <v>14.48</v>
      </c>
      <c r="U1408" s="53">
        <f>STOCK[[#This Row],[Costo total]]*1.5</f>
        <v>21.72</v>
      </c>
      <c r="V1408" s="76">
        <v>25</v>
      </c>
      <c r="W1408" s="76">
        <f>STOCK[[#This Row],[Precio Final]]-STOCK[[#This Row],[Costo total]]</f>
        <v>10.52</v>
      </c>
      <c r="X1408" s="76">
        <f>STOCK[[#This Row],[Ganancia Unitaria]]*STOCK[[#This Row],[Salidas]]</f>
        <v>42.08</v>
      </c>
      <c r="Y1408" s="76"/>
      <c r="Z1408" s="76"/>
      <c r="AA1408" s="54">
        <f>STOCK[[#This Row],[Costo total]]*STOCK[[#This Row],[Entradas]]</f>
        <v>28.96</v>
      </c>
      <c r="AB1408" s="54">
        <f>STOCK[[#This Row],[Stock Actual]]*STOCK[[#This Row],[Costo total]]</f>
        <v>-28.96</v>
      </c>
      <c r="AC1408" s="76"/>
    </row>
    <row r="1409" s="53" customFormat="1" ht="50" customHeight="1" spans="1:29">
      <c r="A1409" s="53" t="s">
        <v>2865</v>
      </c>
      <c r="B1409" s="77"/>
      <c r="C1409" s="76" t="s">
        <v>32</v>
      </c>
      <c r="D1409" s="76" t="s">
        <v>2629</v>
      </c>
      <c r="E1409" s="76" t="s">
        <v>2864</v>
      </c>
      <c r="F1409" s="76" t="s">
        <v>62</v>
      </c>
      <c r="G1409" s="76"/>
      <c r="H1409" s="76">
        <f>STOCK[[#This Row],[Precio Final]]</f>
        <v>25</v>
      </c>
      <c r="I1409" s="80">
        <f>STOCK[[#This Row],[Precio Venta Ideal (x1.5)]]</f>
        <v>21.72</v>
      </c>
      <c r="J1409" s="78">
        <v>2</v>
      </c>
      <c r="K1409" s="78">
        <f>SUMIFS(VENTAS[Cantidad],VENTAS[Código del producto Vendido],STOCK[[#This Row],[Code]])</f>
        <v>3</v>
      </c>
      <c r="L1409" s="78">
        <f>STOCK[[#This Row],[Entradas]]-STOCK[[#This Row],[Salidas]]</f>
        <v>-1</v>
      </c>
      <c r="M1409" s="76">
        <f>STOCK[[#This Row],[Precio Final]]*10%</f>
        <v>2.5</v>
      </c>
      <c r="N1409" s="76">
        <v>0</v>
      </c>
      <c r="O1409" s="76">
        <v>0</v>
      </c>
      <c r="P1409" s="76">
        <v>10.33</v>
      </c>
      <c r="Q1409" s="78">
        <v>0</v>
      </c>
      <c r="R1409" s="76">
        <v>0</v>
      </c>
      <c r="S1409" s="76">
        <v>1.65</v>
      </c>
      <c r="T1409" s="76">
        <f>STOCK[[#This Row],[Costo Unitario (USD)]]+STOCK[[#This Row],[Costo Envío (USD)]]+STOCK[[#This Row],[Comisión 10%]]</f>
        <v>14.48</v>
      </c>
      <c r="U1409" s="53">
        <f>STOCK[[#This Row],[Costo total]]*1.5</f>
        <v>21.72</v>
      </c>
      <c r="V1409" s="76">
        <v>25</v>
      </c>
      <c r="W1409" s="76">
        <f>STOCK[[#This Row],[Precio Final]]-STOCK[[#This Row],[Costo total]]</f>
        <v>10.52</v>
      </c>
      <c r="X1409" s="76">
        <f>STOCK[[#This Row],[Ganancia Unitaria]]*STOCK[[#This Row],[Salidas]]</f>
        <v>31.56</v>
      </c>
      <c r="Y1409" s="76"/>
      <c r="Z1409" s="76"/>
      <c r="AA1409" s="54">
        <f>STOCK[[#This Row],[Costo total]]*STOCK[[#This Row],[Entradas]]</f>
        <v>28.96</v>
      </c>
      <c r="AB1409" s="54">
        <f>STOCK[[#This Row],[Stock Actual]]*STOCK[[#This Row],[Costo total]]</f>
        <v>-14.48</v>
      </c>
      <c r="AC1409" s="76"/>
    </row>
    <row r="1410" s="53" customFormat="1" ht="50" customHeight="1" spans="1:29">
      <c r="A1410" s="53" t="s">
        <v>2866</v>
      </c>
      <c r="B1410" s="77"/>
      <c r="C1410" s="76" t="s">
        <v>32</v>
      </c>
      <c r="D1410" s="76" t="s">
        <v>2629</v>
      </c>
      <c r="E1410" s="76" t="s">
        <v>2864</v>
      </c>
      <c r="F1410" s="76" t="s">
        <v>49</v>
      </c>
      <c r="G1410" s="76"/>
      <c r="H1410" s="76">
        <f>STOCK[[#This Row],[Precio Final]]</f>
        <v>25</v>
      </c>
      <c r="I1410" s="80">
        <f>STOCK[[#This Row],[Precio Venta Ideal (x1.5)]]</f>
        <v>21.72</v>
      </c>
      <c r="J1410" s="78">
        <v>2</v>
      </c>
      <c r="K1410" s="78">
        <f>SUMIFS(VENTAS[Cantidad],VENTAS[Código del producto Vendido],STOCK[[#This Row],[Code]])</f>
        <v>1</v>
      </c>
      <c r="L1410" s="78">
        <f>STOCK[[#This Row],[Entradas]]-STOCK[[#This Row],[Salidas]]</f>
        <v>1</v>
      </c>
      <c r="M1410" s="76">
        <f>STOCK[[#This Row],[Precio Final]]*10%</f>
        <v>2.5</v>
      </c>
      <c r="N1410" s="76">
        <v>0</v>
      </c>
      <c r="O1410" s="76">
        <v>0</v>
      </c>
      <c r="P1410" s="76">
        <v>10.33</v>
      </c>
      <c r="Q1410" s="78">
        <v>0</v>
      </c>
      <c r="R1410" s="76">
        <v>0</v>
      </c>
      <c r="S1410" s="76">
        <v>1.65</v>
      </c>
      <c r="T1410" s="76">
        <f>STOCK[[#This Row],[Costo Unitario (USD)]]+STOCK[[#This Row],[Costo Envío (USD)]]+STOCK[[#This Row],[Comisión 10%]]</f>
        <v>14.48</v>
      </c>
      <c r="U1410" s="53">
        <f>STOCK[[#This Row],[Costo total]]*1.5</f>
        <v>21.72</v>
      </c>
      <c r="V1410" s="76">
        <v>25</v>
      </c>
      <c r="W1410" s="76">
        <f>STOCK[[#This Row],[Precio Final]]-STOCK[[#This Row],[Costo total]]</f>
        <v>10.52</v>
      </c>
      <c r="X1410" s="76">
        <f>STOCK[[#This Row],[Ganancia Unitaria]]*STOCK[[#This Row],[Salidas]]</f>
        <v>10.52</v>
      </c>
      <c r="Y1410" s="76"/>
      <c r="Z1410" s="76"/>
      <c r="AA1410" s="54">
        <f>STOCK[[#This Row],[Costo total]]*STOCK[[#This Row],[Entradas]]</f>
        <v>28.96</v>
      </c>
      <c r="AB1410" s="54">
        <f>STOCK[[#This Row],[Stock Actual]]*STOCK[[#This Row],[Costo total]]</f>
        <v>14.48</v>
      </c>
      <c r="AC1410" s="76"/>
    </row>
    <row r="1411" s="53" customFormat="1" ht="50" customHeight="1" spans="1:29">
      <c r="A1411" s="53" t="s">
        <v>2867</v>
      </c>
      <c r="B1411" s="77"/>
      <c r="C1411" s="76" t="s">
        <v>32</v>
      </c>
      <c r="D1411" s="76" t="s">
        <v>1190</v>
      </c>
      <c r="E1411" s="76" t="s">
        <v>2868</v>
      </c>
      <c r="F1411" s="76" t="s">
        <v>40</v>
      </c>
      <c r="G1411" s="76"/>
      <c r="H1411" s="76">
        <f>STOCK[[#This Row],[Precio Final]]</f>
        <v>18</v>
      </c>
      <c r="I1411" s="80">
        <f>STOCK[[#This Row],[Precio Venta Ideal (x1.5)]]</f>
        <v>17.97</v>
      </c>
      <c r="J1411" s="78">
        <v>3</v>
      </c>
      <c r="K1411" s="78">
        <f>SUMIFS(VENTAS[Cantidad],VENTAS[Código del producto Vendido],STOCK[[#This Row],[Code]])</f>
        <v>2</v>
      </c>
      <c r="L1411" s="78">
        <f>STOCK[[#This Row],[Entradas]]-STOCK[[#This Row],[Salidas]]</f>
        <v>1</v>
      </c>
      <c r="M1411" s="76">
        <f>STOCK[[#This Row],[Precio Final]]*10%</f>
        <v>1.8</v>
      </c>
      <c r="N1411" s="76">
        <v>0</v>
      </c>
      <c r="O1411" s="76">
        <v>0</v>
      </c>
      <c r="P1411" s="76">
        <v>8.53</v>
      </c>
      <c r="Q1411" s="78">
        <v>0</v>
      </c>
      <c r="R1411" s="76">
        <v>0</v>
      </c>
      <c r="S1411" s="76">
        <v>1.65</v>
      </c>
      <c r="T1411" s="76">
        <f>STOCK[[#This Row],[Costo Unitario (USD)]]+STOCK[[#This Row],[Costo Envío (USD)]]+STOCK[[#This Row],[Comisión 10%]]</f>
        <v>11.98</v>
      </c>
      <c r="U1411" s="53">
        <f>STOCK[[#This Row],[Costo total]]*1.5</f>
        <v>17.97</v>
      </c>
      <c r="V1411" s="76">
        <v>18</v>
      </c>
      <c r="W1411" s="76">
        <f>STOCK[[#This Row],[Precio Final]]-STOCK[[#This Row],[Costo total]]</f>
        <v>6.02</v>
      </c>
      <c r="X1411" s="76">
        <f>STOCK[[#This Row],[Ganancia Unitaria]]*STOCK[[#This Row],[Salidas]]</f>
        <v>12.04</v>
      </c>
      <c r="Y1411" s="76"/>
      <c r="Z1411" s="76"/>
      <c r="AA1411" s="54">
        <f>STOCK[[#This Row],[Costo total]]*STOCK[[#This Row],[Entradas]]</f>
        <v>35.94</v>
      </c>
      <c r="AB1411" s="54">
        <f>STOCK[[#This Row],[Stock Actual]]*STOCK[[#This Row],[Costo total]]</f>
        <v>11.98</v>
      </c>
      <c r="AC1411" s="76"/>
    </row>
    <row r="1412" s="53" customFormat="1" ht="50" customHeight="1" spans="1:29">
      <c r="A1412" s="53" t="s">
        <v>2869</v>
      </c>
      <c r="B1412" s="77"/>
      <c r="C1412" s="76" t="s">
        <v>32</v>
      </c>
      <c r="D1412" s="76" t="s">
        <v>1190</v>
      </c>
      <c r="E1412" s="76" t="s">
        <v>2868</v>
      </c>
      <c r="F1412" s="76" t="s">
        <v>46</v>
      </c>
      <c r="G1412" s="76"/>
      <c r="H1412" s="76">
        <f>STOCK[[#This Row],[Precio Final]]</f>
        <v>18</v>
      </c>
      <c r="I1412" s="80">
        <f>STOCK[[#This Row],[Precio Venta Ideal (x1.5)]]</f>
        <v>17.955</v>
      </c>
      <c r="J1412" s="78">
        <v>2</v>
      </c>
      <c r="K1412" s="78">
        <f>SUMIFS(VENTAS[Cantidad],VENTAS[Código del producto Vendido],STOCK[[#This Row],[Code]])</f>
        <v>1</v>
      </c>
      <c r="L1412" s="78">
        <f>STOCK[[#This Row],[Entradas]]-STOCK[[#This Row],[Salidas]]</f>
        <v>1</v>
      </c>
      <c r="M1412" s="76">
        <f>STOCK[[#This Row],[Precio Final]]*10%</f>
        <v>1.8</v>
      </c>
      <c r="N1412" s="76">
        <v>0</v>
      </c>
      <c r="O1412" s="76">
        <v>0</v>
      </c>
      <c r="P1412" s="76">
        <v>8.52</v>
      </c>
      <c r="Q1412" s="78">
        <v>0</v>
      </c>
      <c r="R1412" s="76">
        <v>0</v>
      </c>
      <c r="S1412" s="76">
        <v>1.65</v>
      </c>
      <c r="T1412" s="76">
        <f>STOCK[[#This Row],[Costo Unitario (USD)]]+STOCK[[#This Row],[Costo Envío (USD)]]+STOCK[[#This Row],[Comisión 10%]]</f>
        <v>11.97</v>
      </c>
      <c r="U1412" s="53">
        <f>STOCK[[#This Row],[Costo total]]*1.5</f>
        <v>17.955</v>
      </c>
      <c r="V1412" s="76">
        <v>18</v>
      </c>
      <c r="W1412" s="76">
        <f>STOCK[[#This Row],[Precio Final]]-STOCK[[#This Row],[Costo total]]</f>
        <v>6.03</v>
      </c>
      <c r="X1412" s="76">
        <f>STOCK[[#This Row],[Ganancia Unitaria]]*STOCK[[#This Row],[Salidas]]</f>
        <v>6.03</v>
      </c>
      <c r="Y1412" s="76"/>
      <c r="Z1412" s="76"/>
      <c r="AA1412" s="54">
        <f>STOCK[[#This Row],[Costo total]]*STOCK[[#This Row],[Entradas]]</f>
        <v>23.94</v>
      </c>
      <c r="AB1412" s="54">
        <f>STOCK[[#This Row],[Stock Actual]]*STOCK[[#This Row],[Costo total]]</f>
        <v>11.97</v>
      </c>
      <c r="AC1412" s="76"/>
    </row>
    <row r="1413" s="53" customFormat="1" ht="50" customHeight="1" spans="1:29">
      <c r="A1413" s="53" t="s">
        <v>2870</v>
      </c>
      <c r="B1413" s="77"/>
      <c r="C1413" s="76" t="s">
        <v>32</v>
      </c>
      <c r="D1413" s="76" t="s">
        <v>2629</v>
      </c>
      <c r="E1413" s="76" t="s">
        <v>2871</v>
      </c>
      <c r="F1413" s="76" t="s">
        <v>40</v>
      </c>
      <c r="G1413" s="76"/>
      <c r="H1413" s="76">
        <f>STOCK[[#This Row],[Precio Final]]</f>
        <v>30</v>
      </c>
      <c r="I1413" s="80">
        <f>STOCK[[#This Row],[Precio Venta Ideal (x1.5)]]</f>
        <v>28.005</v>
      </c>
      <c r="J1413" s="78">
        <v>2</v>
      </c>
      <c r="K1413" s="78">
        <f>SUMIFS(VENTAS[Cantidad],VENTAS[Código del producto Vendido],STOCK[[#This Row],[Code]])</f>
        <v>1</v>
      </c>
      <c r="L1413" s="78">
        <f>STOCK[[#This Row],[Entradas]]-STOCK[[#This Row],[Salidas]]</f>
        <v>1</v>
      </c>
      <c r="M1413" s="76">
        <f>STOCK[[#This Row],[Precio Final]]*10%</f>
        <v>3</v>
      </c>
      <c r="N1413" s="76">
        <v>0</v>
      </c>
      <c r="O1413" s="76">
        <v>0</v>
      </c>
      <c r="P1413" s="76">
        <v>14.02</v>
      </c>
      <c r="Q1413" s="78">
        <v>0</v>
      </c>
      <c r="R1413" s="76">
        <v>0</v>
      </c>
      <c r="S1413" s="76">
        <v>1.65</v>
      </c>
      <c r="T1413" s="76">
        <f>STOCK[[#This Row],[Costo Unitario (USD)]]+STOCK[[#This Row],[Costo Envío (USD)]]+STOCK[[#This Row],[Comisión 10%]]</f>
        <v>18.67</v>
      </c>
      <c r="U1413" s="53">
        <f>STOCK[[#This Row],[Costo total]]*1.5</f>
        <v>28.005</v>
      </c>
      <c r="V1413" s="76">
        <v>30</v>
      </c>
      <c r="W1413" s="76">
        <f>STOCK[[#This Row],[Precio Final]]-STOCK[[#This Row],[Costo total]]</f>
        <v>11.33</v>
      </c>
      <c r="X1413" s="76">
        <f>STOCK[[#This Row],[Ganancia Unitaria]]*STOCK[[#This Row],[Salidas]]</f>
        <v>11.33</v>
      </c>
      <c r="Y1413" s="76"/>
      <c r="Z1413" s="76"/>
      <c r="AA1413" s="54">
        <f>STOCK[[#This Row],[Costo total]]*STOCK[[#This Row],[Entradas]]</f>
        <v>37.34</v>
      </c>
      <c r="AB1413" s="54">
        <f>STOCK[[#This Row],[Stock Actual]]*STOCK[[#This Row],[Costo total]]</f>
        <v>18.67</v>
      </c>
      <c r="AC1413" s="76"/>
    </row>
    <row r="1414" s="53" customFormat="1" ht="50" customHeight="1" spans="1:29">
      <c r="A1414" s="53" t="s">
        <v>2872</v>
      </c>
      <c r="B1414" s="77"/>
      <c r="C1414" s="76" t="s">
        <v>32</v>
      </c>
      <c r="D1414" s="76" t="s">
        <v>2127</v>
      </c>
      <c r="E1414" s="76" t="s">
        <v>2873</v>
      </c>
      <c r="F1414" s="76" t="s">
        <v>62</v>
      </c>
      <c r="G1414" s="76"/>
      <c r="H1414" s="76">
        <f>STOCK[[#This Row],[Precio Final]]</f>
        <v>18</v>
      </c>
      <c r="I1414" s="80">
        <f>STOCK[[#This Row],[Precio Venta Ideal (x1.5)]]</f>
        <v>10.095</v>
      </c>
      <c r="J1414" s="78">
        <v>3</v>
      </c>
      <c r="K1414" s="78">
        <f>SUMIFS(VENTAS[Cantidad],VENTAS[Código del producto Vendido],STOCK[[#This Row],[Code]])</f>
        <v>1</v>
      </c>
      <c r="L1414" s="78">
        <f>STOCK[[#This Row],[Entradas]]-STOCK[[#This Row],[Salidas]]</f>
        <v>2</v>
      </c>
      <c r="M1414" s="76">
        <f>STOCK[[#This Row],[Precio Final]]*10%</f>
        <v>1.8</v>
      </c>
      <c r="N1414" s="76">
        <v>0</v>
      </c>
      <c r="O1414" s="76">
        <v>0</v>
      </c>
      <c r="P1414" s="76">
        <v>3.28</v>
      </c>
      <c r="Q1414" s="78">
        <v>0</v>
      </c>
      <c r="R1414" s="76">
        <v>0</v>
      </c>
      <c r="S1414" s="76">
        <v>1.65</v>
      </c>
      <c r="T1414" s="76">
        <f>STOCK[[#This Row],[Costo Unitario (USD)]]+STOCK[[#This Row],[Costo Envío (USD)]]+STOCK[[#This Row],[Comisión 10%]]</f>
        <v>6.73</v>
      </c>
      <c r="U1414" s="53">
        <f>STOCK[[#This Row],[Costo total]]*1.5</f>
        <v>10.095</v>
      </c>
      <c r="V1414" s="76">
        <v>18</v>
      </c>
      <c r="W1414" s="76">
        <f>STOCK[[#This Row],[Precio Final]]-STOCK[[#This Row],[Costo total]]</f>
        <v>11.27</v>
      </c>
      <c r="X1414" s="76">
        <f>STOCK[[#This Row],[Ganancia Unitaria]]*STOCK[[#This Row],[Salidas]]</f>
        <v>11.27</v>
      </c>
      <c r="Y1414" s="76"/>
      <c r="Z1414" s="76"/>
      <c r="AA1414" s="54">
        <f>STOCK[[#This Row],[Costo total]]*STOCK[[#This Row],[Entradas]]</f>
        <v>20.19</v>
      </c>
      <c r="AB1414" s="54">
        <f>STOCK[[#This Row],[Stock Actual]]*STOCK[[#This Row],[Costo total]]</f>
        <v>13.46</v>
      </c>
      <c r="AC1414" s="76"/>
    </row>
    <row r="1415" s="53" customFormat="1" ht="50" customHeight="1" spans="1:29">
      <c r="A1415" s="53" t="s">
        <v>2874</v>
      </c>
      <c r="B1415" s="77"/>
      <c r="C1415" s="76" t="s">
        <v>32</v>
      </c>
      <c r="D1415" s="76" t="s">
        <v>2127</v>
      </c>
      <c r="E1415" s="76" t="s">
        <v>2875</v>
      </c>
      <c r="F1415" s="76" t="s">
        <v>62</v>
      </c>
      <c r="G1415" s="76"/>
      <c r="H1415" s="76">
        <f>STOCK[[#This Row],[Precio Final]]</f>
        <v>25</v>
      </c>
      <c r="I1415" s="80">
        <f>STOCK[[#This Row],[Precio Venta Ideal (x1.5)]]</f>
        <v>22.47</v>
      </c>
      <c r="J1415" s="78">
        <v>2</v>
      </c>
      <c r="K1415" s="78">
        <f>SUMIFS(VENTAS[Cantidad],VENTAS[Código del producto Vendido],STOCK[[#This Row],[Code]])</f>
        <v>0</v>
      </c>
      <c r="L1415" s="78">
        <f>STOCK[[#This Row],[Entradas]]-STOCK[[#This Row],[Salidas]]</f>
        <v>2</v>
      </c>
      <c r="M1415" s="76">
        <f>STOCK[[#This Row],[Precio Final]]*10%</f>
        <v>2.5</v>
      </c>
      <c r="N1415" s="76">
        <v>0</v>
      </c>
      <c r="O1415" s="76">
        <v>0</v>
      </c>
      <c r="P1415" s="76">
        <v>10.83</v>
      </c>
      <c r="Q1415" s="78">
        <v>0</v>
      </c>
      <c r="R1415" s="76">
        <v>0</v>
      </c>
      <c r="S1415" s="76">
        <v>1.65</v>
      </c>
      <c r="T1415" s="76">
        <f>STOCK[[#This Row],[Costo Unitario (USD)]]+STOCK[[#This Row],[Costo Envío (USD)]]+STOCK[[#This Row],[Comisión 10%]]</f>
        <v>14.98</v>
      </c>
      <c r="U1415" s="53">
        <f>STOCK[[#This Row],[Costo total]]*1.5</f>
        <v>22.47</v>
      </c>
      <c r="V1415" s="76">
        <v>25</v>
      </c>
      <c r="W1415" s="76">
        <f>STOCK[[#This Row],[Precio Final]]-STOCK[[#This Row],[Costo total]]</f>
        <v>10.02</v>
      </c>
      <c r="X1415" s="76">
        <f>STOCK[[#This Row],[Ganancia Unitaria]]*STOCK[[#This Row],[Salidas]]</f>
        <v>0</v>
      </c>
      <c r="Y1415" s="76"/>
      <c r="Z1415" s="76"/>
      <c r="AA1415" s="54">
        <f>STOCK[[#This Row],[Costo total]]*STOCK[[#This Row],[Entradas]]</f>
        <v>29.96</v>
      </c>
      <c r="AB1415" s="54">
        <f>STOCK[[#This Row],[Stock Actual]]*STOCK[[#This Row],[Costo total]]</f>
        <v>29.96</v>
      </c>
      <c r="AC1415" s="76"/>
    </row>
    <row r="1416" s="53" customFormat="1" ht="50" customHeight="1" spans="1:29">
      <c r="A1416" s="53" t="s">
        <v>2876</v>
      </c>
      <c r="B1416" s="77"/>
      <c r="C1416" s="76" t="s">
        <v>32</v>
      </c>
      <c r="D1416" s="76" t="s">
        <v>2127</v>
      </c>
      <c r="E1416" s="76" t="s">
        <v>2875</v>
      </c>
      <c r="F1416" s="76" t="s">
        <v>49</v>
      </c>
      <c r="G1416" s="76"/>
      <c r="H1416" s="76">
        <f>STOCK[[#This Row],[Precio Final]]</f>
        <v>25</v>
      </c>
      <c r="I1416" s="80">
        <f>STOCK[[#This Row],[Precio Venta Ideal (x1.5)]]</f>
        <v>22.47</v>
      </c>
      <c r="J1416" s="78">
        <v>2</v>
      </c>
      <c r="K1416" s="78">
        <f>SUMIFS(VENTAS[Cantidad],VENTAS[Código del producto Vendido],STOCK[[#This Row],[Code]])</f>
        <v>0</v>
      </c>
      <c r="L1416" s="78">
        <f>STOCK[[#This Row],[Entradas]]-STOCK[[#This Row],[Salidas]]</f>
        <v>2</v>
      </c>
      <c r="M1416" s="76">
        <f>STOCK[[#This Row],[Precio Final]]*10%</f>
        <v>2.5</v>
      </c>
      <c r="N1416" s="76">
        <v>0</v>
      </c>
      <c r="O1416" s="76">
        <v>0</v>
      </c>
      <c r="P1416" s="76">
        <v>10.83</v>
      </c>
      <c r="Q1416" s="78">
        <v>0</v>
      </c>
      <c r="R1416" s="76">
        <v>0</v>
      </c>
      <c r="S1416" s="76">
        <v>1.65</v>
      </c>
      <c r="T1416" s="76">
        <f>STOCK[[#This Row],[Costo Unitario (USD)]]+STOCK[[#This Row],[Costo Envío (USD)]]+STOCK[[#This Row],[Comisión 10%]]</f>
        <v>14.98</v>
      </c>
      <c r="U1416" s="53">
        <f>STOCK[[#This Row],[Costo total]]*1.5</f>
        <v>22.47</v>
      </c>
      <c r="V1416" s="76">
        <v>25</v>
      </c>
      <c r="W1416" s="76">
        <f>STOCK[[#This Row],[Precio Final]]-STOCK[[#This Row],[Costo total]]</f>
        <v>10.02</v>
      </c>
      <c r="X1416" s="76">
        <f>STOCK[[#This Row],[Ganancia Unitaria]]*STOCK[[#This Row],[Salidas]]</f>
        <v>0</v>
      </c>
      <c r="Y1416" s="76"/>
      <c r="Z1416" s="76"/>
      <c r="AA1416" s="54">
        <f>STOCK[[#This Row],[Costo total]]*STOCK[[#This Row],[Entradas]]</f>
        <v>29.96</v>
      </c>
      <c r="AB1416" s="54">
        <f>STOCK[[#This Row],[Stock Actual]]*STOCK[[#This Row],[Costo total]]</f>
        <v>29.96</v>
      </c>
      <c r="AC1416" s="76"/>
    </row>
    <row r="1417" s="53" customFormat="1" ht="50" customHeight="1" spans="1:29">
      <c r="A1417" s="53" t="s">
        <v>2877</v>
      </c>
      <c r="B1417" s="77"/>
      <c r="C1417" s="76" t="s">
        <v>32</v>
      </c>
      <c r="D1417" s="76" t="s">
        <v>2127</v>
      </c>
      <c r="E1417" s="76" t="s">
        <v>2875</v>
      </c>
      <c r="F1417" s="76" t="s">
        <v>46</v>
      </c>
      <c r="G1417" s="76"/>
      <c r="H1417" s="76">
        <f>STOCK[[#This Row],[Precio Final]]</f>
        <v>25</v>
      </c>
      <c r="I1417" s="80">
        <f>STOCK[[#This Row],[Precio Venta Ideal (x1.5)]]</f>
        <v>22.485</v>
      </c>
      <c r="J1417" s="78">
        <v>2</v>
      </c>
      <c r="K1417" s="78">
        <f>SUMIFS(VENTAS[Cantidad],VENTAS[Código del producto Vendido],STOCK[[#This Row],[Code]])</f>
        <v>0</v>
      </c>
      <c r="L1417" s="78">
        <f>STOCK[[#This Row],[Entradas]]-STOCK[[#This Row],[Salidas]]</f>
        <v>2</v>
      </c>
      <c r="M1417" s="76">
        <f>STOCK[[#This Row],[Precio Final]]*10%</f>
        <v>2.5</v>
      </c>
      <c r="N1417" s="76">
        <v>0</v>
      </c>
      <c r="O1417" s="76">
        <v>0</v>
      </c>
      <c r="P1417" s="76">
        <v>10.84</v>
      </c>
      <c r="Q1417" s="78">
        <v>0</v>
      </c>
      <c r="R1417" s="76">
        <v>0</v>
      </c>
      <c r="S1417" s="76">
        <v>1.65</v>
      </c>
      <c r="T1417" s="76">
        <f>STOCK[[#This Row],[Costo Unitario (USD)]]+STOCK[[#This Row],[Costo Envío (USD)]]+STOCK[[#This Row],[Comisión 10%]]</f>
        <v>14.99</v>
      </c>
      <c r="U1417" s="53">
        <f>STOCK[[#This Row],[Costo total]]*1.5</f>
        <v>22.485</v>
      </c>
      <c r="V1417" s="76">
        <v>25</v>
      </c>
      <c r="W1417" s="76">
        <f>STOCK[[#This Row],[Precio Final]]-STOCK[[#This Row],[Costo total]]</f>
        <v>10.01</v>
      </c>
      <c r="X1417" s="76">
        <f>STOCK[[#This Row],[Ganancia Unitaria]]*STOCK[[#This Row],[Salidas]]</f>
        <v>0</v>
      </c>
      <c r="Y1417" s="76"/>
      <c r="Z1417" s="76"/>
      <c r="AA1417" s="54">
        <f>STOCK[[#This Row],[Costo total]]*STOCK[[#This Row],[Entradas]]</f>
        <v>29.98</v>
      </c>
      <c r="AB1417" s="54">
        <f>STOCK[[#This Row],[Stock Actual]]*STOCK[[#This Row],[Costo total]]</f>
        <v>29.98</v>
      </c>
      <c r="AC1417" s="76"/>
    </row>
    <row r="1418" s="53" customFormat="1" ht="50" customHeight="1" spans="1:29">
      <c r="A1418" s="53" t="s">
        <v>2878</v>
      </c>
      <c r="B1418" s="77"/>
      <c r="C1418" s="76" t="s">
        <v>32</v>
      </c>
      <c r="D1418" s="76" t="s">
        <v>2879</v>
      </c>
      <c r="E1418" s="76" t="s">
        <v>2880</v>
      </c>
      <c r="F1418" s="76" t="s">
        <v>62</v>
      </c>
      <c r="G1418" s="76"/>
      <c r="H1418" s="76">
        <f>STOCK[[#This Row],[Precio Final]]</f>
        <v>35</v>
      </c>
      <c r="I1418" s="80">
        <f>STOCK[[#This Row],[Precio Venta Ideal (x1.5)]]</f>
        <v>22.605</v>
      </c>
      <c r="J1418" s="78">
        <v>2</v>
      </c>
      <c r="K1418" s="78">
        <f>SUMIFS(VENTAS[Cantidad],VENTAS[Código del producto Vendido],STOCK[[#This Row],[Code]])</f>
        <v>2</v>
      </c>
      <c r="L1418" s="78">
        <f>STOCK[[#This Row],[Entradas]]-STOCK[[#This Row],[Salidas]]</f>
        <v>0</v>
      </c>
      <c r="M1418" s="76">
        <f>STOCK[[#This Row],[Precio Final]]*10%</f>
        <v>3.5</v>
      </c>
      <c r="N1418" s="76">
        <v>0</v>
      </c>
      <c r="O1418" s="76">
        <v>0</v>
      </c>
      <c r="P1418" s="76">
        <v>9.92</v>
      </c>
      <c r="Q1418" s="78">
        <v>0</v>
      </c>
      <c r="R1418" s="76">
        <v>0</v>
      </c>
      <c r="S1418" s="76">
        <v>1.65</v>
      </c>
      <c r="T1418" s="76">
        <f>STOCK[[#This Row],[Costo Unitario (USD)]]+STOCK[[#This Row],[Costo Envío (USD)]]+STOCK[[#This Row],[Comisión 10%]]</f>
        <v>15.07</v>
      </c>
      <c r="U1418" s="53">
        <f>STOCK[[#This Row],[Costo total]]*1.5</f>
        <v>22.605</v>
      </c>
      <c r="V1418" s="76">
        <v>35</v>
      </c>
      <c r="W1418" s="76">
        <f>STOCK[[#This Row],[Precio Final]]-STOCK[[#This Row],[Costo total]]</f>
        <v>19.93</v>
      </c>
      <c r="X1418" s="76">
        <f>STOCK[[#This Row],[Ganancia Unitaria]]*STOCK[[#This Row],[Salidas]]</f>
        <v>39.86</v>
      </c>
      <c r="Y1418" s="76"/>
      <c r="Z1418" s="76"/>
      <c r="AA1418" s="54">
        <f>STOCK[[#This Row],[Costo total]]*STOCK[[#This Row],[Entradas]]</f>
        <v>30.14</v>
      </c>
      <c r="AB1418" s="54">
        <f>STOCK[[#This Row],[Stock Actual]]*STOCK[[#This Row],[Costo total]]</f>
        <v>0</v>
      </c>
      <c r="AC1418" s="76"/>
    </row>
    <row r="1419" s="53" customFormat="1" ht="50" customHeight="1" spans="1:29">
      <c r="A1419" s="53" t="s">
        <v>2881</v>
      </c>
      <c r="B1419" s="77"/>
      <c r="C1419" s="76" t="s">
        <v>32</v>
      </c>
      <c r="D1419" s="76" t="s">
        <v>2879</v>
      </c>
      <c r="E1419" s="76" t="s">
        <v>2880</v>
      </c>
      <c r="F1419" s="76" t="s">
        <v>49</v>
      </c>
      <c r="G1419" s="76"/>
      <c r="H1419" s="76">
        <f>STOCK[[#This Row],[Precio Final]]</f>
        <v>35</v>
      </c>
      <c r="I1419" s="80">
        <f>STOCK[[#This Row],[Precio Venta Ideal (x1.5)]]</f>
        <v>22.605</v>
      </c>
      <c r="J1419" s="78">
        <v>2</v>
      </c>
      <c r="K1419" s="78">
        <f>SUMIFS(VENTAS[Cantidad],VENTAS[Código del producto Vendido],STOCK[[#This Row],[Code]])</f>
        <v>0</v>
      </c>
      <c r="L1419" s="78">
        <f>STOCK[[#This Row],[Entradas]]-STOCK[[#This Row],[Salidas]]</f>
        <v>2</v>
      </c>
      <c r="M1419" s="76">
        <f>STOCK[[#This Row],[Precio Final]]*10%</f>
        <v>3.5</v>
      </c>
      <c r="N1419" s="76">
        <v>0</v>
      </c>
      <c r="O1419" s="76">
        <v>0</v>
      </c>
      <c r="P1419" s="76">
        <v>9.92</v>
      </c>
      <c r="Q1419" s="78">
        <v>0</v>
      </c>
      <c r="R1419" s="76">
        <v>0</v>
      </c>
      <c r="S1419" s="76">
        <v>1.65</v>
      </c>
      <c r="T1419" s="76">
        <f>STOCK[[#This Row],[Costo Unitario (USD)]]+STOCK[[#This Row],[Costo Envío (USD)]]+STOCK[[#This Row],[Comisión 10%]]</f>
        <v>15.07</v>
      </c>
      <c r="U1419" s="53">
        <f>STOCK[[#This Row],[Costo total]]*1.5</f>
        <v>22.605</v>
      </c>
      <c r="V1419" s="76">
        <v>35</v>
      </c>
      <c r="W1419" s="76">
        <f>STOCK[[#This Row],[Precio Final]]-STOCK[[#This Row],[Costo total]]</f>
        <v>19.93</v>
      </c>
      <c r="X1419" s="76">
        <f>STOCK[[#This Row],[Ganancia Unitaria]]*STOCK[[#This Row],[Salidas]]</f>
        <v>0</v>
      </c>
      <c r="Y1419" s="76"/>
      <c r="Z1419" s="76"/>
      <c r="AA1419" s="54">
        <f>STOCK[[#This Row],[Costo total]]*STOCK[[#This Row],[Entradas]]</f>
        <v>30.14</v>
      </c>
      <c r="AB1419" s="54">
        <f>STOCK[[#This Row],[Stock Actual]]*STOCK[[#This Row],[Costo total]]</f>
        <v>30.14</v>
      </c>
      <c r="AC1419" s="76"/>
    </row>
    <row r="1420" s="53" customFormat="1" ht="50" customHeight="1" spans="1:29">
      <c r="A1420" s="53" t="s">
        <v>2882</v>
      </c>
      <c r="B1420" s="77"/>
      <c r="C1420" s="76" t="s">
        <v>32</v>
      </c>
      <c r="D1420" s="76" t="s">
        <v>2879</v>
      </c>
      <c r="E1420" s="76" t="s">
        <v>2880</v>
      </c>
      <c r="F1420" s="76" t="s">
        <v>46</v>
      </c>
      <c r="G1420" s="76"/>
      <c r="H1420" s="76">
        <f>STOCK[[#This Row],[Precio Final]]</f>
        <v>35</v>
      </c>
      <c r="I1420" s="80">
        <f>STOCK[[#This Row],[Precio Venta Ideal (x1.5)]]</f>
        <v>22.605</v>
      </c>
      <c r="J1420" s="78">
        <v>2</v>
      </c>
      <c r="K1420" s="78">
        <f>SUMIFS(VENTAS[Cantidad],VENTAS[Código del producto Vendido],STOCK[[#This Row],[Code]])</f>
        <v>1</v>
      </c>
      <c r="L1420" s="78">
        <f>STOCK[[#This Row],[Entradas]]-STOCK[[#This Row],[Salidas]]</f>
        <v>1</v>
      </c>
      <c r="M1420" s="76">
        <f>STOCK[[#This Row],[Precio Final]]*10%</f>
        <v>3.5</v>
      </c>
      <c r="N1420" s="76">
        <v>0</v>
      </c>
      <c r="O1420" s="76">
        <v>0</v>
      </c>
      <c r="P1420" s="76">
        <v>9.92</v>
      </c>
      <c r="Q1420" s="78">
        <v>0</v>
      </c>
      <c r="R1420" s="76">
        <v>0</v>
      </c>
      <c r="S1420" s="76">
        <v>1.65</v>
      </c>
      <c r="T1420" s="76">
        <f>STOCK[[#This Row],[Costo Unitario (USD)]]+STOCK[[#This Row],[Costo Envío (USD)]]+STOCK[[#This Row],[Comisión 10%]]</f>
        <v>15.07</v>
      </c>
      <c r="U1420" s="53">
        <f>STOCK[[#This Row],[Costo total]]*1.5</f>
        <v>22.605</v>
      </c>
      <c r="V1420" s="76">
        <v>35</v>
      </c>
      <c r="W1420" s="76">
        <f>STOCK[[#This Row],[Precio Final]]-STOCK[[#This Row],[Costo total]]</f>
        <v>19.93</v>
      </c>
      <c r="X1420" s="76">
        <f>STOCK[[#This Row],[Ganancia Unitaria]]*STOCK[[#This Row],[Salidas]]</f>
        <v>19.93</v>
      </c>
      <c r="Y1420" s="76"/>
      <c r="Z1420" s="76"/>
      <c r="AA1420" s="54">
        <f>STOCK[[#This Row],[Costo total]]*STOCK[[#This Row],[Entradas]]</f>
        <v>30.14</v>
      </c>
      <c r="AB1420" s="54">
        <f>STOCK[[#This Row],[Stock Actual]]*STOCK[[#This Row],[Costo total]]</f>
        <v>15.07</v>
      </c>
      <c r="AC1420" s="76"/>
    </row>
    <row r="1421" s="53" customFormat="1" ht="50" customHeight="1" spans="1:29">
      <c r="A1421" s="53" t="s">
        <v>2883</v>
      </c>
      <c r="B1421" s="77"/>
      <c r="C1421" s="76" t="s">
        <v>32</v>
      </c>
      <c r="D1421" s="76" t="s">
        <v>2879</v>
      </c>
      <c r="E1421" s="76" t="s">
        <v>2880</v>
      </c>
      <c r="F1421" s="76" t="s">
        <v>42</v>
      </c>
      <c r="G1421" s="76"/>
      <c r="H1421" s="76">
        <f>STOCK[[#This Row],[Precio Final]]</f>
        <v>35</v>
      </c>
      <c r="I1421" s="80">
        <f>STOCK[[#This Row],[Precio Venta Ideal (x1.5)]]</f>
        <v>22.605</v>
      </c>
      <c r="J1421" s="78">
        <v>2</v>
      </c>
      <c r="K1421" s="78">
        <f>SUMIFS(VENTAS[Cantidad],VENTAS[Código del producto Vendido],STOCK[[#This Row],[Code]])</f>
        <v>0</v>
      </c>
      <c r="L1421" s="78">
        <f>STOCK[[#This Row],[Entradas]]-STOCK[[#This Row],[Salidas]]</f>
        <v>2</v>
      </c>
      <c r="M1421" s="76">
        <f>STOCK[[#This Row],[Precio Final]]*10%</f>
        <v>3.5</v>
      </c>
      <c r="N1421" s="76">
        <v>0</v>
      </c>
      <c r="O1421" s="76">
        <v>0</v>
      </c>
      <c r="P1421" s="76">
        <v>9.92</v>
      </c>
      <c r="Q1421" s="78">
        <v>0</v>
      </c>
      <c r="R1421" s="76">
        <v>0</v>
      </c>
      <c r="S1421" s="76">
        <v>1.65</v>
      </c>
      <c r="T1421" s="76">
        <f>STOCK[[#This Row],[Costo Unitario (USD)]]+STOCK[[#This Row],[Costo Envío (USD)]]+STOCK[[#This Row],[Comisión 10%]]</f>
        <v>15.07</v>
      </c>
      <c r="U1421" s="53">
        <f>STOCK[[#This Row],[Costo total]]*1.5</f>
        <v>22.605</v>
      </c>
      <c r="V1421" s="76">
        <v>35</v>
      </c>
      <c r="W1421" s="76">
        <f>STOCK[[#This Row],[Precio Final]]-STOCK[[#This Row],[Costo total]]</f>
        <v>19.93</v>
      </c>
      <c r="X1421" s="76">
        <f>STOCK[[#This Row],[Ganancia Unitaria]]*STOCK[[#This Row],[Salidas]]</f>
        <v>0</v>
      </c>
      <c r="Y1421" s="76"/>
      <c r="Z1421" s="76"/>
      <c r="AA1421" s="54">
        <f>STOCK[[#This Row],[Costo total]]*STOCK[[#This Row],[Entradas]]</f>
        <v>30.14</v>
      </c>
      <c r="AB1421" s="54">
        <f>STOCK[[#This Row],[Stock Actual]]*STOCK[[#This Row],[Costo total]]</f>
        <v>30.14</v>
      </c>
      <c r="AC1421" s="76"/>
    </row>
    <row r="1422" s="53" customFormat="1" ht="50" customHeight="1" spans="1:29">
      <c r="A1422" s="53" t="s">
        <v>2884</v>
      </c>
      <c r="B1422" s="77"/>
      <c r="C1422" s="76" t="s">
        <v>32</v>
      </c>
      <c r="D1422" s="76" t="s">
        <v>2629</v>
      </c>
      <c r="E1422" s="76" t="s">
        <v>2885</v>
      </c>
      <c r="F1422" s="76" t="s">
        <v>62</v>
      </c>
      <c r="G1422" s="76"/>
      <c r="H1422" s="76">
        <f>STOCK[[#This Row],[Precio Final]]</f>
        <v>35</v>
      </c>
      <c r="I1422" s="80">
        <f>STOCK[[#This Row],[Precio Venta Ideal (x1.5)]]</f>
        <v>25.695</v>
      </c>
      <c r="J1422" s="78">
        <v>1</v>
      </c>
      <c r="K1422" s="78">
        <f>SUMIFS(VENTAS[Cantidad],VENTAS[Código del producto Vendido],STOCK[[#This Row],[Code]])</f>
        <v>0</v>
      </c>
      <c r="L1422" s="78">
        <f>STOCK[[#This Row],[Entradas]]-STOCK[[#This Row],[Salidas]]</f>
        <v>1</v>
      </c>
      <c r="M1422" s="76">
        <f>STOCK[[#This Row],[Precio Final]]*10%</f>
        <v>3.5</v>
      </c>
      <c r="N1422" s="76">
        <v>0</v>
      </c>
      <c r="O1422" s="76">
        <v>0</v>
      </c>
      <c r="P1422" s="76">
        <v>11.98</v>
      </c>
      <c r="Q1422" s="78">
        <v>0</v>
      </c>
      <c r="R1422" s="76">
        <v>0</v>
      </c>
      <c r="S1422" s="76">
        <v>1.65</v>
      </c>
      <c r="T1422" s="76">
        <f>STOCK[[#This Row],[Costo Unitario (USD)]]+STOCK[[#This Row],[Costo Envío (USD)]]+STOCK[[#This Row],[Comisión 10%]]</f>
        <v>17.13</v>
      </c>
      <c r="U1422" s="53">
        <f>STOCK[[#This Row],[Costo total]]*1.5</f>
        <v>25.695</v>
      </c>
      <c r="V1422" s="76">
        <v>35</v>
      </c>
      <c r="W1422" s="76">
        <f>STOCK[[#This Row],[Precio Final]]-STOCK[[#This Row],[Costo total]]</f>
        <v>17.87</v>
      </c>
      <c r="X1422" s="76">
        <f>STOCK[[#This Row],[Ganancia Unitaria]]*STOCK[[#This Row],[Salidas]]</f>
        <v>0</v>
      </c>
      <c r="Y1422" s="76"/>
      <c r="Z1422" s="76"/>
      <c r="AA1422" s="54">
        <f>STOCK[[#This Row],[Costo total]]*STOCK[[#This Row],[Entradas]]</f>
        <v>17.13</v>
      </c>
      <c r="AB1422" s="54">
        <f>STOCK[[#This Row],[Stock Actual]]*STOCK[[#This Row],[Costo total]]</f>
        <v>17.13</v>
      </c>
      <c r="AC1422" s="76"/>
    </row>
    <row r="1423" s="53" customFormat="1" ht="50" customHeight="1" spans="1:29">
      <c r="A1423" s="53" t="s">
        <v>2886</v>
      </c>
      <c r="B1423" s="77"/>
      <c r="C1423" s="76" t="s">
        <v>32</v>
      </c>
      <c r="D1423" s="76" t="s">
        <v>2629</v>
      </c>
      <c r="E1423" s="76" t="s">
        <v>2885</v>
      </c>
      <c r="F1423" s="76" t="s">
        <v>49</v>
      </c>
      <c r="G1423" s="76"/>
      <c r="H1423" s="76">
        <f>STOCK[[#This Row],[Precio Final]]</f>
        <v>35</v>
      </c>
      <c r="I1423" s="80">
        <f>STOCK[[#This Row],[Precio Venta Ideal (x1.5)]]</f>
        <v>25.695</v>
      </c>
      <c r="J1423" s="78">
        <v>1</v>
      </c>
      <c r="K1423" s="78">
        <f>SUMIFS(VENTAS[Cantidad],VENTAS[Código del producto Vendido],STOCK[[#This Row],[Code]])</f>
        <v>0</v>
      </c>
      <c r="L1423" s="78">
        <f>STOCK[[#This Row],[Entradas]]-STOCK[[#This Row],[Salidas]]</f>
        <v>1</v>
      </c>
      <c r="M1423" s="76">
        <f>STOCK[[#This Row],[Precio Final]]*10%</f>
        <v>3.5</v>
      </c>
      <c r="N1423" s="76">
        <v>0</v>
      </c>
      <c r="O1423" s="76">
        <v>0</v>
      </c>
      <c r="P1423" s="76">
        <v>11.98</v>
      </c>
      <c r="Q1423" s="78">
        <v>0</v>
      </c>
      <c r="R1423" s="76">
        <v>0</v>
      </c>
      <c r="S1423" s="76">
        <v>1.65</v>
      </c>
      <c r="T1423" s="76">
        <f>STOCK[[#This Row],[Costo Unitario (USD)]]+STOCK[[#This Row],[Costo Envío (USD)]]+STOCK[[#This Row],[Comisión 10%]]</f>
        <v>17.13</v>
      </c>
      <c r="U1423" s="53">
        <f>STOCK[[#This Row],[Costo total]]*1.5</f>
        <v>25.695</v>
      </c>
      <c r="V1423" s="76">
        <v>35</v>
      </c>
      <c r="W1423" s="76">
        <f>STOCK[[#This Row],[Precio Final]]-STOCK[[#This Row],[Costo total]]</f>
        <v>17.87</v>
      </c>
      <c r="X1423" s="76">
        <f>STOCK[[#This Row],[Ganancia Unitaria]]*STOCK[[#This Row],[Salidas]]</f>
        <v>0</v>
      </c>
      <c r="Y1423" s="76"/>
      <c r="Z1423" s="76"/>
      <c r="AA1423" s="54">
        <f>STOCK[[#This Row],[Costo total]]*STOCK[[#This Row],[Entradas]]</f>
        <v>17.13</v>
      </c>
      <c r="AB1423" s="54">
        <f>STOCK[[#This Row],[Stock Actual]]*STOCK[[#This Row],[Costo total]]</f>
        <v>17.13</v>
      </c>
      <c r="AC1423" s="76"/>
    </row>
    <row r="1424" s="53" customFormat="1" ht="50" customHeight="1" spans="1:29">
      <c r="A1424" s="53" t="s">
        <v>2887</v>
      </c>
      <c r="B1424" s="77"/>
      <c r="C1424" s="76" t="s">
        <v>32</v>
      </c>
      <c r="D1424" s="76" t="s">
        <v>2629</v>
      </c>
      <c r="E1424" s="76" t="s">
        <v>2885</v>
      </c>
      <c r="F1424" s="76" t="s">
        <v>42</v>
      </c>
      <c r="G1424" s="76"/>
      <c r="H1424" s="76">
        <f>STOCK[[#This Row],[Precio Final]]</f>
        <v>35</v>
      </c>
      <c r="I1424" s="80">
        <f>STOCK[[#This Row],[Precio Venta Ideal (x1.5)]]</f>
        <v>25.695</v>
      </c>
      <c r="J1424" s="78">
        <v>1</v>
      </c>
      <c r="K1424" s="78">
        <f>SUMIFS(VENTAS[Cantidad],VENTAS[Código del producto Vendido],STOCK[[#This Row],[Code]])</f>
        <v>0</v>
      </c>
      <c r="L1424" s="78">
        <f>STOCK[[#This Row],[Entradas]]-STOCK[[#This Row],[Salidas]]</f>
        <v>1</v>
      </c>
      <c r="M1424" s="76">
        <f>STOCK[[#This Row],[Precio Final]]*10%</f>
        <v>3.5</v>
      </c>
      <c r="N1424" s="76">
        <v>0</v>
      </c>
      <c r="O1424" s="76">
        <v>0</v>
      </c>
      <c r="P1424" s="76">
        <v>11.98</v>
      </c>
      <c r="Q1424" s="78">
        <v>0</v>
      </c>
      <c r="R1424" s="76">
        <v>0</v>
      </c>
      <c r="S1424" s="76">
        <v>1.65</v>
      </c>
      <c r="T1424" s="76">
        <f>STOCK[[#This Row],[Costo Unitario (USD)]]+STOCK[[#This Row],[Costo Envío (USD)]]+STOCK[[#This Row],[Comisión 10%]]</f>
        <v>17.13</v>
      </c>
      <c r="U1424" s="53">
        <f>STOCK[[#This Row],[Costo total]]*1.5</f>
        <v>25.695</v>
      </c>
      <c r="V1424" s="76">
        <v>35</v>
      </c>
      <c r="W1424" s="76">
        <f>STOCK[[#This Row],[Precio Final]]-STOCK[[#This Row],[Costo total]]</f>
        <v>17.87</v>
      </c>
      <c r="X1424" s="76">
        <f>STOCK[[#This Row],[Ganancia Unitaria]]*STOCK[[#This Row],[Salidas]]</f>
        <v>0</v>
      </c>
      <c r="Y1424" s="76"/>
      <c r="Z1424" s="76"/>
      <c r="AA1424" s="54">
        <f>STOCK[[#This Row],[Costo total]]*STOCK[[#This Row],[Entradas]]</f>
        <v>17.13</v>
      </c>
      <c r="AB1424" s="54">
        <f>STOCK[[#This Row],[Stock Actual]]*STOCK[[#This Row],[Costo total]]</f>
        <v>17.13</v>
      </c>
      <c r="AC1424" s="76"/>
    </row>
    <row r="1425" s="53" customFormat="1" ht="50" customHeight="1" spans="1:29">
      <c r="A1425" s="53" t="s">
        <v>2888</v>
      </c>
      <c r="B1425" s="77"/>
      <c r="C1425" s="76" t="s">
        <v>32</v>
      </c>
      <c r="D1425" s="76" t="s">
        <v>2629</v>
      </c>
      <c r="E1425" s="76" t="s">
        <v>2889</v>
      </c>
      <c r="F1425" s="76" t="s">
        <v>62</v>
      </c>
      <c r="G1425" s="76"/>
      <c r="H1425" s="76">
        <f>STOCK[[#This Row],[Precio Final]]</f>
        <v>20</v>
      </c>
      <c r="I1425" s="80">
        <f>STOCK[[#This Row],[Precio Venta Ideal (x1.5)]]</f>
        <v>19.215</v>
      </c>
      <c r="J1425" s="78">
        <v>1</v>
      </c>
      <c r="K1425" s="78">
        <f>SUMIFS(VENTAS[Cantidad],VENTAS[Código del producto Vendido],STOCK[[#This Row],[Code]])</f>
        <v>0</v>
      </c>
      <c r="L1425" s="78">
        <f>STOCK[[#This Row],[Entradas]]-STOCK[[#This Row],[Salidas]]</f>
        <v>1</v>
      </c>
      <c r="M1425" s="76">
        <f>STOCK[[#This Row],[Precio Final]]*10%</f>
        <v>2</v>
      </c>
      <c r="N1425" s="76">
        <v>0</v>
      </c>
      <c r="O1425" s="76">
        <v>0</v>
      </c>
      <c r="P1425" s="76">
        <v>9.16</v>
      </c>
      <c r="Q1425" s="78">
        <v>0</v>
      </c>
      <c r="R1425" s="76">
        <v>0</v>
      </c>
      <c r="S1425" s="76">
        <v>1.65</v>
      </c>
      <c r="T1425" s="76">
        <f>STOCK[[#This Row],[Costo Unitario (USD)]]+STOCK[[#This Row],[Costo Envío (USD)]]+STOCK[[#This Row],[Comisión 10%]]</f>
        <v>12.81</v>
      </c>
      <c r="U1425" s="53">
        <f>STOCK[[#This Row],[Costo total]]*1.5</f>
        <v>19.215</v>
      </c>
      <c r="V1425" s="76">
        <v>20</v>
      </c>
      <c r="W1425" s="76">
        <f>STOCK[[#This Row],[Precio Final]]-STOCK[[#This Row],[Costo total]]</f>
        <v>7.19</v>
      </c>
      <c r="X1425" s="76">
        <f>STOCK[[#This Row],[Ganancia Unitaria]]*STOCK[[#This Row],[Salidas]]</f>
        <v>0</v>
      </c>
      <c r="Y1425" s="76"/>
      <c r="Z1425" s="76"/>
      <c r="AA1425" s="54">
        <f>STOCK[[#This Row],[Costo total]]*STOCK[[#This Row],[Entradas]]</f>
        <v>12.81</v>
      </c>
      <c r="AB1425" s="54">
        <f>STOCK[[#This Row],[Stock Actual]]*STOCK[[#This Row],[Costo total]]</f>
        <v>12.81</v>
      </c>
      <c r="AC1425" s="76"/>
    </row>
    <row r="1426" s="53" customFormat="1" ht="50" customHeight="1" spans="1:29">
      <c r="A1426" s="53" t="s">
        <v>2890</v>
      </c>
      <c r="B1426" s="77"/>
      <c r="C1426" s="76" t="s">
        <v>32</v>
      </c>
      <c r="D1426" s="76" t="s">
        <v>2629</v>
      </c>
      <c r="E1426" s="76" t="s">
        <v>2889</v>
      </c>
      <c r="F1426" s="76" t="s">
        <v>49</v>
      </c>
      <c r="G1426" s="76"/>
      <c r="H1426" s="76">
        <f>STOCK[[#This Row],[Precio Final]]</f>
        <v>20</v>
      </c>
      <c r="I1426" s="80">
        <f>STOCK[[#This Row],[Precio Venta Ideal (x1.5)]]</f>
        <v>19.215</v>
      </c>
      <c r="J1426" s="78">
        <v>1</v>
      </c>
      <c r="K1426" s="78">
        <f>SUMIFS(VENTAS[Cantidad],VENTAS[Código del producto Vendido],STOCK[[#This Row],[Code]])</f>
        <v>0</v>
      </c>
      <c r="L1426" s="78">
        <f>STOCK[[#This Row],[Entradas]]-STOCK[[#This Row],[Salidas]]</f>
        <v>1</v>
      </c>
      <c r="M1426" s="76">
        <f>STOCK[[#This Row],[Precio Final]]*10%</f>
        <v>2</v>
      </c>
      <c r="N1426" s="76">
        <v>0</v>
      </c>
      <c r="O1426" s="76">
        <v>0</v>
      </c>
      <c r="P1426" s="76">
        <v>9.16</v>
      </c>
      <c r="Q1426" s="78">
        <v>0</v>
      </c>
      <c r="R1426" s="76">
        <v>0</v>
      </c>
      <c r="S1426" s="76">
        <v>1.65</v>
      </c>
      <c r="T1426" s="76">
        <f>STOCK[[#This Row],[Costo Unitario (USD)]]+STOCK[[#This Row],[Costo Envío (USD)]]+STOCK[[#This Row],[Comisión 10%]]</f>
        <v>12.81</v>
      </c>
      <c r="U1426" s="53">
        <f>STOCK[[#This Row],[Costo total]]*1.5</f>
        <v>19.215</v>
      </c>
      <c r="V1426" s="76">
        <v>20</v>
      </c>
      <c r="W1426" s="76">
        <f>STOCK[[#This Row],[Precio Final]]-STOCK[[#This Row],[Costo total]]</f>
        <v>7.19</v>
      </c>
      <c r="X1426" s="76">
        <f>STOCK[[#This Row],[Ganancia Unitaria]]*STOCK[[#This Row],[Salidas]]</f>
        <v>0</v>
      </c>
      <c r="Y1426" s="76"/>
      <c r="Z1426" s="76"/>
      <c r="AA1426" s="54">
        <f>STOCK[[#This Row],[Costo total]]*STOCK[[#This Row],[Entradas]]</f>
        <v>12.81</v>
      </c>
      <c r="AB1426" s="54">
        <f>STOCK[[#This Row],[Stock Actual]]*STOCK[[#This Row],[Costo total]]</f>
        <v>12.81</v>
      </c>
      <c r="AC1426" s="76"/>
    </row>
    <row r="1427" s="53" customFormat="1" ht="50" customHeight="1" spans="1:29">
      <c r="A1427" s="53" t="s">
        <v>2891</v>
      </c>
      <c r="B1427" s="77"/>
      <c r="C1427" s="76" t="s">
        <v>32</v>
      </c>
      <c r="D1427" s="76" t="s">
        <v>2629</v>
      </c>
      <c r="E1427" s="76" t="s">
        <v>2892</v>
      </c>
      <c r="F1427" s="76" t="s">
        <v>40</v>
      </c>
      <c r="G1427" s="76"/>
      <c r="H1427" s="76">
        <f>STOCK[[#This Row],[Precio Final]]</f>
        <v>20</v>
      </c>
      <c r="I1427" s="80">
        <f>STOCK[[#This Row],[Precio Venta Ideal (x1.5)]]</f>
        <v>16.905</v>
      </c>
      <c r="J1427" s="78">
        <v>1</v>
      </c>
      <c r="K1427" s="78">
        <f>SUMIFS(VENTAS[Cantidad],VENTAS[Código del producto Vendido],STOCK[[#This Row],[Code]])</f>
        <v>0</v>
      </c>
      <c r="L1427" s="78">
        <f>STOCK[[#This Row],[Entradas]]-STOCK[[#This Row],[Salidas]]</f>
        <v>1</v>
      </c>
      <c r="M1427" s="76">
        <f>STOCK[[#This Row],[Precio Final]]*10%</f>
        <v>2</v>
      </c>
      <c r="N1427" s="76">
        <v>0</v>
      </c>
      <c r="O1427" s="76">
        <v>0</v>
      </c>
      <c r="P1427" s="76">
        <v>7.62</v>
      </c>
      <c r="Q1427" s="78">
        <v>0</v>
      </c>
      <c r="R1427" s="76">
        <v>0</v>
      </c>
      <c r="S1427" s="76">
        <v>1.65</v>
      </c>
      <c r="T1427" s="76">
        <f>STOCK[[#This Row],[Costo Unitario (USD)]]+STOCK[[#This Row],[Costo Envío (USD)]]+STOCK[[#This Row],[Comisión 10%]]</f>
        <v>11.27</v>
      </c>
      <c r="U1427" s="53">
        <f>STOCK[[#This Row],[Costo total]]*1.5</f>
        <v>16.905</v>
      </c>
      <c r="V1427" s="76">
        <v>20</v>
      </c>
      <c r="W1427" s="76">
        <f>STOCK[[#This Row],[Precio Final]]-STOCK[[#This Row],[Costo total]]</f>
        <v>8.73</v>
      </c>
      <c r="X1427" s="76">
        <f>STOCK[[#This Row],[Ganancia Unitaria]]*STOCK[[#This Row],[Salidas]]</f>
        <v>0</v>
      </c>
      <c r="Y1427" s="76"/>
      <c r="Z1427" s="76"/>
      <c r="AA1427" s="54">
        <f>STOCK[[#This Row],[Costo total]]*STOCK[[#This Row],[Entradas]]</f>
        <v>11.27</v>
      </c>
      <c r="AB1427" s="54">
        <f>STOCK[[#This Row],[Stock Actual]]*STOCK[[#This Row],[Costo total]]</f>
        <v>11.27</v>
      </c>
      <c r="AC1427" s="76"/>
    </row>
    <row r="1428" s="53" customFormat="1" ht="50" customHeight="1" spans="1:29">
      <c r="A1428" s="53" t="s">
        <v>2893</v>
      </c>
      <c r="B1428" s="77"/>
      <c r="C1428" s="76" t="s">
        <v>32</v>
      </c>
      <c r="D1428" s="76" t="s">
        <v>2629</v>
      </c>
      <c r="E1428" s="76" t="s">
        <v>2892</v>
      </c>
      <c r="F1428" s="76" t="s">
        <v>62</v>
      </c>
      <c r="G1428" s="76"/>
      <c r="H1428" s="76">
        <f>STOCK[[#This Row],[Precio Final]]</f>
        <v>20</v>
      </c>
      <c r="I1428" s="80">
        <f>STOCK[[#This Row],[Precio Venta Ideal (x1.5)]]</f>
        <v>16.905</v>
      </c>
      <c r="J1428" s="78">
        <v>1</v>
      </c>
      <c r="K1428" s="78">
        <f>SUMIFS(VENTAS[Cantidad],VENTAS[Código del producto Vendido],STOCK[[#This Row],[Code]])</f>
        <v>0</v>
      </c>
      <c r="L1428" s="78">
        <f>STOCK[[#This Row],[Entradas]]-STOCK[[#This Row],[Salidas]]</f>
        <v>1</v>
      </c>
      <c r="M1428" s="76">
        <f>STOCK[[#This Row],[Precio Final]]*10%</f>
        <v>2</v>
      </c>
      <c r="N1428" s="76">
        <v>0</v>
      </c>
      <c r="O1428" s="76">
        <v>0</v>
      </c>
      <c r="P1428" s="76">
        <v>7.62</v>
      </c>
      <c r="Q1428" s="78">
        <v>0</v>
      </c>
      <c r="R1428" s="76">
        <v>0</v>
      </c>
      <c r="S1428" s="76">
        <v>1.65</v>
      </c>
      <c r="T1428" s="76">
        <f>STOCK[[#This Row],[Costo Unitario (USD)]]+STOCK[[#This Row],[Costo Envío (USD)]]+STOCK[[#This Row],[Comisión 10%]]</f>
        <v>11.27</v>
      </c>
      <c r="U1428" s="53">
        <f>STOCK[[#This Row],[Costo total]]*1.5</f>
        <v>16.905</v>
      </c>
      <c r="V1428" s="76">
        <v>20</v>
      </c>
      <c r="W1428" s="76">
        <f>STOCK[[#This Row],[Precio Final]]-STOCK[[#This Row],[Costo total]]</f>
        <v>8.73</v>
      </c>
      <c r="X1428" s="76">
        <f>STOCK[[#This Row],[Ganancia Unitaria]]*STOCK[[#This Row],[Salidas]]</f>
        <v>0</v>
      </c>
      <c r="Y1428" s="76"/>
      <c r="Z1428" s="76"/>
      <c r="AA1428" s="54">
        <f>STOCK[[#This Row],[Costo total]]*STOCK[[#This Row],[Entradas]]</f>
        <v>11.27</v>
      </c>
      <c r="AB1428" s="54">
        <f>STOCK[[#This Row],[Stock Actual]]*STOCK[[#This Row],[Costo total]]</f>
        <v>11.27</v>
      </c>
      <c r="AC1428" s="76"/>
    </row>
    <row r="1429" s="53" customFormat="1" ht="50" customHeight="1" spans="1:29">
      <c r="A1429" s="53" t="s">
        <v>2894</v>
      </c>
      <c r="B1429" s="77"/>
      <c r="C1429" s="76" t="s">
        <v>32</v>
      </c>
      <c r="D1429" s="76" t="s">
        <v>2629</v>
      </c>
      <c r="E1429" s="76" t="s">
        <v>2892</v>
      </c>
      <c r="F1429" s="76" t="s">
        <v>49</v>
      </c>
      <c r="G1429" s="76"/>
      <c r="H1429" s="76">
        <f>STOCK[[#This Row],[Precio Final]]</f>
        <v>20</v>
      </c>
      <c r="I1429" s="80">
        <f>STOCK[[#This Row],[Precio Venta Ideal (x1.5)]]</f>
        <v>16.905</v>
      </c>
      <c r="J1429" s="78">
        <v>1</v>
      </c>
      <c r="K1429" s="78">
        <f>SUMIFS(VENTAS[Cantidad],VENTAS[Código del producto Vendido],STOCK[[#This Row],[Code]])</f>
        <v>0</v>
      </c>
      <c r="L1429" s="78">
        <f>STOCK[[#This Row],[Entradas]]-STOCK[[#This Row],[Salidas]]</f>
        <v>1</v>
      </c>
      <c r="M1429" s="76">
        <f>STOCK[[#This Row],[Precio Final]]*10%</f>
        <v>2</v>
      </c>
      <c r="N1429" s="76">
        <v>0</v>
      </c>
      <c r="O1429" s="76">
        <v>0</v>
      </c>
      <c r="P1429" s="76">
        <v>7.62</v>
      </c>
      <c r="Q1429" s="78">
        <v>0</v>
      </c>
      <c r="R1429" s="76">
        <v>0</v>
      </c>
      <c r="S1429" s="76">
        <v>1.65</v>
      </c>
      <c r="T1429" s="76">
        <f>STOCK[[#This Row],[Costo Unitario (USD)]]+STOCK[[#This Row],[Costo Envío (USD)]]+STOCK[[#This Row],[Comisión 10%]]</f>
        <v>11.27</v>
      </c>
      <c r="U1429" s="53">
        <f>STOCK[[#This Row],[Costo total]]*1.5</f>
        <v>16.905</v>
      </c>
      <c r="V1429" s="76">
        <v>20</v>
      </c>
      <c r="W1429" s="76">
        <f>STOCK[[#This Row],[Precio Final]]-STOCK[[#This Row],[Costo total]]</f>
        <v>8.73</v>
      </c>
      <c r="X1429" s="76">
        <f>STOCK[[#This Row],[Ganancia Unitaria]]*STOCK[[#This Row],[Salidas]]</f>
        <v>0</v>
      </c>
      <c r="Y1429" s="76"/>
      <c r="Z1429" s="76"/>
      <c r="AA1429" s="54">
        <f>STOCK[[#This Row],[Costo total]]*STOCK[[#This Row],[Entradas]]</f>
        <v>11.27</v>
      </c>
      <c r="AB1429" s="54">
        <f>STOCK[[#This Row],[Stock Actual]]*STOCK[[#This Row],[Costo total]]</f>
        <v>11.27</v>
      </c>
      <c r="AC1429" s="76"/>
    </row>
    <row r="1430" s="53" customFormat="1" ht="50" customHeight="1" spans="1:29">
      <c r="A1430" s="53" t="s">
        <v>2895</v>
      </c>
      <c r="B1430" s="77"/>
      <c r="C1430" s="76" t="s">
        <v>32</v>
      </c>
      <c r="D1430" s="76" t="s">
        <v>2629</v>
      </c>
      <c r="E1430" s="76" t="s">
        <v>2892</v>
      </c>
      <c r="F1430" s="76" t="s">
        <v>46</v>
      </c>
      <c r="G1430" s="76"/>
      <c r="H1430" s="76">
        <f>STOCK[[#This Row],[Precio Final]]</f>
        <v>20</v>
      </c>
      <c r="I1430" s="80">
        <f>STOCK[[#This Row],[Precio Venta Ideal (x1.5)]]</f>
        <v>16.905</v>
      </c>
      <c r="J1430" s="78">
        <v>1</v>
      </c>
      <c r="K1430" s="78">
        <f>SUMIFS(VENTAS[Cantidad],VENTAS[Código del producto Vendido],STOCK[[#This Row],[Code]])</f>
        <v>0</v>
      </c>
      <c r="L1430" s="78">
        <f>STOCK[[#This Row],[Entradas]]-STOCK[[#This Row],[Salidas]]</f>
        <v>1</v>
      </c>
      <c r="M1430" s="76">
        <f>STOCK[[#This Row],[Precio Final]]*10%</f>
        <v>2</v>
      </c>
      <c r="N1430" s="76">
        <v>0</v>
      </c>
      <c r="O1430" s="76">
        <v>0</v>
      </c>
      <c r="P1430" s="76">
        <v>7.62</v>
      </c>
      <c r="Q1430" s="78">
        <v>0</v>
      </c>
      <c r="R1430" s="76">
        <v>0</v>
      </c>
      <c r="S1430" s="76">
        <v>1.65</v>
      </c>
      <c r="T1430" s="76">
        <f>STOCK[[#This Row],[Costo Unitario (USD)]]+STOCK[[#This Row],[Costo Envío (USD)]]+STOCK[[#This Row],[Comisión 10%]]</f>
        <v>11.27</v>
      </c>
      <c r="U1430" s="53">
        <f>STOCK[[#This Row],[Costo total]]*1.5</f>
        <v>16.905</v>
      </c>
      <c r="V1430" s="76">
        <v>20</v>
      </c>
      <c r="W1430" s="76">
        <f>STOCK[[#This Row],[Precio Final]]-STOCK[[#This Row],[Costo total]]</f>
        <v>8.73</v>
      </c>
      <c r="X1430" s="76">
        <f>STOCK[[#This Row],[Ganancia Unitaria]]*STOCK[[#This Row],[Salidas]]</f>
        <v>0</v>
      </c>
      <c r="Y1430" s="76"/>
      <c r="Z1430" s="76"/>
      <c r="AA1430" s="54">
        <f>STOCK[[#This Row],[Costo total]]*STOCK[[#This Row],[Entradas]]</f>
        <v>11.27</v>
      </c>
      <c r="AB1430" s="54">
        <f>STOCK[[#This Row],[Stock Actual]]*STOCK[[#This Row],[Costo total]]</f>
        <v>11.27</v>
      </c>
      <c r="AC1430" s="76"/>
    </row>
    <row r="1431" s="53" customFormat="1" ht="50" customHeight="1" spans="1:29">
      <c r="A1431" s="53" t="s">
        <v>2896</v>
      </c>
      <c r="B1431" s="77"/>
      <c r="C1431" s="76" t="s">
        <v>32</v>
      </c>
      <c r="D1431" s="76" t="s">
        <v>2897</v>
      </c>
      <c r="E1431" s="76" t="s">
        <v>2898</v>
      </c>
      <c r="F1431" s="76" t="s">
        <v>40</v>
      </c>
      <c r="G1431" s="76"/>
      <c r="H1431" s="76">
        <f>STOCK[[#This Row],[Precio Final]]</f>
        <v>15</v>
      </c>
      <c r="I1431" s="80">
        <f>STOCK[[#This Row],[Precio Venta Ideal (x1.5)]]</f>
        <v>11.82</v>
      </c>
      <c r="J1431" s="78">
        <v>2</v>
      </c>
      <c r="K1431" s="78">
        <f>SUMIFS(VENTAS[Cantidad],VENTAS[Código del producto Vendido],STOCK[[#This Row],[Code]])</f>
        <v>2</v>
      </c>
      <c r="L1431" s="78">
        <f>STOCK[[#This Row],[Entradas]]-STOCK[[#This Row],[Salidas]]</f>
        <v>0</v>
      </c>
      <c r="M1431" s="76">
        <f>STOCK[[#This Row],[Precio Final]]*10%</f>
        <v>1.5</v>
      </c>
      <c r="N1431" s="76">
        <v>0</v>
      </c>
      <c r="O1431" s="76">
        <v>0</v>
      </c>
      <c r="P1431" s="76">
        <v>4.73</v>
      </c>
      <c r="Q1431" s="78">
        <v>0</v>
      </c>
      <c r="R1431" s="76">
        <v>0</v>
      </c>
      <c r="S1431" s="76">
        <v>1.65</v>
      </c>
      <c r="T1431" s="76">
        <f>STOCK[[#This Row],[Costo Unitario (USD)]]+STOCK[[#This Row],[Costo Envío (USD)]]+STOCK[[#This Row],[Comisión 10%]]</f>
        <v>7.88</v>
      </c>
      <c r="U1431" s="53">
        <f>STOCK[[#This Row],[Costo total]]*1.5</f>
        <v>11.82</v>
      </c>
      <c r="V1431" s="76">
        <v>15</v>
      </c>
      <c r="W1431" s="76">
        <f>STOCK[[#This Row],[Precio Final]]-STOCK[[#This Row],[Costo total]]</f>
        <v>7.12</v>
      </c>
      <c r="X1431" s="76">
        <f>STOCK[[#This Row],[Ganancia Unitaria]]*STOCK[[#This Row],[Salidas]]</f>
        <v>14.24</v>
      </c>
      <c r="Y1431" s="76"/>
      <c r="Z1431" s="76"/>
      <c r="AA1431" s="54">
        <f>STOCK[[#This Row],[Costo total]]*STOCK[[#This Row],[Entradas]]</f>
        <v>15.76</v>
      </c>
      <c r="AB1431" s="54">
        <f>STOCK[[#This Row],[Stock Actual]]*STOCK[[#This Row],[Costo total]]</f>
        <v>0</v>
      </c>
      <c r="AC1431" s="76"/>
    </row>
    <row r="1432" s="53" customFormat="1" ht="50" customHeight="1" spans="1:29">
      <c r="A1432" s="53" t="s">
        <v>2899</v>
      </c>
      <c r="B1432" s="77"/>
      <c r="C1432" s="76" t="s">
        <v>32</v>
      </c>
      <c r="D1432" s="76" t="s">
        <v>2897</v>
      </c>
      <c r="E1432" s="76" t="s">
        <v>2898</v>
      </c>
      <c r="F1432" s="76" t="s">
        <v>62</v>
      </c>
      <c r="G1432" s="76"/>
      <c r="H1432" s="76">
        <f>STOCK[[#This Row],[Precio Final]]</f>
        <v>15</v>
      </c>
      <c r="I1432" s="80">
        <f>STOCK[[#This Row],[Precio Venta Ideal (x1.5)]]</f>
        <v>11.82</v>
      </c>
      <c r="J1432" s="78">
        <v>3</v>
      </c>
      <c r="K1432" s="78">
        <f>SUMIFS(VENTAS[Cantidad],VENTAS[Código del producto Vendido],STOCK[[#This Row],[Code]])</f>
        <v>1</v>
      </c>
      <c r="L1432" s="78">
        <f>STOCK[[#This Row],[Entradas]]-STOCK[[#This Row],[Salidas]]</f>
        <v>2</v>
      </c>
      <c r="M1432" s="76">
        <f>STOCK[[#This Row],[Precio Final]]*10%</f>
        <v>1.5</v>
      </c>
      <c r="N1432" s="76">
        <v>0</v>
      </c>
      <c r="O1432" s="76">
        <v>0</v>
      </c>
      <c r="P1432" s="76">
        <v>4.73</v>
      </c>
      <c r="Q1432" s="78">
        <v>0</v>
      </c>
      <c r="R1432" s="76">
        <v>0</v>
      </c>
      <c r="S1432" s="76">
        <v>1.65</v>
      </c>
      <c r="T1432" s="76">
        <f>STOCK[[#This Row],[Costo Unitario (USD)]]+STOCK[[#This Row],[Costo Envío (USD)]]+STOCK[[#This Row],[Comisión 10%]]</f>
        <v>7.88</v>
      </c>
      <c r="U1432" s="53">
        <f>STOCK[[#This Row],[Costo total]]*1.5</f>
        <v>11.82</v>
      </c>
      <c r="V1432" s="76">
        <v>15</v>
      </c>
      <c r="W1432" s="76">
        <f>STOCK[[#This Row],[Precio Final]]-STOCK[[#This Row],[Costo total]]</f>
        <v>7.12</v>
      </c>
      <c r="X1432" s="76">
        <f>STOCK[[#This Row],[Ganancia Unitaria]]*STOCK[[#This Row],[Salidas]]</f>
        <v>7.12</v>
      </c>
      <c r="Y1432" s="76"/>
      <c r="Z1432" s="76"/>
      <c r="AA1432" s="54">
        <f>STOCK[[#This Row],[Costo total]]*STOCK[[#This Row],[Entradas]]</f>
        <v>23.64</v>
      </c>
      <c r="AB1432" s="54">
        <f>STOCK[[#This Row],[Stock Actual]]*STOCK[[#This Row],[Costo total]]</f>
        <v>15.76</v>
      </c>
      <c r="AC1432" s="76"/>
    </row>
    <row r="1433" s="53" customFormat="1" ht="50" customHeight="1" spans="1:29">
      <c r="A1433" s="53" t="s">
        <v>2900</v>
      </c>
      <c r="B1433" s="77"/>
      <c r="C1433" s="76" t="s">
        <v>32</v>
      </c>
      <c r="D1433" s="76" t="s">
        <v>2897</v>
      </c>
      <c r="E1433" s="76" t="s">
        <v>2898</v>
      </c>
      <c r="F1433" s="76" t="s">
        <v>49</v>
      </c>
      <c r="G1433" s="76"/>
      <c r="H1433" s="76">
        <f>STOCK[[#This Row],[Precio Final]]</f>
        <v>15</v>
      </c>
      <c r="I1433" s="80">
        <f>STOCK[[#This Row],[Precio Venta Ideal (x1.5)]]</f>
        <v>11.82</v>
      </c>
      <c r="J1433" s="78">
        <v>2</v>
      </c>
      <c r="K1433" s="78">
        <f>SUMIFS(VENTAS[Cantidad],VENTAS[Código del producto Vendido],STOCK[[#This Row],[Code]])</f>
        <v>1</v>
      </c>
      <c r="L1433" s="78">
        <f>STOCK[[#This Row],[Entradas]]-STOCK[[#This Row],[Salidas]]</f>
        <v>1</v>
      </c>
      <c r="M1433" s="76">
        <f>STOCK[[#This Row],[Precio Final]]*10%</f>
        <v>1.5</v>
      </c>
      <c r="N1433" s="76">
        <v>0</v>
      </c>
      <c r="O1433" s="76">
        <v>0</v>
      </c>
      <c r="P1433" s="76">
        <v>4.73</v>
      </c>
      <c r="Q1433" s="78">
        <v>0</v>
      </c>
      <c r="R1433" s="76">
        <v>0</v>
      </c>
      <c r="S1433" s="76">
        <v>1.65</v>
      </c>
      <c r="T1433" s="76">
        <f>STOCK[[#This Row],[Costo Unitario (USD)]]+STOCK[[#This Row],[Costo Envío (USD)]]+STOCK[[#This Row],[Comisión 10%]]</f>
        <v>7.88</v>
      </c>
      <c r="U1433" s="53">
        <f>STOCK[[#This Row],[Costo total]]*1.5</f>
        <v>11.82</v>
      </c>
      <c r="V1433" s="76">
        <v>15</v>
      </c>
      <c r="W1433" s="76">
        <f>STOCK[[#This Row],[Precio Final]]-STOCK[[#This Row],[Costo total]]</f>
        <v>7.12</v>
      </c>
      <c r="X1433" s="76">
        <f>STOCK[[#This Row],[Ganancia Unitaria]]*STOCK[[#This Row],[Salidas]]</f>
        <v>7.12</v>
      </c>
      <c r="Y1433" s="76"/>
      <c r="Z1433" s="76"/>
      <c r="AA1433" s="54">
        <f>STOCK[[#This Row],[Costo total]]*STOCK[[#This Row],[Entradas]]</f>
        <v>15.76</v>
      </c>
      <c r="AB1433" s="54">
        <f>STOCK[[#This Row],[Stock Actual]]*STOCK[[#This Row],[Costo total]]</f>
        <v>7.88</v>
      </c>
      <c r="AC1433" s="76"/>
    </row>
    <row r="1434" s="53" customFormat="1" ht="50" customHeight="1" spans="1:29">
      <c r="A1434" s="53" t="s">
        <v>2901</v>
      </c>
      <c r="B1434" s="77"/>
      <c r="C1434" s="76" t="s">
        <v>32</v>
      </c>
      <c r="D1434" s="76" t="s">
        <v>2897</v>
      </c>
      <c r="E1434" s="76" t="s">
        <v>2898</v>
      </c>
      <c r="F1434" s="76" t="s">
        <v>46</v>
      </c>
      <c r="G1434" s="76"/>
      <c r="H1434" s="76">
        <f>STOCK[[#This Row],[Precio Final]]</f>
        <v>15</v>
      </c>
      <c r="I1434" s="80">
        <f>STOCK[[#This Row],[Precio Venta Ideal (x1.5)]]</f>
        <v>11.82</v>
      </c>
      <c r="J1434" s="78">
        <v>2</v>
      </c>
      <c r="K1434" s="78">
        <f>SUMIFS(VENTAS[Cantidad],VENTAS[Código del producto Vendido],STOCK[[#This Row],[Code]])</f>
        <v>1</v>
      </c>
      <c r="L1434" s="78">
        <f>STOCK[[#This Row],[Entradas]]-STOCK[[#This Row],[Salidas]]</f>
        <v>1</v>
      </c>
      <c r="M1434" s="76">
        <f>STOCK[[#This Row],[Precio Final]]*10%</f>
        <v>1.5</v>
      </c>
      <c r="N1434" s="76">
        <v>0</v>
      </c>
      <c r="O1434" s="76">
        <v>0</v>
      </c>
      <c r="P1434" s="76">
        <v>4.73</v>
      </c>
      <c r="Q1434" s="78">
        <v>0</v>
      </c>
      <c r="R1434" s="76">
        <v>0</v>
      </c>
      <c r="S1434" s="76">
        <v>1.65</v>
      </c>
      <c r="T1434" s="76">
        <f>STOCK[[#This Row],[Costo Unitario (USD)]]+STOCK[[#This Row],[Costo Envío (USD)]]+STOCK[[#This Row],[Comisión 10%]]</f>
        <v>7.88</v>
      </c>
      <c r="U1434" s="53">
        <f>STOCK[[#This Row],[Costo total]]*1.5</f>
        <v>11.82</v>
      </c>
      <c r="V1434" s="76">
        <v>15</v>
      </c>
      <c r="W1434" s="76">
        <f>STOCK[[#This Row],[Precio Final]]-STOCK[[#This Row],[Costo total]]</f>
        <v>7.12</v>
      </c>
      <c r="X1434" s="76">
        <f>STOCK[[#This Row],[Ganancia Unitaria]]*STOCK[[#This Row],[Salidas]]</f>
        <v>7.12</v>
      </c>
      <c r="Y1434" s="76"/>
      <c r="Z1434" s="76"/>
      <c r="AA1434" s="54">
        <f>STOCK[[#This Row],[Costo total]]*STOCK[[#This Row],[Entradas]]</f>
        <v>15.76</v>
      </c>
      <c r="AB1434" s="54">
        <f>STOCK[[#This Row],[Stock Actual]]*STOCK[[#This Row],[Costo total]]</f>
        <v>7.88</v>
      </c>
      <c r="AC1434" s="76"/>
    </row>
    <row r="1435" s="53" customFormat="1" ht="50" customHeight="1" spans="1:29">
      <c r="A1435" s="53" t="s">
        <v>2902</v>
      </c>
      <c r="B1435" s="77"/>
      <c r="C1435" s="76" t="s">
        <v>32</v>
      </c>
      <c r="D1435" s="76" t="s">
        <v>2897</v>
      </c>
      <c r="E1435" s="76" t="s">
        <v>2903</v>
      </c>
      <c r="F1435" s="76" t="s">
        <v>40</v>
      </c>
      <c r="G1435" s="76"/>
      <c r="H1435" s="76">
        <f>STOCK[[#This Row],[Precio Final]]</f>
        <v>15</v>
      </c>
      <c r="I1435" s="80">
        <f>STOCK[[#This Row],[Precio Venta Ideal (x1.5)]]</f>
        <v>14.46</v>
      </c>
      <c r="J1435" s="78">
        <v>2</v>
      </c>
      <c r="K1435" s="78">
        <f>SUMIFS(VENTAS[Cantidad],VENTAS[Código del producto Vendido],STOCK[[#This Row],[Code]])</f>
        <v>1</v>
      </c>
      <c r="L1435" s="78">
        <f>STOCK[[#This Row],[Entradas]]-STOCK[[#This Row],[Salidas]]</f>
        <v>1</v>
      </c>
      <c r="M1435" s="76">
        <f>STOCK[[#This Row],[Precio Final]]*10%</f>
        <v>1.5</v>
      </c>
      <c r="N1435" s="76">
        <v>0</v>
      </c>
      <c r="O1435" s="76">
        <v>0</v>
      </c>
      <c r="P1435" s="76">
        <v>6.49</v>
      </c>
      <c r="Q1435" s="78">
        <v>0</v>
      </c>
      <c r="R1435" s="76">
        <v>0</v>
      </c>
      <c r="S1435" s="76">
        <v>1.65</v>
      </c>
      <c r="T1435" s="76">
        <f>STOCK[[#This Row],[Costo Unitario (USD)]]+STOCK[[#This Row],[Costo Envío (USD)]]+STOCK[[#This Row],[Comisión 10%]]</f>
        <v>9.64</v>
      </c>
      <c r="U1435" s="53">
        <f>STOCK[[#This Row],[Costo total]]*1.5</f>
        <v>14.46</v>
      </c>
      <c r="V1435" s="81">
        <v>15</v>
      </c>
      <c r="W1435" s="76">
        <f>STOCK[[#This Row],[Precio Final]]-STOCK[[#This Row],[Costo total]]</f>
        <v>5.36</v>
      </c>
      <c r="X1435" s="76">
        <f>STOCK[[#This Row],[Ganancia Unitaria]]*STOCK[[#This Row],[Salidas]]</f>
        <v>5.36</v>
      </c>
      <c r="Y1435" s="76"/>
      <c r="Z1435" s="76"/>
      <c r="AA1435" s="54">
        <f>STOCK[[#This Row],[Costo total]]*STOCK[[#This Row],[Entradas]]</f>
        <v>19.28</v>
      </c>
      <c r="AB1435" s="54">
        <f>STOCK[[#This Row],[Stock Actual]]*STOCK[[#This Row],[Costo total]]</f>
        <v>9.64</v>
      </c>
      <c r="AC1435" s="76"/>
    </row>
    <row r="1436" s="53" customFormat="1" ht="50" customHeight="1" spans="1:29">
      <c r="A1436" s="53" t="s">
        <v>2904</v>
      </c>
      <c r="B1436" s="77"/>
      <c r="C1436" s="76" t="s">
        <v>32</v>
      </c>
      <c r="D1436" s="76" t="s">
        <v>2897</v>
      </c>
      <c r="E1436" s="76" t="s">
        <v>2903</v>
      </c>
      <c r="F1436" s="76" t="s">
        <v>62</v>
      </c>
      <c r="G1436" s="76"/>
      <c r="H1436" s="76">
        <f>STOCK[[#This Row],[Precio Final]]</f>
        <v>15</v>
      </c>
      <c r="I1436" s="80">
        <f>STOCK[[#This Row],[Precio Venta Ideal (x1.5)]]</f>
        <v>14.475</v>
      </c>
      <c r="J1436" s="78">
        <v>2</v>
      </c>
      <c r="K1436" s="78">
        <f>SUMIFS(VENTAS[Cantidad],VENTAS[Código del producto Vendido],STOCK[[#This Row],[Code]])</f>
        <v>1</v>
      </c>
      <c r="L1436" s="78">
        <f>STOCK[[#This Row],[Entradas]]-STOCK[[#This Row],[Salidas]]</f>
        <v>1</v>
      </c>
      <c r="M1436" s="76">
        <f>STOCK[[#This Row],[Precio Final]]*10%</f>
        <v>1.5</v>
      </c>
      <c r="N1436" s="76">
        <v>0</v>
      </c>
      <c r="O1436" s="76">
        <v>0</v>
      </c>
      <c r="P1436" s="76">
        <v>6.5</v>
      </c>
      <c r="Q1436" s="78">
        <v>0</v>
      </c>
      <c r="R1436" s="76">
        <v>0</v>
      </c>
      <c r="S1436" s="76">
        <v>1.65</v>
      </c>
      <c r="T1436" s="76">
        <f>STOCK[[#This Row],[Costo Unitario (USD)]]+STOCK[[#This Row],[Costo Envío (USD)]]+STOCK[[#This Row],[Comisión 10%]]</f>
        <v>9.65</v>
      </c>
      <c r="U1436" s="53">
        <f>STOCK[[#This Row],[Costo total]]*1.5</f>
        <v>14.475</v>
      </c>
      <c r="V1436" s="76">
        <v>15</v>
      </c>
      <c r="W1436" s="76">
        <f>STOCK[[#This Row],[Precio Final]]-STOCK[[#This Row],[Costo total]]</f>
        <v>5.35</v>
      </c>
      <c r="X1436" s="76">
        <f>STOCK[[#This Row],[Ganancia Unitaria]]*STOCK[[#This Row],[Salidas]]</f>
        <v>5.35</v>
      </c>
      <c r="Y1436" s="76"/>
      <c r="Z1436" s="76"/>
      <c r="AA1436" s="54">
        <f>STOCK[[#This Row],[Costo total]]*STOCK[[#This Row],[Entradas]]</f>
        <v>19.3</v>
      </c>
      <c r="AB1436" s="54">
        <f>STOCK[[#This Row],[Stock Actual]]*STOCK[[#This Row],[Costo total]]</f>
        <v>9.65</v>
      </c>
      <c r="AC1436" s="76"/>
    </row>
    <row r="1437" s="53" customFormat="1" ht="50" customHeight="1" spans="1:29">
      <c r="A1437" s="53" t="s">
        <v>2905</v>
      </c>
      <c r="B1437" s="77"/>
      <c r="C1437" s="76" t="s">
        <v>32</v>
      </c>
      <c r="D1437" s="76" t="s">
        <v>2897</v>
      </c>
      <c r="E1437" s="76" t="s">
        <v>2903</v>
      </c>
      <c r="F1437" s="76" t="s">
        <v>49</v>
      </c>
      <c r="G1437" s="76"/>
      <c r="H1437" s="76">
        <f>STOCK[[#This Row],[Precio Final]]</f>
        <v>15</v>
      </c>
      <c r="I1437" s="80">
        <f>STOCK[[#This Row],[Precio Venta Ideal (x1.5)]]</f>
        <v>14.46</v>
      </c>
      <c r="J1437" s="78">
        <v>2</v>
      </c>
      <c r="K1437" s="78">
        <f>SUMIFS(VENTAS[Cantidad],VENTAS[Código del producto Vendido],STOCK[[#This Row],[Code]])</f>
        <v>2</v>
      </c>
      <c r="L1437" s="78">
        <f>STOCK[[#This Row],[Entradas]]-STOCK[[#This Row],[Salidas]]</f>
        <v>0</v>
      </c>
      <c r="M1437" s="76">
        <f>STOCK[[#This Row],[Precio Final]]*10%</f>
        <v>1.5</v>
      </c>
      <c r="N1437" s="76">
        <v>0</v>
      </c>
      <c r="O1437" s="76">
        <v>0</v>
      </c>
      <c r="P1437" s="76">
        <v>6.49</v>
      </c>
      <c r="Q1437" s="78">
        <v>0</v>
      </c>
      <c r="R1437" s="76">
        <v>0</v>
      </c>
      <c r="S1437" s="76">
        <v>1.65</v>
      </c>
      <c r="T1437" s="76">
        <f>STOCK[[#This Row],[Costo Unitario (USD)]]+STOCK[[#This Row],[Costo Envío (USD)]]+STOCK[[#This Row],[Comisión 10%]]</f>
        <v>9.64</v>
      </c>
      <c r="U1437" s="53">
        <f>STOCK[[#This Row],[Costo total]]*1.5</f>
        <v>14.46</v>
      </c>
      <c r="V1437" s="76">
        <v>15</v>
      </c>
      <c r="W1437" s="76">
        <f>STOCK[[#This Row],[Precio Final]]-STOCK[[#This Row],[Costo total]]</f>
        <v>5.36</v>
      </c>
      <c r="X1437" s="76">
        <f>STOCK[[#This Row],[Ganancia Unitaria]]*STOCK[[#This Row],[Salidas]]</f>
        <v>10.72</v>
      </c>
      <c r="Y1437" s="76"/>
      <c r="Z1437" s="76"/>
      <c r="AA1437" s="54">
        <f>STOCK[[#This Row],[Costo total]]*STOCK[[#This Row],[Entradas]]</f>
        <v>19.28</v>
      </c>
      <c r="AB1437" s="54">
        <f>STOCK[[#This Row],[Stock Actual]]*STOCK[[#This Row],[Costo total]]</f>
        <v>0</v>
      </c>
      <c r="AC1437" s="76"/>
    </row>
    <row r="1438" s="53" customFormat="1" ht="50" customHeight="1" spans="1:29">
      <c r="A1438" s="53" t="s">
        <v>2906</v>
      </c>
      <c r="B1438" s="77"/>
      <c r="C1438" s="76" t="s">
        <v>32</v>
      </c>
      <c r="D1438" s="76" t="s">
        <v>2897</v>
      </c>
      <c r="E1438" s="76" t="s">
        <v>2903</v>
      </c>
      <c r="F1438" s="76" t="s">
        <v>46</v>
      </c>
      <c r="G1438" s="76"/>
      <c r="H1438" s="76">
        <f>STOCK[[#This Row],[Precio Final]]</f>
        <v>15</v>
      </c>
      <c r="I1438" s="80">
        <f>STOCK[[#This Row],[Precio Venta Ideal (x1.5)]]</f>
        <v>14.475</v>
      </c>
      <c r="J1438" s="78">
        <v>2</v>
      </c>
      <c r="K1438" s="78">
        <f>SUMIFS(VENTAS[Cantidad],VENTAS[Código del producto Vendido],STOCK[[#This Row],[Code]])</f>
        <v>2</v>
      </c>
      <c r="L1438" s="78">
        <f>STOCK[[#This Row],[Entradas]]-STOCK[[#This Row],[Salidas]]</f>
        <v>0</v>
      </c>
      <c r="M1438" s="76">
        <f>STOCK[[#This Row],[Precio Final]]*10%</f>
        <v>1.5</v>
      </c>
      <c r="N1438" s="76">
        <v>0</v>
      </c>
      <c r="O1438" s="76">
        <v>0</v>
      </c>
      <c r="P1438" s="76">
        <v>6.5</v>
      </c>
      <c r="Q1438" s="78">
        <v>0</v>
      </c>
      <c r="R1438" s="76">
        <v>0</v>
      </c>
      <c r="S1438" s="76">
        <v>1.65</v>
      </c>
      <c r="T1438" s="76">
        <f>STOCK[[#This Row],[Costo Unitario (USD)]]+STOCK[[#This Row],[Costo Envío (USD)]]+STOCK[[#This Row],[Comisión 10%]]</f>
        <v>9.65</v>
      </c>
      <c r="U1438" s="53">
        <f>STOCK[[#This Row],[Costo total]]*1.5</f>
        <v>14.475</v>
      </c>
      <c r="V1438" s="76">
        <v>15</v>
      </c>
      <c r="W1438" s="76">
        <f>STOCK[[#This Row],[Precio Final]]-STOCK[[#This Row],[Costo total]]</f>
        <v>5.35</v>
      </c>
      <c r="X1438" s="76">
        <f>STOCK[[#This Row],[Ganancia Unitaria]]*STOCK[[#This Row],[Salidas]]</f>
        <v>10.7</v>
      </c>
      <c r="Y1438" s="76"/>
      <c r="Z1438" s="76"/>
      <c r="AA1438" s="54">
        <f>STOCK[[#This Row],[Costo total]]*STOCK[[#This Row],[Entradas]]</f>
        <v>19.3</v>
      </c>
      <c r="AB1438" s="54">
        <f>STOCK[[#This Row],[Stock Actual]]*STOCK[[#This Row],[Costo total]]</f>
        <v>0</v>
      </c>
      <c r="AC1438" s="76"/>
    </row>
    <row r="1439" s="53" customFormat="1" ht="50" customHeight="1" spans="1:29">
      <c r="A1439" s="53" t="s">
        <v>2907</v>
      </c>
      <c r="B1439" s="77"/>
      <c r="C1439" s="76" t="s">
        <v>32</v>
      </c>
      <c r="D1439" s="76" t="s">
        <v>2897</v>
      </c>
      <c r="E1439" s="76" t="s">
        <v>2908</v>
      </c>
      <c r="F1439" s="76" t="s">
        <v>42</v>
      </c>
      <c r="G1439" s="76"/>
      <c r="H1439" s="76">
        <f>STOCK[[#This Row],[Precio Final]]</f>
        <v>15</v>
      </c>
      <c r="I1439" s="80">
        <f>STOCK[[#This Row],[Precio Venta Ideal (x1.5)]]</f>
        <v>11.31</v>
      </c>
      <c r="J1439" s="78">
        <v>2</v>
      </c>
      <c r="K1439" s="78">
        <f>SUMIFS(VENTAS[Cantidad],VENTAS[Código del producto Vendido],STOCK[[#This Row],[Code]])</f>
        <v>1</v>
      </c>
      <c r="L1439" s="78">
        <f>STOCK[[#This Row],[Entradas]]-STOCK[[#This Row],[Salidas]]</f>
        <v>1</v>
      </c>
      <c r="M1439" s="76">
        <f>STOCK[[#This Row],[Precio Final]]*10%</f>
        <v>1.5</v>
      </c>
      <c r="N1439" s="76">
        <v>0</v>
      </c>
      <c r="O1439" s="76">
        <v>0</v>
      </c>
      <c r="P1439" s="76">
        <v>4.39</v>
      </c>
      <c r="Q1439" s="78">
        <v>0</v>
      </c>
      <c r="R1439" s="76">
        <v>0</v>
      </c>
      <c r="S1439" s="76">
        <v>1.65</v>
      </c>
      <c r="T1439" s="76">
        <f>STOCK[[#This Row],[Costo Unitario (USD)]]+STOCK[[#This Row],[Costo Envío (USD)]]+STOCK[[#This Row],[Comisión 10%]]</f>
        <v>7.54</v>
      </c>
      <c r="U1439" s="53">
        <f>STOCK[[#This Row],[Costo total]]*1.5</f>
        <v>11.31</v>
      </c>
      <c r="V1439" s="76">
        <v>15</v>
      </c>
      <c r="W1439" s="76">
        <f>STOCK[[#This Row],[Precio Final]]-STOCK[[#This Row],[Costo total]]</f>
        <v>7.46</v>
      </c>
      <c r="X1439" s="76">
        <f>STOCK[[#This Row],[Ganancia Unitaria]]*STOCK[[#This Row],[Salidas]]</f>
        <v>7.46</v>
      </c>
      <c r="Y1439" s="76"/>
      <c r="Z1439" s="76"/>
      <c r="AA1439" s="54">
        <f>STOCK[[#This Row],[Costo total]]*STOCK[[#This Row],[Entradas]]</f>
        <v>15.08</v>
      </c>
      <c r="AB1439" s="54">
        <f>STOCK[[#This Row],[Stock Actual]]*STOCK[[#This Row],[Costo total]]</f>
        <v>7.54</v>
      </c>
      <c r="AC1439" s="76"/>
    </row>
    <row r="1440" s="53" customFormat="1" ht="50" customHeight="1" spans="1:29">
      <c r="A1440" s="53" t="s">
        <v>2909</v>
      </c>
      <c r="B1440" s="77"/>
      <c r="C1440" s="76" t="s">
        <v>32</v>
      </c>
      <c r="D1440" s="76" t="s">
        <v>2897</v>
      </c>
      <c r="E1440" s="76" t="s">
        <v>2910</v>
      </c>
      <c r="F1440" s="76" t="s">
        <v>42</v>
      </c>
      <c r="G1440" s="76"/>
      <c r="H1440" s="76">
        <f>STOCK[[#This Row],[Precio Final]]</f>
        <v>15</v>
      </c>
      <c r="I1440" s="80">
        <f>STOCK[[#This Row],[Precio Venta Ideal (x1.5)]]</f>
        <v>12.135</v>
      </c>
      <c r="J1440" s="78">
        <v>2</v>
      </c>
      <c r="K1440" s="78">
        <f>SUMIFS(VENTAS[Cantidad],VENTAS[Código del producto Vendido],STOCK[[#This Row],[Code]])</f>
        <v>0</v>
      </c>
      <c r="L1440" s="78">
        <f>STOCK[[#This Row],[Entradas]]-STOCK[[#This Row],[Salidas]]</f>
        <v>2</v>
      </c>
      <c r="M1440" s="76">
        <f>STOCK[[#This Row],[Precio Final]]*10%</f>
        <v>1.5</v>
      </c>
      <c r="N1440" s="76">
        <v>0</v>
      </c>
      <c r="O1440" s="76">
        <v>0</v>
      </c>
      <c r="P1440" s="76">
        <v>4.94</v>
      </c>
      <c r="Q1440" s="78">
        <v>0</v>
      </c>
      <c r="R1440" s="76">
        <v>0</v>
      </c>
      <c r="S1440" s="76">
        <v>1.65</v>
      </c>
      <c r="T1440" s="76">
        <f>STOCK[[#This Row],[Costo Unitario (USD)]]+STOCK[[#This Row],[Costo Envío (USD)]]+STOCK[[#This Row],[Comisión 10%]]</f>
        <v>8.09</v>
      </c>
      <c r="U1440" s="53">
        <f>STOCK[[#This Row],[Costo total]]*1.5</f>
        <v>12.135</v>
      </c>
      <c r="V1440" s="76">
        <v>15</v>
      </c>
      <c r="W1440" s="76">
        <f>STOCK[[#This Row],[Precio Final]]-STOCK[[#This Row],[Costo total]]</f>
        <v>6.91</v>
      </c>
      <c r="X1440" s="76">
        <f>STOCK[[#This Row],[Ganancia Unitaria]]*STOCK[[#This Row],[Salidas]]</f>
        <v>0</v>
      </c>
      <c r="Y1440" s="76"/>
      <c r="Z1440" s="76"/>
      <c r="AA1440" s="54">
        <f>STOCK[[#This Row],[Costo total]]*STOCK[[#This Row],[Entradas]]</f>
        <v>16.18</v>
      </c>
      <c r="AB1440" s="54">
        <f>STOCK[[#This Row],[Stock Actual]]*STOCK[[#This Row],[Costo total]]</f>
        <v>16.18</v>
      </c>
      <c r="AC1440" s="76"/>
    </row>
    <row r="1441" s="53" customFormat="1" ht="50" customHeight="1" spans="1:29">
      <c r="A1441" s="53" t="s">
        <v>2911</v>
      </c>
      <c r="B1441" s="77"/>
      <c r="C1441" s="76" t="s">
        <v>32</v>
      </c>
      <c r="D1441" s="76" t="s">
        <v>2897</v>
      </c>
      <c r="E1441" s="76" t="s">
        <v>2912</v>
      </c>
      <c r="F1441" s="76" t="s">
        <v>42</v>
      </c>
      <c r="G1441" s="76"/>
      <c r="H1441" s="76">
        <f>STOCK[[#This Row],[Precio Final]]</f>
        <v>15</v>
      </c>
      <c r="I1441" s="80">
        <f>STOCK[[#This Row],[Precio Venta Ideal (x1.5)]]</f>
        <v>11.16</v>
      </c>
      <c r="J1441" s="78">
        <v>2</v>
      </c>
      <c r="K1441" s="78">
        <f>SUMIFS(VENTAS[Cantidad],VENTAS[Código del producto Vendido],STOCK[[#This Row],[Code]])</f>
        <v>1</v>
      </c>
      <c r="L1441" s="78">
        <f>STOCK[[#This Row],[Entradas]]-STOCK[[#This Row],[Salidas]]</f>
        <v>1</v>
      </c>
      <c r="M1441" s="76">
        <f>STOCK[[#This Row],[Precio Final]]*10%</f>
        <v>1.5</v>
      </c>
      <c r="N1441" s="76">
        <v>0</v>
      </c>
      <c r="O1441" s="76">
        <v>0</v>
      </c>
      <c r="P1441" s="76">
        <v>4.29</v>
      </c>
      <c r="Q1441" s="78">
        <v>0</v>
      </c>
      <c r="R1441" s="76">
        <v>0</v>
      </c>
      <c r="S1441" s="76">
        <v>1.65</v>
      </c>
      <c r="T1441" s="76">
        <f>STOCK[[#This Row],[Costo Unitario (USD)]]+STOCK[[#This Row],[Costo Envío (USD)]]+STOCK[[#This Row],[Comisión 10%]]</f>
        <v>7.44</v>
      </c>
      <c r="U1441" s="53">
        <f>STOCK[[#This Row],[Costo total]]*1.5</f>
        <v>11.16</v>
      </c>
      <c r="V1441" s="76">
        <v>15</v>
      </c>
      <c r="W1441" s="76">
        <f>STOCK[[#This Row],[Precio Final]]-STOCK[[#This Row],[Costo total]]</f>
        <v>7.56</v>
      </c>
      <c r="X1441" s="76">
        <f>STOCK[[#This Row],[Ganancia Unitaria]]*STOCK[[#This Row],[Salidas]]</f>
        <v>7.56</v>
      </c>
      <c r="Y1441" s="76"/>
      <c r="Z1441" s="76"/>
      <c r="AA1441" s="54">
        <f>STOCK[[#This Row],[Costo total]]*STOCK[[#This Row],[Entradas]]</f>
        <v>14.88</v>
      </c>
      <c r="AB1441" s="54">
        <f>STOCK[[#This Row],[Stock Actual]]*STOCK[[#This Row],[Costo total]]</f>
        <v>7.44</v>
      </c>
      <c r="AC1441" s="76"/>
    </row>
    <row r="1442" s="53" customFormat="1" ht="50" customHeight="1" spans="1:29">
      <c r="A1442" s="53" t="s">
        <v>2913</v>
      </c>
      <c r="B1442" s="77"/>
      <c r="C1442" s="76" t="s">
        <v>32</v>
      </c>
      <c r="D1442" s="76" t="s">
        <v>1190</v>
      </c>
      <c r="E1442" s="76" t="s">
        <v>2914</v>
      </c>
      <c r="F1442" s="76" t="s">
        <v>40</v>
      </c>
      <c r="G1442" s="76"/>
      <c r="H1442" s="76">
        <f>STOCK[[#This Row],[Precio Final]]</f>
        <v>25</v>
      </c>
      <c r="I1442" s="80">
        <f>STOCK[[#This Row],[Precio Venta Ideal (x1.5)]]</f>
        <v>21.675</v>
      </c>
      <c r="J1442" s="78">
        <v>2</v>
      </c>
      <c r="K1442" s="78">
        <f>SUMIFS(VENTAS[Cantidad],VENTAS[Código del producto Vendido],STOCK[[#This Row],[Code]])</f>
        <v>0</v>
      </c>
      <c r="L1442" s="78">
        <f>STOCK[[#This Row],[Entradas]]-STOCK[[#This Row],[Salidas]]</f>
        <v>2</v>
      </c>
      <c r="M1442" s="76">
        <f>STOCK[[#This Row],[Precio Final]]*10%</f>
        <v>2.5</v>
      </c>
      <c r="N1442" s="76">
        <v>0</v>
      </c>
      <c r="O1442" s="76">
        <v>0</v>
      </c>
      <c r="P1442" s="76">
        <v>10.3</v>
      </c>
      <c r="Q1442" s="78">
        <v>0</v>
      </c>
      <c r="R1442" s="76">
        <v>0</v>
      </c>
      <c r="S1442" s="76">
        <v>1.65</v>
      </c>
      <c r="T1442" s="76">
        <f>STOCK[[#This Row],[Costo Unitario (USD)]]+STOCK[[#This Row],[Costo Envío (USD)]]+STOCK[[#This Row],[Comisión 10%]]</f>
        <v>14.45</v>
      </c>
      <c r="U1442" s="53">
        <f>STOCK[[#This Row],[Costo total]]*1.5</f>
        <v>21.675</v>
      </c>
      <c r="V1442" s="76">
        <v>25</v>
      </c>
      <c r="W1442" s="76">
        <f>STOCK[[#This Row],[Precio Final]]-STOCK[[#This Row],[Costo total]]</f>
        <v>10.55</v>
      </c>
      <c r="X1442" s="76">
        <f>STOCK[[#This Row],[Ganancia Unitaria]]*STOCK[[#This Row],[Salidas]]</f>
        <v>0</v>
      </c>
      <c r="Y1442" s="76"/>
      <c r="Z1442" s="76"/>
      <c r="AA1442" s="54">
        <f>STOCK[[#This Row],[Costo total]]*STOCK[[#This Row],[Entradas]]</f>
        <v>28.9</v>
      </c>
      <c r="AB1442" s="54">
        <f>STOCK[[#This Row],[Stock Actual]]*STOCK[[#This Row],[Costo total]]</f>
        <v>28.9</v>
      </c>
      <c r="AC1442" s="76"/>
    </row>
    <row r="1443" s="53" customFormat="1" ht="50" customHeight="1" spans="1:29">
      <c r="A1443" s="53" t="s">
        <v>2915</v>
      </c>
      <c r="B1443" s="77"/>
      <c r="C1443" s="76" t="s">
        <v>32</v>
      </c>
      <c r="D1443" s="76" t="s">
        <v>1190</v>
      </c>
      <c r="E1443" s="76" t="s">
        <v>2914</v>
      </c>
      <c r="F1443" s="76" t="s">
        <v>62</v>
      </c>
      <c r="G1443" s="76"/>
      <c r="H1443" s="76">
        <f>STOCK[[#This Row],[Precio Final]]</f>
        <v>25</v>
      </c>
      <c r="I1443" s="80">
        <f>STOCK[[#This Row],[Precio Venta Ideal (x1.5)]]</f>
        <v>21.675</v>
      </c>
      <c r="J1443" s="78">
        <v>2</v>
      </c>
      <c r="K1443" s="78">
        <f>SUMIFS(VENTAS[Cantidad],VENTAS[Código del producto Vendido],STOCK[[#This Row],[Code]])</f>
        <v>0</v>
      </c>
      <c r="L1443" s="78">
        <f>STOCK[[#This Row],[Entradas]]-STOCK[[#This Row],[Salidas]]</f>
        <v>2</v>
      </c>
      <c r="M1443" s="76">
        <f>STOCK[[#This Row],[Precio Final]]*10%</f>
        <v>2.5</v>
      </c>
      <c r="N1443" s="76">
        <v>0</v>
      </c>
      <c r="O1443" s="76">
        <v>0</v>
      </c>
      <c r="P1443" s="76">
        <v>10.3</v>
      </c>
      <c r="Q1443" s="78">
        <v>0</v>
      </c>
      <c r="R1443" s="76">
        <v>0</v>
      </c>
      <c r="S1443" s="76">
        <v>1.65</v>
      </c>
      <c r="T1443" s="76">
        <f>STOCK[[#This Row],[Costo Unitario (USD)]]+STOCK[[#This Row],[Costo Envío (USD)]]+STOCK[[#This Row],[Comisión 10%]]</f>
        <v>14.45</v>
      </c>
      <c r="U1443" s="53">
        <f>STOCK[[#This Row],[Costo total]]*1.5</f>
        <v>21.675</v>
      </c>
      <c r="V1443" s="76">
        <v>25</v>
      </c>
      <c r="W1443" s="76">
        <f>STOCK[[#This Row],[Precio Final]]-STOCK[[#This Row],[Costo total]]</f>
        <v>10.55</v>
      </c>
      <c r="X1443" s="76">
        <f>STOCK[[#This Row],[Ganancia Unitaria]]*STOCK[[#This Row],[Salidas]]</f>
        <v>0</v>
      </c>
      <c r="Y1443" s="76"/>
      <c r="Z1443" s="76"/>
      <c r="AA1443" s="54">
        <f>STOCK[[#This Row],[Costo total]]*STOCK[[#This Row],[Entradas]]</f>
        <v>28.9</v>
      </c>
      <c r="AB1443" s="54">
        <f>STOCK[[#This Row],[Stock Actual]]*STOCK[[#This Row],[Costo total]]</f>
        <v>28.9</v>
      </c>
      <c r="AC1443" s="76"/>
    </row>
    <row r="1444" s="53" customFormat="1" ht="50" customHeight="1" spans="1:29">
      <c r="A1444" s="53" t="s">
        <v>2916</v>
      </c>
      <c r="B1444" s="77"/>
      <c r="C1444" s="76" t="s">
        <v>32</v>
      </c>
      <c r="D1444" s="76" t="s">
        <v>1190</v>
      </c>
      <c r="E1444" s="76" t="s">
        <v>2914</v>
      </c>
      <c r="F1444" s="76" t="s">
        <v>49</v>
      </c>
      <c r="G1444" s="76"/>
      <c r="H1444" s="76">
        <f>STOCK[[#This Row],[Precio Final]]</f>
        <v>25</v>
      </c>
      <c r="I1444" s="80">
        <f>STOCK[[#This Row],[Precio Venta Ideal (x1.5)]]</f>
        <v>21.69</v>
      </c>
      <c r="J1444" s="78">
        <v>2</v>
      </c>
      <c r="K1444" s="78">
        <f>SUMIFS(VENTAS[Cantidad],VENTAS[Código del producto Vendido],STOCK[[#This Row],[Code]])</f>
        <v>1</v>
      </c>
      <c r="L1444" s="78">
        <f>STOCK[[#This Row],[Entradas]]-STOCK[[#This Row],[Salidas]]</f>
        <v>1</v>
      </c>
      <c r="M1444" s="76">
        <f>STOCK[[#This Row],[Precio Final]]*10%</f>
        <v>2.5</v>
      </c>
      <c r="N1444" s="76">
        <v>0</v>
      </c>
      <c r="O1444" s="76">
        <v>0</v>
      </c>
      <c r="P1444" s="76">
        <v>10.31</v>
      </c>
      <c r="Q1444" s="78">
        <v>0</v>
      </c>
      <c r="R1444" s="76">
        <v>0</v>
      </c>
      <c r="S1444" s="76">
        <v>1.65</v>
      </c>
      <c r="T1444" s="76">
        <f>STOCK[[#This Row],[Costo Unitario (USD)]]+STOCK[[#This Row],[Costo Envío (USD)]]+STOCK[[#This Row],[Comisión 10%]]</f>
        <v>14.46</v>
      </c>
      <c r="U1444" s="53">
        <f>STOCK[[#This Row],[Costo total]]*1.5</f>
        <v>21.69</v>
      </c>
      <c r="V1444" s="76">
        <v>25</v>
      </c>
      <c r="W1444" s="76">
        <f>STOCK[[#This Row],[Precio Final]]-STOCK[[#This Row],[Costo total]]</f>
        <v>10.54</v>
      </c>
      <c r="X1444" s="76">
        <f>STOCK[[#This Row],[Ganancia Unitaria]]*STOCK[[#This Row],[Salidas]]</f>
        <v>10.54</v>
      </c>
      <c r="Y1444" s="76"/>
      <c r="Z1444" s="76"/>
      <c r="AA1444" s="54">
        <f>STOCK[[#This Row],[Costo total]]*STOCK[[#This Row],[Entradas]]</f>
        <v>28.92</v>
      </c>
      <c r="AB1444" s="54">
        <f>STOCK[[#This Row],[Stock Actual]]*STOCK[[#This Row],[Costo total]]</f>
        <v>14.46</v>
      </c>
      <c r="AC1444" s="76"/>
    </row>
    <row r="1445" s="53" customFormat="1" ht="50" customHeight="1" spans="1:29">
      <c r="A1445" s="53" t="s">
        <v>2917</v>
      </c>
      <c r="B1445" s="77"/>
      <c r="C1445" s="76" t="s">
        <v>32</v>
      </c>
      <c r="D1445" s="76" t="s">
        <v>1190</v>
      </c>
      <c r="E1445" s="76" t="s">
        <v>2914</v>
      </c>
      <c r="F1445" s="76" t="s">
        <v>46</v>
      </c>
      <c r="G1445" s="76"/>
      <c r="H1445" s="76">
        <f>STOCK[[#This Row],[Precio Final]]</f>
        <v>25</v>
      </c>
      <c r="I1445" s="80">
        <f>STOCK[[#This Row],[Precio Venta Ideal (x1.5)]]</f>
        <v>21.69</v>
      </c>
      <c r="J1445" s="78">
        <v>2</v>
      </c>
      <c r="K1445" s="78">
        <f>SUMIFS(VENTAS[Cantidad],VENTAS[Código del producto Vendido],STOCK[[#This Row],[Code]])</f>
        <v>0</v>
      </c>
      <c r="L1445" s="78">
        <f>STOCK[[#This Row],[Entradas]]-STOCK[[#This Row],[Salidas]]</f>
        <v>2</v>
      </c>
      <c r="M1445" s="76">
        <f>STOCK[[#This Row],[Precio Final]]*10%</f>
        <v>2.5</v>
      </c>
      <c r="N1445" s="76">
        <v>0</v>
      </c>
      <c r="O1445" s="76">
        <v>0</v>
      </c>
      <c r="P1445" s="76">
        <v>10.31</v>
      </c>
      <c r="Q1445" s="78">
        <v>0</v>
      </c>
      <c r="R1445" s="76">
        <v>0</v>
      </c>
      <c r="S1445" s="76">
        <v>1.65</v>
      </c>
      <c r="T1445" s="76">
        <f>STOCK[[#This Row],[Costo Unitario (USD)]]+STOCK[[#This Row],[Costo Envío (USD)]]+STOCK[[#This Row],[Comisión 10%]]</f>
        <v>14.46</v>
      </c>
      <c r="U1445" s="53">
        <f>STOCK[[#This Row],[Costo total]]*1.5</f>
        <v>21.69</v>
      </c>
      <c r="V1445" s="76">
        <v>25</v>
      </c>
      <c r="W1445" s="76">
        <f>STOCK[[#This Row],[Precio Final]]-STOCK[[#This Row],[Costo total]]</f>
        <v>10.54</v>
      </c>
      <c r="X1445" s="76">
        <f>STOCK[[#This Row],[Ganancia Unitaria]]*STOCK[[#This Row],[Salidas]]</f>
        <v>0</v>
      </c>
      <c r="Y1445" s="76"/>
      <c r="Z1445" s="76"/>
      <c r="AA1445" s="54">
        <f>STOCK[[#This Row],[Costo total]]*STOCK[[#This Row],[Entradas]]</f>
        <v>28.92</v>
      </c>
      <c r="AB1445" s="54">
        <f>STOCK[[#This Row],[Stock Actual]]*STOCK[[#This Row],[Costo total]]</f>
        <v>28.92</v>
      </c>
      <c r="AC1445" s="76"/>
    </row>
    <row r="1446" s="53" customFormat="1" ht="50" customHeight="1" spans="1:29">
      <c r="A1446" s="53" t="s">
        <v>2918</v>
      </c>
      <c r="B1446" s="77"/>
      <c r="C1446" s="76" t="s">
        <v>32</v>
      </c>
      <c r="D1446" s="76" t="s">
        <v>1190</v>
      </c>
      <c r="E1446" s="76" t="s">
        <v>2919</v>
      </c>
      <c r="F1446" s="76" t="s">
        <v>40</v>
      </c>
      <c r="G1446" s="76"/>
      <c r="H1446" s="76">
        <f>STOCK[[#This Row],[Precio Final]]</f>
        <v>25</v>
      </c>
      <c r="I1446" s="80">
        <f>STOCK[[#This Row],[Precio Venta Ideal (x1.5)]]</f>
        <v>21.81</v>
      </c>
      <c r="J1446" s="78">
        <v>1</v>
      </c>
      <c r="K1446" s="78">
        <f>SUMIFS(VENTAS[Cantidad],VENTAS[Código del producto Vendido],STOCK[[#This Row],[Code]])</f>
        <v>0</v>
      </c>
      <c r="L1446" s="78">
        <f>STOCK[[#This Row],[Entradas]]-STOCK[[#This Row],[Salidas]]</f>
        <v>1</v>
      </c>
      <c r="M1446" s="76">
        <f>STOCK[[#This Row],[Precio Final]]*10%</f>
        <v>2.5</v>
      </c>
      <c r="N1446" s="76">
        <v>0</v>
      </c>
      <c r="O1446" s="76">
        <v>0</v>
      </c>
      <c r="P1446" s="76">
        <v>10.39</v>
      </c>
      <c r="Q1446" s="78">
        <v>0</v>
      </c>
      <c r="R1446" s="76">
        <v>0</v>
      </c>
      <c r="S1446" s="76">
        <v>1.65</v>
      </c>
      <c r="T1446" s="76">
        <f>STOCK[[#This Row],[Costo Unitario (USD)]]+STOCK[[#This Row],[Costo Envío (USD)]]+STOCK[[#This Row],[Comisión 10%]]</f>
        <v>14.54</v>
      </c>
      <c r="U1446" s="53">
        <f>STOCK[[#This Row],[Costo total]]*1.5</f>
        <v>21.81</v>
      </c>
      <c r="V1446" s="76">
        <v>25</v>
      </c>
      <c r="W1446" s="76">
        <f>STOCK[[#This Row],[Precio Final]]-STOCK[[#This Row],[Costo total]]</f>
        <v>10.46</v>
      </c>
      <c r="X1446" s="76">
        <f>STOCK[[#This Row],[Ganancia Unitaria]]*STOCK[[#This Row],[Salidas]]</f>
        <v>0</v>
      </c>
      <c r="Y1446" s="76"/>
      <c r="Z1446" s="76"/>
      <c r="AA1446" s="54">
        <f>STOCK[[#This Row],[Costo total]]*STOCK[[#This Row],[Entradas]]</f>
        <v>14.54</v>
      </c>
      <c r="AB1446" s="54">
        <f>STOCK[[#This Row],[Stock Actual]]*STOCK[[#This Row],[Costo total]]</f>
        <v>14.54</v>
      </c>
      <c r="AC1446" s="76"/>
    </row>
    <row r="1447" s="53" customFormat="1" ht="50" customHeight="1" spans="1:29">
      <c r="A1447" s="53" t="s">
        <v>2920</v>
      </c>
      <c r="B1447" s="77"/>
      <c r="C1447" s="76" t="s">
        <v>32</v>
      </c>
      <c r="D1447" s="76" t="s">
        <v>1190</v>
      </c>
      <c r="E1447" s="76" t="s">
        <v>2919</v>
      </c>
      <c r="F1447" s="76" t="s">
        <v>62</v>
      </c>
      <c r="G1447" s="76"/>
      <c r="H1447" s="76">
        <f>STOCK[[#This Row],[Precio Final]]</f>
        <v>25</v>
      </c>
      <c r="I1447" s="80">
        <f>STOCK[[#This Row],[Precio Venta Ideal (x1.5)]]</f>
        <v>21.81</v>
      </c>
      <c r="J1447" s="78">
        <v>2</v>
      </c>
      <c r="K1447" s="78">
        <f>SUMIFS(VENTAS[Cantidad],VENTAS[Código del producto Vendido],STOCK[[#This Row],[Code]])</f>
        <v>1</v>
      </c>
      <c r="L1447" s="78">
        <f>STOCK[[#This Row],[Entradas]]-STOCK[[#This Row],[Salidas]]</f>
        <v>1</v>
      </c>
      <c r="M1447" s="76">
        <f>STOCK[[#This Row],[Precio Final]]*10%</f>
        <v>2.5</v>
      </c>
      <c r="N1447" s="76">
        <v>0</v>
      </c>
      <c r="O1447" s="76">
        <v>0</v>
      </c>
      <c r="P1447" s="76">
        <v>10.39</v>
      </c>
      <c r="Q1447" s="78">
        <v>0</v>
      </c>
      <c r="R1447" s="76">
        <v>0</v>
      </c>
      <c r="S1447" s="76">
        <v>1.65</v>
      </c>
      <c r="T1447" s="76">
        <f>STOCK[[#This Row],[Costo Unitario (USD)]]+STOCK[[#This Row],[Costo Envío (USD)]]+STOCK[[#This Row],[Comisión 10%]]</f>
        <v>14.54</v>
      </c>
      <c r="U1447" s="53">
        <f>STOCK[[#This Row],[Costo total]]*1.5</f>
        <v>21.81</v>
      </c>
      <c r="V1447" s="76">
        <v>25</v>
      </c>
      <c r="W1447" s="76">
        <f>STOCK[[#This Row],[Precio Final]]-STOCK[[#This Row],[Costo total]]</f>
        <v>10.46</v>
      </c>
      <c r="X1447" s="76">
        <f>STOCK[[#This Row],[Ganancia Unitaria]]*STOCK[[#This Row],[Salidas]]</f>
        <v>10.46</v>
      </c>
      <c r="Y1447" s="76"/>
      <c r="Z1447" s="76"/>
      <c r="AA1447" s="54">
        <f>STOCK[[#This Row],[Costo total]]*STOCK[[#This Row],[Entradas]]</f>
        <v>29.08</v>
      </c>
      <c r="AB1447" s="54">
        <f>STOCK[[#This Row],[Stock Actual]]*STOCK[[#This Row],[Costo total]]</f>
        <v>14.54</v>
      </c>
      <c r="AC1447" s="76"/>
    </row>
    <row r="1448" s="53" customFormat="1" ht="50" customHeight="1" spans="1:29">
      <c r="A1448" s="53" t="s">
        <v>2921</v>
      </c>
      <c r="B1448" s="77"/>
      <c r="C1448" s="76" t="s">
        <v>32</v>
      </c>
      <c r="D1448" s="76" t="s">
        <v>1190</v>
      </c>
      <c r="E1448" s="76" t="s">
        <v>2919</v>
      </c>
      <c r="F1448" s="76" t="s">
        <v>49</v>
      </c>
      <c r="G1448" s="76"/>
      <c r="H1448" s="76">
        <f>STOCK[[#This Row],[Precio Final]]</f>
        <v>25</v>
      </c>
      <c r="I1448" s="80">
        <f>STOCK[[#This Row],[Precio Venta Ideal (x1.5)]]</f>
        <v>21.81</v>
      </c>
      <c r="J1448" s="78">
        <v>1</v>
      </c>
      <c r="K1448" s="78">
        <f>SUMIFS(VENTAS[Cantidad],VENTAS[Código del producto Vendido],STOCK[[#This Row],[Code]])</f>
        <v>0</v>
      </c>
      <c r="L1448" s="78">
        <f>STOCK[[#This Row],[Entradas]]-STOCK[[#This Row],[Salidas]]</f>
        <v>1</v>
      </c>
      <c r="M1448" s="76">
        <f>STOCK[[#This Row],[Precio Final]]*10%</f>
        <v>2.5</v>
      </c>
      <c r="N1448" s="76">
        <v>0</v>
      </c>
      <c r="O1448" s="76">
        <v>0</v>
      </c>
      <c r="P1448" s="76">
        <v>10.39</v>
      </c>
      <c r="Q1448" s="78">
        <v>0</v>
      </c>
      <c r="R1448" s="76">
        <v>0</v>
      </c>
      <c r="S1448" s="76">
        <v>1.65</v>
      </c>
      <c r="T1448" s="76">
        <f>STOCK[[#This Row],[Costo Unitario (USD)]]+STOCK[[#This Row],[Costo Envío (USD)]]+STOCK[[#This Row],[Comisión 10%]]</f>
        <v>14.54</v>
      </c>
      <c r="U1448" s="53">
        <f>STOCK[[#This Row],[Costo total]]*1.5</f>
        <v>21.81</v>
      </c>
      <c r="V1448" s="76">
        <v>25</v>
      </c>
      <c r="W1448" s="76">
        <f>STOCK[[#This Row],[Precio Final]]-STOCK[[#This Row],[Costo total]]</f>
        <v>10.46</v>
      </c>
      <c r="X1448" s="76">
        <f>STOCK[[#This Row],[Ganancia Unitaria]]*STOCK[[#This Row],[Salidas]]</f>
        <v>0</v>
      </c>
      <c r="Y1448" s="76"/>
      <c r="Z1448" s="76"/>
      <c r="AA1448" s="54">
        <f>STOCK[[#This Row],[Costo total]]*STOCK[[#This Row],[Entradas]]</f>
        <v>14.54</v>
      </c>
      <c r="AB1448" s="54">
        <f>STOCK[[#This Row],[Stock Actual]]*STOCK[[#This Row],[Costo total]]</f>
        <v>14.54</v>
      </c>
      <c r="AC1448" s="76"/>
    </row>
    <row r="1449" s="53" customFormat="1" ht="50" customHeight="1" spans="1:29">
      <c r="A1449" s="53" t="s">
        <v>2922</v>
      </c>
      <c r="B1449" s="77"/>
      <c r="C1449" s="76" t="s">
        <v>32</v>
      </c>
      <c r="D1449" s="76" t="s">
        <v>1190</v>
      </c>
      <c r="E1449" s="76" t="s">
        <v>2919</v>
      </c>
      <c r="F1449" s="76" t="s">
        <v>46</v>
      </c>
      <c r="G1449" s="76"/>
      <c r="H1449" s="76">
        <f>STOCK[[#This Row],[Precio Final]]</f>
        <v>25</v>
      </c>
      <c r="I1449" s="80">
        <f>STOCK[[#This Row],[Precio Venta Ideal (x1.5)]]</f>
        <v>21.81</v>
      </c>
      <c r="J1449" s="78">
        <v>1</v>
      </c>
      <c r="K1449" s="78">
        <f>SUMIFS(VENTAS[Cantidad],VENTAS[Código del producto Vendido],STOCK[[#This Row],[Code]])</f>
        <v>0</v>
      </c>
      <c r="L1449" s="78">
        <f>STOCK[[#This Row],[Entradas]]-STOCK[[#This Row],[Salidas]]</f>
        <v>1</v>
      </c>
      <c r="M1449" s="76">
        <f>STOCK[[#This Row],[Precio Final]]*10%</f>
        <v>2.5</v>
      </c>
      <c r="N1449" s="76">
        <v>0</v>
      </c>
      <c r="O1449" s="76">
        <v>0</v>
      </c>
      <c r="P1449" s="76">
        <v>10.39</v>
      </c>
      <c r="Q1449" s="78">
        <v>0</v>
      </c>
      <c r="R1449" s="76">
        <v>0</v>
      </c>
      <c r="S1449" s="76">
        <v>1.65</v>
      </c>
      <c r="T1449" s="76">
        <f>STOCK[[#This Row],[Costo Unitario (USD)]]+STOCK[[#This Row],[Costo Envío (USD)]]+STOCK[[#This Row],[Comisión 10%]]</f>
        <v>14.54</v>
      </c>
      <c r="U1449" s="53">
        <f>STOCK[[#This Row],[Costo total]]*1.5</f>
        <v>21.81</v>
      </c>
      <c r="V1449" s="76">
        <v>25</v>
      </c>
      <c r="W1449" s="76">
        <f>STOCK[[#This Row],[Precio Final]]-STOCK[[#This Row],[Costo total]]</f>
        <v>10.46</v>
      </c>
      <c r="X1449" s="76">
        <f>STOCK[[#This Row],[Ganancia Unitaria]]*STOCK[[#This Row],[Salidas]]</f>
        <v>0</v>
      </c>
      <c r="Y1449" s="76"/>
      <c r="Z1449" s="76"/>
      <c r="AA1449" s="54">
        <f>STOCK[[#This Row],[Costo total]]*STOCK[[#This Row],[Entradas]]</f>
        <v>14.54</v>
      </c>
      <c r="AB1449" s="54">
        <f>STOCK[[#This Row],[Stock Actual]]*STOCK[[#This Row],[Costo total]]</f>
        <v>14.54</v>
      </c>
      <c r="AC1449" s="76"/>
    </row>
    <row r="1450" s="53" customFormat="1" ht="50" customHeight="1" spans="1:29">
      <c r="A1450" s="53" t="s">
        <v>2923</v>
      </c>
      <c r="B1450" s="77"/>
      <c r="C1450" s="76" t="s">
        <v>32</v>
      </c>
      <c r="D1450" s="76" t="s">
        <v>174</v>
      </c>
      <c r="E1450" s="76" t="s">
        <v>2924</v>
      </c>
      <c r="F1450" s="76" t="s">
        <v>40</v>
      </c>
      <c r="G1450" s="76"/>
      <c r="H1450" s="76">
        <f>STOCK[[#This Row],[Precio Final]]</f>
        <v>0</v>
      </c>
      <c r="I1450" s="80" t="e">
        <f>STOCK[[#This Row],[Precio Venta Ideal (x1.5)]]</f>
        <v>#DIV/0!</v>
      </c>
      <c r="J1450" s="78">
        <v>0</v>
      </c>
      <c r="K1450" s="78">
        <f>SUMIFS(VENTAS[Cantidad],VENTAS[Código del producto Vendido],STOCK[[#This Row],[Code]])</f>
        <v>0</v>
      </c>
      <c r="L1450" s="78">
        <f>STOCK[[#This Row],[Entradas]]-STOCK[[#This Row],[Salidas]]</f>
        <v>0</v>
      </c>
      <c r="M1450" s="76">
        <f>STOCK[[#This Row],[Precio Final]]*10%</f>
        <v>0</v>
      </c>
      <c r="N1450" s="76">
        <v>0</v>
      </c>
      <c r="O1450" s="76">
        <v>0</v>
      </c>
      <c r="P1450" s="76" t="e">
        <f>N1450/O1450</f>
        <v>#DIV/0!</v>
      </c>
      <c r="Q1450" s="78">
        <v>0</v>
      </c>
      <c r="R1450" s="76">
        <v>0</v>
      </c>
      <c r="S1450" s="76">
        <v>1.65</v>
      </c>
      <c r="T1450" s="76" t="e">
        <f>STOCK[[#This Row],[Costo Unitario (USD)]]+STOCK[[#This Row],[Costo Envío (USD)]]+STOCK[[#This Row],[Comisión 10%]]</f>
        <v>#DIV/0!</v>
      </c>
      <c r="U1450" s="53" t="e">
        <f>STOCK[[#This Row],[Costo total]]*1.5</f>
        <v>#DIV/0!</v>
      </c>
      <c r="V1450" s="76"/>
      <c r="W1450" s="76" t="e">
        <f>STOCK[[#This Row],[Precio Final]]-STOCK[[#This Row],[Costo total]]</f>
        <v>#DIV/0!</v>
      </c>
      <c r="X1450" s="76" t="e">
        <f>STOCK[[#This Row],[Ganancia Unitaria]]*STOCK[[#This Row],[Salidas]]</f>
        <v>#DIV/0!</v>
      </c>
      <c r="Y1450" s="76"/>
      <c r="Z1450" s="76"/>
      <c r="AA1450" s="54" t="e">
        <f>STOCK[[#This Row],[Costo total]]*STOCK[[#This Row],[Entradas]]</f>
        <v>#DIV/0!</v>
      </c>
      <c r="AB1450" s="54" t="e">
        <f>STOCK[[#This Row],[Stock Actual]]*STOCK[[#This Row],[Costo total]]</f>
        <v>#DIV/0!</v>
      </c>
      <c r="AC1450" s="76"/>
    </row>
    <row r="1451" s="53" customFormat="1" ht="50" customHeight="1" spans="1:29">
      <c r="A1451" s="53" t="s">
        <v>2925</v>
      </c>
      <c r="B1451" s="77"/>
      <c r="C1451" s="76" t="s">
        <v>32</v>
      </c>
      <c r="D1451" s="76" t="s">
        <v>1190</v>
      </c>
      <c r="E1451" s="76" t="s">
        <v>2924</v>
      </c>
      <c r="F1451" s="76" t="s">
        <v>46</v>
      </c>
      <c r="G1451" s="76"/>
      <c r="H1451" s="76">
        <f>STOCK[[#This Row],[Precio Final]]</f>
        <v>0</v>
      </c>
      <c r="I1451" s="80" t="e">
        <f>STOCK[[#This Row],[Precio Venta Ideal (x1.5)]]</f>
        <v>#DIV/0!</v>
      </c>
      <c r="J1451" s="78">
        <v>0</v>
      </c>
      <c r="K1451" s="78">
        <f>SUMIFS(VENTAS[Cantidad],VENTAS[Código del producto Vendido],STOCK[[#This Row],[Code]])</f>
        <v>0</v>
      </c>
      <c r="L1451" s="78">
        <f>STOCK[[#This Row],[Entradas]]-STOCK[[#This Row],[Salidas]]</f>
        <v>0</v>
      </c>
      <c r="M1451" s="76">
        <f>STOCK[[#This Row],[Precio Final]]*10%</f>
        <v>0</v>
      </c>
      <c r="N1451" s="76">
        <v>0</v>
      </c>
      <c r="O1451" s="76">
        <v>0</v>
      </c>
      <c r="P1451" s="76" t="e">
        <f>N1451/O1451</f>
        <v>#DIV/0!</v>
      </c>
      <c r="Q1451" s="78">
        <v>0</v>
      </c>
      <c r="R1451" s="76">
        <v>0</v>
      </c>
      <c r="S1451" s="76">
        <v>1.65</v>
      </c>
      <c r="T1451" s="76" t="e">
        <f>STOCK[[#This Row],[Costo Unitario (USD)]]+STOCK[[#This Row],[Costo Envío (USD)]]+STOCK[[#This Row],[Comisión 10%]]</f>
        <v>#DIV/0!</v>
      </c>
      <c r="U1451" s="53" t="e">
        <f>STOCK[[#This Row],[Costo total]]*1.5</f>
        <v>#DIV/0!</v>
      </c>
      <c r="V1451" s="76"/>
      <c r="W1451" s="76" t="e">
        <f>STOCK[[#This Row],[Precio Final]]-STOCK[[#This Row],[Costo total]]</f>
        <v>#DIV/0!</v>
      </c>
      <c r="X1451" s="76" t="e">
        <f>STOCK[[#This Row],[Ganancia Unitaria]]*STOCK[[#This Row],[Salidas]]</f>
        <v>#DIV/0!</v>
      </c>
      <c r="Y1451" s="76"/>
      <c r="Z1451" s="76"/>
      <c r="AA1451" s="54" t="e">
        <f>STOCK[[#This Row],[Costo total]]*STOCK[[#This Row],[Entradas]]</f>
        <v>#DIV/0!</v>
      </c>
      <c r="AB1451" s="54" t="e">
        <f>STOCK[[#This Row],[Stock Actual]]*STOCK[[#This Row],[Costo total]]</f>
        <v>#DIV/0!</v>
      </c>
      <c r="AC1451" s="76"/>
    </row>
    <row r="1452" s="53" customFormat="1" ht="50" customHeight="1" spans="1:29">
      <c r="A1452" s="53" t="s">
        <v>2926</v>
      </c>
      <c r="B1452" s="77"/>
      <c r="C1452" s="76" t="s">
        <v>32</v>
      </c>
      <c r="D1452" s="76" t="s">
        <v>1190</v>
      </c>
      <c r="E1452" s="76" t="s">
        <v>2927</v>
      </c>
      <c r="F1452" s="76" t="s">
        <v>40</v>
      </c>
      <c r="G1452" s="76"/>
      <c r="H1452" s="76">
        <f>STOCK[[#This Row],[Precio Final]]</f>
        <v>8</v>
      </c>
      <c r="I1452" s="80">
        <f>STOCK[[#This Row],[Precio Venta Ideal (x1.5)]]</f>
        <v>7.11</v>
      </c>
      <c r="J1452" s="78">
        <v>2</v>
      </c>
      <c r="K1452" s="78">
        <f>SUMIFS(VENTAS[Cantidad],VENTAS[Código del producto Vendido],STOCK[[#This Row],[Code]])</f>
        <v>0</v>
      </c>
      <c r="L1452" s="78">
        <f>STOCK[[#This Row],[Entradas]]-STOCK[[#This Row],[Salidas]]</f>
        <v>2</v>
      </c>
      <c r="M1452" s="76">
        <f>STOCK[[#This Row],[Precio Final]]*10%</f>
        <v>0.8</v>
      </c>
      <c r="N1452" s="76">
        <v>0</v>
      </c>
      <c r="O1452" s="76">
        <v>0</v>
      </c>
      <c r="P1452" s="76">
        <v>2.29</v>
      </c>
      <c r="Q1452" s="78">
        <v>0</v>
      </c>
      <c r="R1452" s="76">
        <v>0</v>
      </c>
      <c r="S1452" s="76">
        <v>1.65</v>
      </c>
      <c r="T1452" s="76">
        <f>STOCK[[#This Row],[Costo Unitario (USD)]]+STOCK[[#This Row],[Costo Envío (USD)]]+STOCK[[#This Row],[Comisión 10%]]</f>
        <v>4.74</v>
      </c>
      <c r="U1452" s="53">
        <f>STOCK[[#This Row],[Costo total]]*1.5</f>
        <v>7.11</v>
      </c>
      <c r="V1452" s="76">
        <v>8</v>
      </c>
      <c r="W1452" s="76">
        <f>STOCK[[#This Row],[Precio Final]]-STOCK[[#This Row],[Costo total]]</f>
        <v>3.26</v>
      </c>
      <c r="X1452" s="76">
        <f>STOCK[[#This Row],[Ganancia Unitaria]]*STOCK[[#This Row],[Salidas]]</f>
        <v>0</v>
      </c>
      <c r="Y1452" s="76"/>
      <c r="Z1452" s="76"/>
      <c r="AA1452" s="54">
        <f>STOCK[[#This Row],[Costo total]]*STOCK[[#This Row],[Entradas]]</f>
        <v>9.48</v>
      </c>
      <c r="AB1452" s="54">
        <f>STOCK[[#This Row],[Stock Actual]]*STOCK[[#This Row],[Costo total]]</f>
        <v>9.48</v>
      </c>
      <c r="AC1452" s="76"/>
    </row>
    <row r="1453" s="53" customFormat="1" ht="50" customHeight="1" spans="1:29">
      <c r="A1453" s="53" t="s">
        <v>2928</v>
      </c>
      <c r="B1453" s="77"/>
      <c r="C1453" s="76" t="s">
        <v>32</v>
      </c>
      <c r="D1453" s="76" t="s">
        <v>1190</v>
      </c>
      <c r="E1453" s="76" t="s">
        <v>2927</v>
      </c>
      <c r="F1453" s="76" t="s">
        <v>46</v>
      </c>
      <c r="G1453" s="76"/>
      <c r="H1453" s="76">
        <f>STOCK[[#This Row],[Precio Final]]</f>
        <v>8</v>
      </c>
      <c r="I1453" s="80">
        <f>STOCK[[#This Row],[Precio Venta Ideal (x1.5)]]</f>
        <v>7.11</v>
      </c>
      <c r="J1453" s="78">
        <v>2</v>
      </c>
      <c r="K1453" s="78">
        <f>SUMIFS(VENTAS[Cantidad],VENTAS[Código del producto Vendido],STOCK[[#This Row],[Code]])</f>
        <v>1</v>
      </c>
      <c r="L1453" s="78">
        <f>STOCK[[#This Row],[Entradas]]-STOCK[[#This Row],[Salidas]]</f>
        <v>1</v>
      </c>
      <c r="M1453" s="76">
        <f>STOCK[[#This Row],[Precio Final]]*10%</f>
        <v>0.8</v>
      </c>
      <c r="N1453" s="76">
        <v>0</v>
      </c>
      <c r="O1453" s="76">
        <v>0</v>
      </c>
      <c r="P1453" s="76">
        <v>2.29</v>
      </c>
      <c r="Q1453" s="78">
        <v>0</v>
      </c>
      <c r="R1453" s="76">
        <v>0</v>
      </c>
      <c r="S1453" s="76">
        <v>1.65</v>
      </c>
      <c r="T1453" s="76">
        <f>STOCK[[#This Row],[Costo Unitario (USD)]]+STOCK[[#This Row],[Costo Envío (USD)]]+STOCK[[#This Row],[Comisión 10%]]</f>
        <v>4.74</v>
      </c>
      <c r="U1453" s="53">
        <f>STOCK[[#This Row],[Costo total]]*1.5</f>
        <v>7.11</v>
      </c>
      <c r="V1453" s="76">
        <v>8</v>
      </c>
      <c r="W1453" s="76">
        <f>STOCK[[#This Row],[Precio Final]]-STOCK[[#This Row],[Costo total]]</f>
        <v>3.26</v>
      </c>
      <c r="X1453" s="76">
        <f>STOCK[[#This Row],[Ganancia Unitaria]]*STOCK[[#This Row],[Salidas]]</f>
        <v>3.26</v>
      </c>
      <c r="Y1453" s="76"/>
      <c r="Z1453" s="76"/>
      <c r="AA1453" s="54">
        <f>STOCK[[#This Row],[Costo total]]*STOCK[[#This Row],[Entradas]]</f>
        <v>9.48</v>
      </c>
      <c r="AB1453" s="54">
        <f>STOCK[[#This Row],[Stock Actual]]*STOCK[[#This Row],[Costo total]]</f>
        <v>4.74</v>
      </c>
      <c r="AC1453" s="76"/>
    </row>
    <row r="1454" s="53" customFormat="1" ht="50" customHeight="1" spans="1:29">
      <c r="A1454" s="53" t="s">
        <v>2929</v>
      </c>
      <c r="B1454" s="77"/>
      <c r="C1454" s="76" t="s">
        <v>32</v>
      </c>
      <c r="D1454" s="76" t="s">
        <v>2845</v>
      </c>
      <c r="E1454" s="76" t="s">
        <v>2930</v>
      </c>
      <c r="F1454" s="76" t="s">
        <v>40</v>
      </c>
      <c r="G1454" s="76"/>
      <c r="H1454" s="76">
        <f>STOCK[[#This Row],[Precio Final]]</f>
        <v>30</v>
      </c>
      <c r="I1454" s="80">
        <f>STOCK[[#This Row],[Precio Venta Ideal (x1.5)]]</f>
        <v>23.19</v>
      </c>
      <c r="J1454" s="78">
        <v>2</v>
      </c>
      <c r="K1454" s="78">
        <f>SUMIFS(VENTAS[Cantidad],VENTAS[Código del producto Vendido],STOCK[[#This Row],[Code]])</f>
        <v>2</v>
      </c>
      <c r="L1454" s="78">
        <f>STOCK[[#This Row],[Entradas]]-STOCK[[#This Row],[Salidas]]</f>
        <v>0</v>
      </c>
      <c r="M1454" s="76">
        <f>STOCK[[#This Row],[Precio Final]]*10%</f>
        <v>3</v>
      </c>
      <c r="N1454" s="76">
        <v>0</v>
      </c>
      <c r="O1454" s="76">
        <v>0</v>
      </c>
      <c r="P1454" s="76">
        <v>10.81</v>
      </c>
      <c r="Q1454" s="78">
        <v>0</v>
      </c>
      <c r="R1454" s="76">
        <v>0</v>
      </c>
      <c r="S1454" s="76">
        <v>1.65</v>
      </c>
      <c r="T1454" s="76">
        <f>STOCK[[#This Row],[Costo Unitario (USD)]]+STOCK[[#This Row],[Costo Envío (USD)]]+STOCK[[#This Row],[Comisión 10%]]</f>
        <v>15.46</v>
      </c>
      <c r="U1454" s="53">
        <f>STOCK[[#This Row],[Costo total]]*1.5</f>
        <v>23.19</v>
      </c>
      <c r="V1454" s="76">
        <v>30</v>
      </c>
      <c r="W1454" s="76">
        <f>STOCK[[#This Row],[Precio Final]]-STOCK[[#This Row],[Costo total]]</f>
        <v>14.54</v>
      </c>
      <c r="X1454" s="76">
        <f>STOCK[[#This Row],[Ganancia Unitaria]]*STOCK[[#This Row],[Salidas]]</f>
        <v>29.08</v>
      </c>
      <c r="Y1454" s="76"/>
      <c r="Z1454" s="76"/>
      <c r="AA1454" s="54">
        <f>STOCK[[#This Row],[Costo total]]*STOCK[[#This Row],[Entradas]]</f>
        <v>30.92</v>
      </c>
      <c r="AB1454" s="54">
        <f>STOCK[[#This Row],[Stock Actual]]*STOCK[[#This Row],[Costo total]]</f>
        <v>0</v>
      </c>
      <c r="AC1454" s="76"/>
    </row>
    <row r="1455" s="53" customFormat="1" ht="50" customHeight="1" spans="1:29">
      <c r="A1455" s="53" t="s">
        <v>2931</v>
      </c>
      <c r="B1455" s="77"/>
      <c r="C1455" s="76" t="s">
        <v>32</v>
      </c>
      <c r="D1455" s="76" t="s">
        <v>2845</v>
      </c>
      <c r="E1455" s="76" t="s">
        <v>2930</v>
      </c>
      <c r="F1455" s="76" t="s">
        <v>62</v>
      </c>
      <c r="G1455" s="76"/>
      <c r="H1455" s="76">
        <f>STOCK[[#This Row],[Precio Final]]</f>
        <v>30</v>
      </c>
      <c r="I1455" s="80">
        <f>STOCK[[#This Row],[Precio Venta Ideal (x1.5)]]</f>
        <v>23.205</v>
      </c>
      <c r="J1455" s="78">
        <v>2</v>
      </c>
      <c r="K1455" s="78">
        <f>SUMIFS(VENTAS[Cantidad],VENTAS[Código del producto Vendido],STOCK[[#This Row],[Code]])</f>
        <v>2</v>
      </c>
      <c r="L1455" s="78">
        <f>STOCK[[#This Row],[Entradas]]-STOCK[[#This Row],[Salidas]]</f>
        <v>0</v>
      </c>
      <c r="M1455" s="76">
        <f>STOCK[[#This Row],[Precio Final]]*10%</f>
        <v>3</v>
      </c>
      <c r="N1455" s="76">
        <v>0</v>
      </c>
      <c r="O1455" s="76">
        <v>0</v>
      </c>
      <c r="P1455" s="76">
        <v>10.82</v>
      </c>
      <c r="Q1455" s="78">
        <v>0</v>
      </c>
      <c r="R1455" s="76">
        <v>0</v>
      </c>
      <c r="S1455" s="76">
        <v>1.65</v>
      </c>
      <c r="T1455" s="76">
        <f>STOCK[[#This Row],[Costo Unitario (USD)]]+STOCK[[#This Row],[Costo Envío (USD)]]+STOCK[[#This Row],[Comisión 10%]]</f>
        <v>15.47</v>
      </c>
      <c r="U1455" s="53">
        <f>STOCK[[#This Row],[Costo total]]*1.5</f>
        <v>23.205</v>
      </c>
      <c r="V1455" s="76">
        <v>30</v>
      </c>
      <c r="W1455" s="76">
        <f>STOCK[[#This Row],[Precio Final]]-STOCK[[#This Row],[Costo total]]</f>
        <v>14.53</v>
      </c>
      <c r="X1455" s="76">
        <f>STOCK[[#This Row],[Ganancia Unitaria]]*STOCK[[#This Row],[Salidas]]</f>
        <v>29.06</v>
      </c>
      <c r="Y1455" s="76"/>
      <c r="Z1455" s="76"/>
      <c r="AA1455" s="54">
        <f>STOCK[[#This Row],[Costo total]]*STOCK[[#This Row],[Entradas]]</f>
        <v>30.94</v>
      </c>
      <c r="AB1455" s="54">
        <f>STOCK[[#This Row],[Stock Actual]]*STOCK[[#This Row],[Costo total]]</f>
        <v>0</v>
      </c>
      <c r="AC1455" s="76"/>
    </row>
    <row r="1456" s="53" customFormat="1" ht="50" customHeight="1" spans="1:29">
      <c r="A1456" s="53" t="s">
        <v>2932</v>
      </c>
      <c r="B1456" s="77"/>
      <c r="C1456" s="76" t="s">
        <v>32</v>
      </c>
      <c r="D1456" s="76" t="s">
        <v>2845</v>
      </c>
      <c r="E1456" s="76" t="s">
        <v>2930</v>
      </c>
      <c r="F1456" s="76" t="s">
        <v>49</v>
      </c>
      <c r="G1456" s="76"/>
      <c r="H1456" s="76">
        <f>STOCK[[#This Row],[Precio Final]]</f>
        <v>30</v>
      </c>
      <c r="I1456" s="80">
        <f>STOCK[[#This Row],[Precio Venta Ideal (x1.5)]]</f>
        <v>23.205</v>
      </c>
      <c r="J1456" s="78">
        <v>3</v>
      </c>
      <c r="K1456" s="78">
        <f>SUMIFS(VENTAS[Cantidad],VENTAS[Código del producto Vendido],STOCK[[#This Row],[Code]])</f>
        <v>3</v>
      </c>
      <c r="L1456" s="78">
        <f>STOCK[[#This Row],[Entradas]]-STOCK[[#This Row],[Salidas]]</f>
        <v>0</v>
      </c>
      <c r="M1456" s="76">
        <f>STOCK[[#This Row],[Precio Final]]*10%</f>
        <v>3</v>
      </c>
      <c r="N1456" s="76">
        <v>0</v>
      </c>
      <c r="O1456" s="76">
        <v>0</v>
      </c>
      <c r="P1456" s="76">
        <v>10.82</v>
      </c>
      <c r="Q1456" s="78">
        <v>0</v>
      </c>
      <c r="R1456" s="76">
        <v>0</v>
      </c>
      <c r="S1456" s="76">
        <v>1.65</v>
      </c>
      <c r="T1456" s="76">
        <f>STOCK[[#This Row],[Costo Unitario (USD)]]+STOCK[[#This Row],[Costo Envío (USD)]]+STOCK[[#This Row],[Comisión 10%]]</f>
        <v>15.47</v>
      </c>
      <c r="U1456" s="53">
        <f>STOCK[[#This Row],[Costo total]]*1.5</f>
        <v>23.205</v>
      </c>
      <c r="V1456" s="76">
        <v>30</v>
      </c>
      <c r="W1456" s="76">
        <f>STOCK[[#This Row],[Precio Final]]-STOCK[[#This Row],[Costo total]]</f>
        <v>14.53</v>
      </c>
      <c r="X1456" s="76">
        <f>STOCK[[#This Row],[Ganancia Unitaria]]*STOCK[[#This Row],[Salidas]]</f>
        <v>43.59</v>
      </c>
      <c r="Y1456" s="76"/>
      <c r="Z1456" s="76"/>
      <c r="AA1456" s="54">
        <f>STOCK[[#This Row],[Costo total]]*STOCK[[#This Row],[Entradas]]</f>
        <v>46.41</v>
      </c>
      <c r="AB1456" s="54">
        <f>STOCK[[#This Row],[Stock Actual]]*STOCK[[#This Row],[Costo total]]</f>
        <v>0</v>
      </c>
      <c r="AC1456" s="76"/>
    </row>
    <row r="1457" s="53" customFormat="1" ht="50" customHeight="1" spans="1:29">
      <c r="A1457" s="53" t="s">
        <v>2933</v>
      </c>
      <c r="B1457" s="77"/>
      <c r="C1457" s="76" t="s">
        <v>32</v>
      </c>
      <c r="D1457" s="76" t="s">
        <v>2845</v>
      </c>
      <c r="E1457" s="76" t="s">
        <v>2930</v>
      </c>
      <c r="F1457" s="76" t="s">
        <v>46</v>
      </c>
      <c r="G1457" s="76"/>
      <c r="H1457" s="76">
        <f>STOCK[[#This Row],[Precio Final]]</f>
        <v>30</v>
      </c>
      <c r="I1457" s="80">
        <f>STOCK[[#This Row],[Precio Venta Ideal (x1.5)]]</f>
        <v>23.19</v>
      </c>
      <c r="J1457" s="78">
        <v>2</v>
      </c>
      <c r="K1457" s="78">
        <f>SUMIFS(VENTAS[Cantidad],VENTAS[Código del producto Vendido],STOCK[[#This Row],[Code]])</f>
        <v>2</v>
      </c>
      <c r="L1457" s="78">
        <f>STOCK[[#This Row],[Entradas]]-STOCK[[#This Row],[Salidas]]</f>
        <v>0</v>
      </c>
      <c r="M1457" s="76">
        <f>STOCK[[#This Row],[Precio Final]]*10%</f>
        <v>3</v>
      </c>
      <c r="N1457" s="76">
        <v>0</v>
      </c>
      <c r="O1457" s="76">
        <v>0</v>
      </c>
      <c r="P1457" s="76">
        <v>10.81</v>
      </c>
      <c r="Q1457" s="78">
        <v>0</v>
      </c>
      <c r="R1457" s="76">
        <v>0</v>
      </c>
      <c r="S1457" s="76">
        <v>1.65</v>
      </c>
      <c r="T1457" s="76">
        <f>STOCK[[#This Row],[Costo Unitario (USD)]]+STOCK[[#This Row],[Costo Envío (USD)]]+STOCK[[#This Row],[Comisión 10%]]</f>
        <v>15.46</v>
      </c>
      <c r="U1457" s="53">
        <f>STOCK[[#This Row],[Costo total]]*1.5</f>
        <v>23.19</v>
      </c>
      <c r="V1457" s="76">
        <v>30</v>
      </c>
      <c r="W1457" s="76">
        <f>STOCK[[#This Row],[Precio Final]]-STOCK[[#This Row],[Costo total]]</f>
        <v>14.54</v>
      </c>
      <c r="X1457" s="76">
        <f>STOCK[[#This Row],[Ganancia Unitaria]]*STOCK[[#This Row],[Salidas]]</f>
        <v>29.08</v>
      </c>
      <c r="Y1457" s="76"/>
      <c r="Z1457" s="76"/>
      <c r="AA1457" s="54">
        <f>STOCK[[#This Row],[Costo total]]*STOCK[[#This Row],[Entradas]]</f>
        <v>30.92</v>
      </c>
      <c r="AB1457" s="54">
        <f>STOCK[[#This Row],[Stock Actual]]*STOCK[[#This Row],[Costo total]]</f>
        <v>0</v>
      </c>
      <c r="AC1457" s="76"/>
    </row>
    <row r="1458" s="53" customFormat="1" ht="50" customHeight="1" spans="1:29">
      <c r="A1458" s="53" t="s">
        <v>2934</v>
      </c>
      <c r="B1458" s="77"/>
      <c r="C1458" s="76" t="s">
        <v>32</v>
      </c>
      <c r="D1458" s="76" t="s">
        <v>2845</v>
      </c>
      <c r="E1458" s="76" t="s">
        <v>2930</v>
      </c>
      <c r="F1458" s="76" t="s">
        <v>42</v>
      </c>
      <c r="G1458" s="76"/>
      <c r="H1458" s="76">
        <f>STOCK[[#This Row],[Precio Final]]</f>
        <v>30</v>
      </c>
      <c r="I1458" s="80">
        <f>STOCK[[#This Row],[Precio Venta Ideal (x1.5)]]</f>
        <v>23.19</v>
      </c>
      <c r="J1458" s="78">
        <v>2</v>
      </c>
      <c r="K1458" s="78">
        <f>SUMIFS(VENTAS[Cantidad],VENTAS[Código del producto Vendido],STOCK[[#This Row],[Code]])</f>
        <v>3</v>
      </c>
      <c r="L1458" s="78">
        <f>STOCK[[#This Row],[Entradas]]-STOCK[[#This Row],[Salidas]]</f>
        <v>-1</v>
      </c>
      <c r="M1458" s="76">
        <f>STOCK[[#This Row],[Precio Final]]*10%</f>
        <v>3</v>
      </c>
      <c r="N1458" s="76">
        <v>0</v>
      </c>
      <c r="O1458" s="76">
        <v>0</v>
      </c>
      <c r="P1458" s="76">
        <v>10.81</v>
      </c>
      <c r="Q1458" s="78">
        <v>0</v>
      </c>
      <c r="R1458" s="76">
        <v>0</v>
      </c>
      <c r="S1458" s="76">
        <v>1.65</v>
      </c>
      <c r="T1458" s="76">
        <f>STOCK[[#This Row],[Costo Unitario (USD)]]+STOCK[[#This Row],[Costo Envío (USD)]]+STOCK[[#This Row],[Comisión 10%]]</f>
        <v>15.46</v>
      </c>
      <c r="U1458" s="53">
        <f>STOCK[[#This Row],[Costo total]]*1.5</f>
        <v>23.19</v>
      </c>
      <c r="V1458" s="76">
        <v>30</v>
      </c>
      <c r="W1458" s="76">
        <f>STOCK[[#This Row],[Precio Final]]-STOCK[[#This Row],[Costo total]]</f>
        <v>14.54</v>
      </c>
      <c r="X1458" s="76">
        <f>STOCK[[#This Row],[Ganancia Unitaria]]*STOCK[[#This Row],[Salidas]]</f>
        <v>43.62</v>
      </c>
      <c r="Y1458" s="76"/>
      <c r="Z1458" s="76"/>
      <c r="AA1458" s="54">
        <f>STOCK[[#This Row],[Costo total]]*STOCK[[#This Row],[Entradas]]</f>
        <v>30.92</v>
      </c>
      <c r="AB1458" s="54">
        <f>STOCK[[#This Row],[Stock Actual]]*STOCK[[#This Row],[Costo total]]</f>
        <v>-15.46</v>
      </c>
      <c r="AC1458" s="76"/>
    </row>
    <row r="1459" s="53" customFormat="1" ht="50" customHeight="1" spans="1:29">
      <c r="A1459" s="53" t="s">
        <v>2935</v>
      </c>
      <c r="B1459" s="77"/>
      <c r="C1459" s="76" t="s">
        <v>32</v>
      </c>
      <c r="D1459" s="76" t="s">
        <v>1226</v>
      </c>
      <c r="E1459" s="76" t="s">
        <v>2936</v>
      </c>
      <c r="F1459" s="76" t="s">
        <v>540</v>
      </c>
      <c r="G1459" s="76"/>
      <c r="H1459" s="76">
        <f>STOCK[[#This Row],[Precio Final]]</f>
        <v>18</v>
      </c>
      <c r="I1459" s="80">
        <f>STOCK[[#This Row],[Precio Venta Ideal (x1.5)]]</f>
        <v>16.89</v>
      </c>
      <c r="J1459" s="78">
        <v>1</v>
      </c>
      <c r="K1459" s="78">
        <f>SUMIFS(VENTAS[Cantidad],VENTAS[Código del producto Vendido],STOCK[[#This Row],[Code]])</f>
        <v>2</v>
      </c>
      <c r="L1459" s="78">
        <f>STOCK[[#This Row],[Entradas]]-STOCK[[#This Row],[Salidas]]</f>
        <v>-1</v>
      </c>
      <c r="M1459" s="76">
        <f>STOCK[[#This Row],[Precio Final]]*10%</f>
        <v>1.8</v>
      </c>
      <c r="N1459" s="76">
        <v>0</v>
      </c>
      <c r="O1459" s="76">
        <v>0</v>
      </c>
      <c r="P1459" s="76">
        <v>7.81</v>
      </c>
      <c r="Q1459" s="78">
        <v>0</v>
      </c>
      <c r="R1459" s="76">
        <v>0</v>
      </c>
      <c r="S1459" s="76">
        <v>1.65</v>
      </c>
      <c r="T1459" s="76">
        <f>STOCK[[#This Row],[Costo Unitario (USD)]]+STOCK[[#This Row],[Costo Envío (USD)]]+STOCK[[#This Row],[Comisión 10%]]</f>
        <v>11.26</v>
      </c>
      <c r="U1459" s="53">
        <f>STOCK[[#This Row],[Costo total]]*1.5</f>
        <v>16.89</v>
      </c>
      <c r="V1459" s="76">
        <v>18</v>
      </c>
      <c r="W1459" s="76">
        <f>STOCK[[#This Row],[Precio Final]]-STOCK[[#This Row],[Costo total]]</f>
        <v>6.74</v>
      </c>
      <c r="X1459" s="76">
        <f>STOCK[[#This Row],[Ganancia Unitaria]]*STOCK[[#This Row],[Salidas]]</f>
        <v>13.48</v>
      </c>
      <c r="Y1459" s="76"/>
      <c r="Z1459" s="76"/>
      <c r="AA1459" s="54">
        <f>STOCK[[#This Row],[Costo total]]*STOCK[[#This Row],[Entradas]]</f>
        <v>11.26</v>
      </c>
      <c r="AB1459" s="54">
        <f>STOCK[[#This Row],[Stock Actual]]*STOCK[[#This Row],[Costo total]]</f>
        <v>-11.26</v>
      </c>
      <c r="AC1459" s="76"/>
    </row>
    <row r="1460" s="53" customFormat="1" ht="50" customHeight="1" spans="1:29">
      <c r="A1460" s="53" t="s">
        <v>2937</v>
      </c>
      <c r="B1460" s="77"/>
      <c r="C1460" s="76" t="s">
        <v>32</v>
      </c>
      <c r="D1460" s="76" t="s">
        <v>1226</v>
      </c>
      <c r="E1460" s="76" t="s">
        <v>2936</v>
      </c>
      <c r="F1460" s="76" t="s">
        <v>759</v>
      </c>
      <c r="G1460" s="76"/>
      <c r="H1460" s="76">
        <f>STOCK[[#This Row],[Precio Final]]</f>
        <v>18</v>
      </c>
      <c r="I1460" s="80">
        <f>STOCK[[#This Row],[Precio Venta Ideal (x1.5)]]</f>
        <v>16.89</v>
      </c>
      <c r="J1460" s="78">
        <v>1</v>
      </c>
      <c r="K1460" s="78">
        <f>SUMIFS(VENTAS[Cantidad],VENTAS[Código del producto Vendido],STOCK[[#This Row],[Code]])</f>
        <v>2</v>
      </c>
      <c r="L1460" s="78">
        <f>STOCK[[#This Row],[Entradas]]-STOCK[[#This Row],[Salidas]]</f>
        <v>-1</v>
      </c>
      <c r="M1460" s="76">
        <f>STOCK[[#This Row],[Precio Final]]*10%</f>
        <v>1.8</v>
      </c>
      <c r="N1460" s="76">
        <v>0</v>
      </c>
      <c r="O1460" s="76">
        <v>0</v>
      </c>
      <c r="P1460" s="76">
        <v>7.81</v>
      </c>
      <c r="Q1460" s="78">
        <v>0</v>
      </c>
      <c r="R1460" s="76">
        <v>0</v>
      </c>
      <c r="S1460" s="76">
        <v>1.65</v>
      </c>
      <c r="T1460" s="76">
        <f>STOCK[[#This Row],[Costo Unitario (USD)]]+STOCK[[#This Row],[Costo Envío (USD)]]+STOCK[[#This Row],[Comisión 10%]]</f>
        <v>11.26</v>
      </c>
      <c r="U1460" s="53">
        <f>STOCK[[#This Row],[Costo total]]*1.5</f>
        <v>16.89</v>
      </c>
      <c r="V1460" s="76">
        <v>18</v>
      </c>
      <c r="W1460" s="76">
        <f>STOCK[[#This Row],[Precio Final]]-STOCK[[#This Row],[Costo total]]</f>
        <v>6.74</v>
      </c>
      <c r="X1460" s="76">
        <f>STOCK[[#This Row],[Ganancia Unitaria]]*STOCK[[#This Row],[Salidas]]</f>
        <v>13.48</v>
      </c>
      <c r="Y1460" s="76"/>
      <c r="Z1460" s="76"/>
      <c r="AA1460" s="54">
        <f>STOCK[[#This Row],[Costo total]]*STOCK[[#This Row],[Entradas]]</f>
        <v>11.26</v>
      </c>
      <c r="AB1460" s="54">
        <f>STOCK[[#This Row],[Stock Actual]]*STOCK[[#This Row],[Costo total]]</f>
        <v>-11.26</v>
      </c>
      <c r="AC1460" s="76"/>
    </row>
    <row r="1461" s="53" customFormat="1" ht="50" customHeight="1" spans="1:29">
      <c r="A1461" s="53" t="s">
        <v>2938</v>
      </c>
      <c r="B1461" s="77"/>
      <c r="C1461" s="76" t="s">
        <v>32</v>
      </c>
      <c r="D1461" s="76" t="s">
        <v>2629</v>
      </c>
      <c r="E1461" s="76" t="s">
        <v>2939</v>
      </c>
      <c r="F1461" s="76" t="s">
        <v>62</v>
      </c>
      <c r="G1461" s="76"/>
      <c r="H1461" s="76">
        <f>STOCK[[#This Row],[Precio Final]]</f>
        <v>25</v>
      </c>
      <c r="I1461" s="80">
        <f>STOCK[[#This Row],[Precio Venta Ideal (x1.5)]]</f>
        <v>19.935</v>
      </c>
      <c r="J1461" s="78">
        <v>1</v>
      </c>
      <c r="K1461" s="78">
        <f>SUMIFS(VENTAS[Cantidad],VENTAS[Código del producto Vendido],STOCK[[#This Row],[Code]])</f>
        <v>2</v>
      </c>
      <c r="L1461" s="78">
        <f>STOCK[[#This Row],[Entradas]]-STOCK[[#This Row],[Salidas]]</f>
        <v>-1</v>
      </c>
      <c r="M1461" s="76">
        <f>STOCK[[#This Row],[Precio Final]]*10%</f>
        <v>2.5</v>
      </c>
      <c r="N1461" s="76">
        <v>0</v>
      </c>
      <c r="O1461" s="76">
        <v>0</v>
      </c>
      <c r="P1461" s="76">
        <v>9.14</v>
      </c>
      <c r="Q1461" s="78">
        <v>0</v>
      </c>
      <c r="R1461" s="76">
        <v>0</v>
      </c>
      <c r="S1461" s="76">
        <v>1.65</v>
      </c>
      <c r="T1461" s="76">
        <f>STOCK[[#This Row],[Costo Unitario (USD)]]+STOCK[[#This Row],[Costo Envío (USD)]]+STOCK[[#This Row],[Comisión 10%]]</f>
        <v>13.29</v>
      </c>
      <c r="U1461" s="53">
        <f>STOCK[[#This Row],[Costo total]]*1.5</f>
        <v>19.935</v>
      </c>
      <c r="V1461" s="76">
        <v>25</v>
      </c>
      <c r="W1461" s="76">
        <f>STOCK[[#This Row],[Precio Final]]-STOCK[[#This Row],[Costo total]]</f>
        <v>11.71</v>
      </c>
      <c r="X1461" s="76">
        <f>STOCK[[#This Row],[Ganancia Unitaria]]*STOCK[[#This Row],[Salidas]]</f>
        <v>23.42</v>
      </c>
      <c r="Y1461" s="76"/>
      <c r="Z1461" s="76"/>
      <c r="AA1461" s="54">
        <f>STOCK[[#This Row],[Costo total]]*STOCK[[#This Row],[Entradas]]</f>
        <v>13.29</v>
      </c>
      <c r="AB1461" s="54">
        <f>STOCK[[#This Row],[Stock Actual]]*STOCK[[#This Row],[Costo total]]</f>
        <v>-13.29</v>
      </c>
      <c r="AC1461" s="76"/>
    </row>
    <row r="1462" s="53" customFormat="1" ht="50" customHeight="1" spans="1:29">
      <c r="A1462" s="53" t="s">
        <v>2940</v>
      </c>
      <c r="B1462" s="77"/>
      <c r="C1462" s="76" t="s">
        <v>32</v>
      </c>
      <c r="D1462" s="76" t="s">
        <v>2629</v>
      </c>
      <c r="E1462" s="76" t="s">
        <v>2939</v>
      </c>
      <c r="F1462" s="76" t="s">
        <v>49</v>
      </c>
      <c r="G1462" s="76"/>
      <c r="H1462" s="76">
        <f>STOCK[[#This Row],[Precio Final]]</f>
        <v>25</v>
      </c>
      <c r="I1462" s="80">
        <f>STOCK[[#This Row],[Precio Venta Ideal (x1.5)]]</f>
        <v>19.935</v>
      </c>
      <c r="J1462" s="78">
        <v>1</v>
      </c>
      <c r="K1462" s="78">
        <f>SUMIFS(VENTAS[Cantidad],VENTAS[Código del producto Vendido],STOCK[[#This Row],[Code]])</f>
        <v>1</v>
      </c>
      <c r="L1462" s="78">
        <f>STOCK[[#This Row],[Entradas]]-STOCK[[#This Row],[Salidas]]</f>
        <v>0</v>
      </c>
      <c r="M1462" s="76">
        <f>STOCK[[#This Row],[Precio Final]]*10%</f>
        <v>2.5</v>
      </c>
      <c r="N1462" s="76">
        <v>0</v>
      </c>
      <c r="O1462" s="76">
        <v>0</v>
      </c>
      <c r="P1462" s="76">
        <v>9.14</v>
      </c>
      <c r="Q1462" s="78">
        <v>0</v>
      </c>
      <c r="R1462" s="76">
        <v>0</v>
      </c>
      <c r="S1462" s="76">
        <v>1.65</v>
      </c>
      <c r="T1462" s="76">
        <f>STOCK[[#This Row],[Costo Unitario (USD)]]+STOCK[[#This Row],[Costo Envío (USD)]]+STOCK[[#This Row],[Comisión 10%]]</f>
        <v>13.29</v>
      </c>
      <c r="U1462" s="53">
        <f>STOCK[[#This Row],[Costo total]]*1.5</f>
        <v>19.935</v>
      </c>
      <c r="V1462" s="76">
        <v>25</v>
      </c>
      <c r="W1462" s="76">
        <f>STOCK[[#This Row],[Precio Final]]-STOCK[[#This Row],[Costo total]]</f>
        <v>11.71</v>
      </c>
      <c r="X1462" s="76">
        <f>STOCK[[#This Row],[Ganancia Unitaria]]*STOCK[[#This Row],[Salidas]]</f>
        <v>11.71</v>
      </c>
      <c r="Y1462" s="76"/>
      <c r="Z1462" s="76"/>
      <c r="AA1462" s="54">
        <f>STOCK[[#This Row],[Costo total]]*STOCK[[#This Row],[Entradas]]</f>
        <v>13.29</v>
      </c>
      <c r="AB1462" s="54">
        <f>STOCK[[#This Row],[Stock Actual]]*STOCK[[#This Row],[Costo total]]</f>
        <v>0</v>
      </c>
      <c r="AC1462" s="76"/>
    </row>
    <row r="1463" s="53" customFormat="1" ht="50" customHeight="1" spans="1:29">
      <c r="A1463" s="53" t="s">
        <v>2941</v>
      </c>
      <c r="B1463" s="77"/>
      <c r="C1463" s="76" t="s">
        <v>32</v>
      </c>
      <c r="D1463" s="76" t="s">
        <v>2629</v>
      </c>
      <c r="E1463" s="76" t="s">
        <v>2939</v>
      </c>
      <c r="F1463" s="76" t="s">
        <v>46</v>
      </c>
      <c r="G1463" s="76"/>
      <c r="H1463" s="76">
        <f>STOCK[[#This Row],[Precio Final]]</f>
        <v>25</v>
      </c>
      <c r="I1463" s="80">
        <f>STOCK[[#This Row],[Precio Venta Ideal (x1.5)]]</f>
        <v>19.935</v>
      </c>
      <c r="J1463" s="78">
        <v>1</v>
      </c>
      <c r="K1463" s="78">
        <f>SUMIFS(VENTAS[Cantidad],VENTAS[Código del producto Vendido],STOCK[[#This Row],[Code]])</f>
        <v>1</v>
      </c>
      <c r="L1463" s="78">
        <f>STOCK[[#This Row],[Entradas]]-STOCK[[#This Row],[Salidas]]</f>
        <v>0</v>
      </c>
      <c r="M1463" s="76">
        <f>STOCK[[#This Row],[Precio Final]]*10%</f>
        <v>2.5</v>
      </c>
      <c r="N1463" s="76">
        <v>0</v>
      </c>
      <c r="O1463" s="76">
        <v>0</v>
      </c>
      <c r="P1463" s="76">
        <v>9.14</v>
      </c>
      <c r="Q1463" s="78">
        <v>0</v>
      </c>
      <c r="R1463" s="76">
        <v>0</v>
      </c>
      <c r="S1463" s="76">
        <v>1.65</v>
      </c>
      <c r="T1463" s="76">
        <f>STOCK[[#This Row],[Costo Unitario (USD)]]+STOCK[[#This Row],[Costo Envío (USD)]]+STOCK[[#This Row],[Comisión 10%]]</f>
        <v>13.29</v>
      </c>
      <c r="U1463" s="53">
        <f>STOCK[[#This Row],[Costo total]]*1.5</f>
        <v>19.935</v>
      </c>
      <c r="V1463" s="76">
        <v>25</v>
      </c>
      <c r="W1463" s="76">
        <f>STOCK[[#This Row],[Precio Final]]-STOCK[[#This Row],[Costo total]]</f>
        <v>11.71</v>
      </c>
      <c r="X1463" s="76">
        <f>STOCK[[#This Row],[Ganancia Unitaria]]*STOCK[[#This Row],[Salidas]]</f>
        <v>11.71</v>
      </c>
      <c r="Y1463" s="76"/>
      <c r="Z1463" s="76"/>
      <c r="AA1463" s="54">
        <f>STOCK[[#This Row],[Costo total]]*STOCK[[#This Row],[Entradas]]</f>
        <v>13.29</v>
      </c>
      <c r="AB1463" s="54">
        <f>STOCK[[#This Row],[Stock Actual]]*STOCK[[#This Row],[Costo total]]</f>
        <v>0</v>
      </c>
      <c r="AC1463" s="76"/>
    </row>
    <row r="1464" s="53" customFormat="1" ht="50" customHeight="1" spans="1:29">
      <c r="A1464" s="53" t="s">
        <v>2942</v>
      </c>
      <c r="B1464" s="77"/>
      <c r="C1464" s="76" t="s">
        <v>32</v>
      </c>
      <c r="D1464" s="76" t="s">
        <v>2629</v>
      </c>
      <c r="E1464" s="76" t="s">
        <v>2943</v>
      </c>
      <c r="F1464" s="76" t="s">
        <v>2822</v>
      </c>
      <c r="G1464" s="76"/>
      <c r="H1464" s="76">
        <f>STOCK[[#This Row],[Precio Final]]</f>
        <v>25</v>
      </c>
      <c r="I1464" s="80">
        <f>STOCK[[#This Row],[Precio Venta Ideal (x1.5)]]</f>
        <v>16.56</v>
      </c>
      <c r="J1464" s="78">
        <v>5</v>
      </c>
      <c r="K1464" s="78">
        <f>SUMIFS(VENTAS[Cantidad],VENTAS[Código del producto Vendido],STOCK[[#This Row],[Code]])</f>
        <v>0</v>
      </c>
      <c r="L1464" s="78">
        <f>STOCK[[#This Row],[Entradas]]-STOCK[[#This Row],[Salidas]]</f>
        <v>5</v>
      </c>
      <c r="M1464" s="76">
        <f>STOCK[[#This Row],[Precio Final]]*10%</f>
        <v>2.5</v>
      </c>
      <c r="N1464" s="76">
        <v>0</v>
      </c>
      <c r="O1464" s="76">
        <v>0</v>
      </c>
      <c r="P1464" s="76">
        <v>6.89</v>
      </c>
      <c r="Q1464" s="78">
        <v>0</v>
      </c>
      <c r="R1464" s="76">
        <v>0</v>
      </c>
      <c r="S1464" s="76">
        <v>1.65</v>
      </c>
      <c r="T1464" s="76">
        <f>STOCK[[#This Row],[Costo Unitario (USD)]]+STOCK[[#This Row],[Costo Envío (USD)]]+STOCK[[#This Row],[Comisión 10%]]</f>
        <v>11.04</v>
      </c>
      <c r="U1464" s="53">
        <f>STOCK[[#This Row],[Costo total]]*1.5</f>
        <v>16.56</v>
      </c>
      <c r="V1464" s="76">
        <v>25</v>
      </c>
      <c r="W1464" s="76">
        <f>STOCK[[#This Row],[Precio Final]]-STOCK[[#This Row],[Costo total]]</f>
        <v>13.96</v>
      </c>
      <c r="X1464" s="76">
        <f>STOCK[[#This Row],[Ganancia Unitaria]]*STOCK[[#This Row],[Salidas]]</f>
        <v>0</v>
      </c>
      <c r="Y1464" s="76"/>
      <c r="Z1464" s="76"/>
      <c r="AA1464" s="54">
        <f>STOCK[[#This Row],[Costo total]]*STOCK[[#This Row],[Entradas]]</f>
        <v>55.2</v>
      </c>
      <c r="AB1464" s="54">
        <f>STOCK[[#This Row],[Stock Actual]]*STOCK[[#This Row],[Costo total]]</f>
        <v>55.2</v>
      </c>
      <c r="AC1464" s="76"/>
    </row>
    <row r="1465" s="53" customFormat="1" ht="50" customHeight="1" spans="1:29">
      <c r="A1465" s="53" t="s">
        <v>2944</v>
      </c>
      <c r="B1465" s="77"/>
      <c r="C1465" s="76" t="s">
        <v>32</v>
      </c>
      <c r="D1465" s="76" t="s">
        <v>2629</v>
      </c>
      <c r="E1465" s="76" t="s">
        <v>2945</v>
      </c>
      <c r="F1465" s="76" t="s">
        <v>62</v>
      </c>
      <c r="G1465" s="76"/>
      <c r="H1465" s="76">
        <f>STOCK[[#This Row],[Precio Final]]</f>
        <v>30</v>
      </c>
      <c r="I1465" s="80">
        <f>STOCK[[#This Row],[Precio Venta Ideal (x1.5)]]</f>
        <v>19.8</v>
      </c>
      <c r="J1465" s="78">
        <v>1</v>
      </c>
      <c r="K1465" s="78">
        <f>SUMIFS(VENTAS[Cantidad],VENTAS[Código del producto Vendido],STOCK[[#This Row],[Code]])</f>
        <v>0</v>
      </c>
      <c r="L1465" s="78">
        <f>STOCK[[#This Row],[Entradas]]-STOCK[[#This Row],[Salidas]]</f>
        <v>1</v>
      </c>
      <c r="M1465" s="76">
        <f>STOCK[[#This Row],[Precio Final]]*10%</f>
        <v>3</v>
      </c>
      <c r="N1465" s="76">
        <v>0</v>
      </c>
      <c r="O1465" s="76">
        <v>0</v>
      </c>
      <c r="P1465" s="76">
        <v>8.55</v>
      </c>
      <c r="Q1465" s="78">
        <v>0</v>
      </c>
      <c r="R1465" s="76">
        <v>0</v>
      </c>
      <c r="S1465" s="76">
        <v>1.65</v>
      </c>
      <c r="T1465" s="76">
        <f>STOCK[[#This Row],[Costo Unitario (USD)]]+STOCK[[#This Row],[Costo Envío (USD)]]+STOCK[[#This Row],[Comisión 10%]]</f>
        <v>13.2</v>
      </c>
      <c r="U1465" s="53">
        <f>STOCK[[#This Row],[Costo total]]*1.5</f>
        <v>19.8</v>
      </c>
      <c r="V1465" s="76">
        <v>30</v>
      </c>
      <c r="W1465" s="76">
        <f>STOCK[[#This Row],[Precio Final]]-STOCK[[#This Row],[Costo total]]</f>
        <v>16.8</v>
      </c>
      <c r="X1465" s="76">
        <f>STOCK[[#This Row],[Ganancia Unitaria]]*STOCK[[#This Row],[Salidas]]</f>
        <v>0</v>
      </c>
      <c r="Y1465" s="76"/>
      <c r="Z1465" s="76"/>
      <c r="AA1465" s="54">
        <f>STOCK[[#This Row],[Costo total]]*STOCK[[#This Row],[Entradas]]</f>
        <v>13.2</v>
      </c>
      <c r="AB1465" s="54">
        <f>STOCK[[#This Row],[Stock Actual]]*STOCK[[#This Row],[Costo total]]</f>
        <v>13.2</v>
      </c>
      <c r="AC1465" s="76"/>
    </row>
    <row r="1466" s="53" customFormat="1" ht="50" customHeight="1" spans="1:29">
      <c r="A1466" s="53" t="s">
        <v>2946</v>
      </c>
      <c r="B1466" s="77"/>
      <c r="C1466" s="76" t="s">
        <v>32</v>
      </c>
      <c r="D1466" s="76" t="s">
        <v>2629</v>
      </c>
      <c r="E1466" s="76" t="s">
        <v>2947</v>
      </c>
      <c r="F1466" s="76" t="s">
        <v>62</v>
      </c>
      <c r="G1466" s="76"/>
      <c r="H1466" s="76">
        <f>STOCK[[#This Row],[Precio Final]]</f>
        <v>35</v>
      </c>
      <c r="I1466" s="80">
        <f>STOCK[[#This Row],[Precio Venta Ideal (x1.5)]]</f>
        <v>21.165</v>
      </c>
      <c r="J1466" s="78">
        <v>1</v>
      </c>
      <c r="K1466" s="78">
        <f>SUMIFS(VENTAS[Cantidad],VENTAS[Código del producto Vendido],STOCK[[#This Row],[Code]])</f>
        <v>0</v>
      </c>
      <c r="L1466" s="78">
        <f>STOCK[[#This Row],[Entradas]]-STOCK[[#This Row],[Salidas]]</f>
        <v>1</v>
      </c>
      <c r="M1466" s="76">
        <f>STOCK[[#This Row],[Precio Final]]*10%</f>
        <v>3.5</v>
      </c>
      <c r="N1466" s="76">
        <v>0</v>
      </c>
      <c r="O1466" s="76">
        <v>0</v>
      </c>
      <c r="P1466" s="76">
        <v>8.96</v>
      </c>
      <c r="Q1466" s="78">
        <v>0</v>
      </c>
      <c r="R1466" s="76">
        <v>0</v>
      </c>
      <c r="S1466" s="76">
        <v>1.65</v>
      </c>
      <c r="T1466" s="76">
        <f>STOCK[[#This Row],[Costo Unitario (USD)]]+STOCK[[#This Row],[Costo Envío (USD)]]+STOCK[[#This Row],[Comisión 10%]]</f>
        <v>14.11</v>
      </c>
      <c r="U1466" s="53">
        <f>STOCK[[#This Row],[Costo total]]*1.5</f>
        <v>21.165</v>
      </c>
      <c r="V1466" s="76">
        <v>35</v>
      </c>
      <c r="W1466" s="76">
        <f>STOCK[[#This Row],[Precio Final]]-STOCK[[#This Row],[Costo total]]</f>
        <v>20.89</v>
      </c>
      <c r="X1466" s="76">
        <f>STOCK[[#This Row],[Ganancia Unitaria]]*STOCK[[#This Row],[Salidas]]</f>
        <v>0</v>
      </c>
      <c r="Y1466" s="76"/>
      <c r="Z1466" s="76"/>
      <c r="AA1466" s="54">
        <f>STOCK[[#This Row],[Costo total]]*STOCK[[#This Row],[Entradas]]</f>
        <v>14.11</v>
      </c>
      <c r="AB1466" s="54">
        <f>STOCK[[#This Row],[Stock Actual]]*STOCK[[#This Row],[Costo total]]</f>
        <v>14.11</v>
      </c>
      <c r="AC1466" s="76"/>
    </row>
    <row r="1467" s="53" customFormat="1" ht="50" customHeight="1" spans="1:29">
      <c r="A1467" s="53" t="s">
        <v>2948</v>
      </c>
      <c r="B1467" s="77"/>
      <c r="C1467" s="76" t="s">
        <v>32</v>
      </c>
      <c r="D1467" s="76" t="s">
        <v>1212</v>
      </c>
      <c r="E1467" s="76" t="s">
        <v>2949</v>
      </c>
      <c r="F1467" s="76" t="s">
        <v>62</v>
      </c>
      <c r="G1467" s="76"/>
      <c r="H1467" s="76">
        <f>STOCK[[#This Row],[Precio Final]]</f>
        <v>30</v>
      </c>
      <c r="I1467" s="80">
        <f>STOCK[[#This Row],[Precio Venta Ideal (x1.5)]]</f>
        <v>17.4</v>
      </c>
      <c r="J1467" s="78">
        <v>3</v>
      </c>
      <c r="K1467" s="78">
        <f>SUMIFS(VENTAS[Cantidad],VENTAS[Código del producto Vendido],STOCK[[#This Row],[Code]])</f>
        <v>0</v>
      </c>
      <c r="L1467" s="78">
        <f>STOCK[[#This Row],[Entradas]]-STOCK[[#This Row],[Salidas]]</f>
        <v>3</v>
      </c>
      <c r="M1467" s="76">
        <f>STOCK[[#This Row],[Precio Final]]*10%</f>
        <v>3</v>
      </c>
      <c r="N1467" s="76">
        <v>0</v>
      </c>
      <c r="O1467" s="76">
        <v>0</v>
      </c>
      <c r="P1467" s="76">
        <v>6.95</v>
      </c>
      <c r="Q1467" s="78">
        <v>0</v>
      </c>
      <c r="R1467" s="76">
        <v>0</v>
      </c>
      <c r="S1467" s="76">
        <v>1.65</v>
      </c>
      <c r="T1467" s="76">
        <f>STOCK[[#This Row],[Costo Unitario (USD)]]+STOCK[[#This Row],[Costo Envío (USD)]]+STOCK[[#This Row],[Comisión 10%]]</f>
        <v>11.6</v>
      </c>
      <c r="U1467" s="53">
        <f>STOCK[[#This Row],[Costo total]]*1.5</f>
        <v>17.4</v>
      </c>
      <c r="V1467" s="76">
        <v>30</v>
      </c>
      <c r="W1467" s="76">
        <f>STOCK[[#This Row],[Precio Final]]-STOCK[[#This Row],[Costo total]]</f>
        <v>18.4</v>
      </c>
      <c r="X1467" s="76">
        <f>STOCK[[#This Row],[Ganancia Unitaria]]*STOCK[[#This Row],[Salidas]]</f>
        <v>0</v>
      </c>
      <c r="Y1467" s="76"/>
      <c r="Z1467" s="76"/>
      <c r="AA1467" s="54">
        <f>STOCK[[#This Row],[Costo total]]*STOCK[[#This Row],[Entradas]]</f>
        <v>34.8</v>
      </c>
      <c r="AB1467" s="54">
        <f>STOCK[[#This Row],[Stock Actual]]*STOCK[[#This Row],[Costo total]]</f>
        <v>34.8</v>
      </c>
      <c r="AC1467" s="76"/>
    </row>
    <row r="1468" s="53" customFormat="1" ht="50" customHeight="1" spans="1:29">
      <c r="A1468" s="53" t="s">
        <v>2950</v>
      </c>
      <c r="B1468" s="77"/>
      <c r="C1468" s="76" t="s">
        <v>32</v>
      </c>
      <c r="D1468" s="76" t="s">
        <v>1212</v>
      </c>
      <c r="E1468" s="76" t="s">
        <v>2949</v>
      </c>
      <c r="F1468" s="76" t="s">
        <v>49</v>
      </c>
      <c r="G1468" s="76"/>
      <c r="H1468" s="76">
        <f>STOCK[[#This Row],[Precio Final]]</f>
        <v>30</v>
      </c>
      <c r="I1468" s="80">
        <f>STOCK[[#This Row],[Precio Venta Ideal (x1.5)]]</f>
        <v>17.4</v>
      </c>
      <c r="J1468" s="78">
        <v>3</v>
      </c>
      <c r="K1468" s="78">
        <f>SUMIFS(VENTAS[Cantidad],VENTAS[Código del producto Vendido],STOCK[[#This Row],[Code]])</f>
        <v>0</v>
      </c>
      <c r="L1468" s="78">
        <f>STOCK[[#This Row],[Entradas]]-STOCK[[#This Row],[Salidas]]</f>
        <v>3</v>
      </c>
      <c r="M1468" s="76">
        <f>STOCK[[#This Row],[Precio Final]]*10%</f>
        <v>3</v>
      </c>
      <c r="N1468" s="76">
        <v>0</v>
      </c>
      <c r="O1468" s="76">
        <v>0</v>
      </c>
      <c r="P1468" s="76">
        <v>6.95</v>
      </c>
      <c r="Q1468" s="78">
        <v>0</v>
      </c>
      <c r="R1468" s="76">
        <v>0</v>
      </c>
      <c r="S1468" s="76">
        <v>1.65</v>
      </c>
      <c r="T1468" s="76">
        <f>STOCK[[#This Row],[Costo Unitario (USD)]]+STOCK[[#This Row],[Costo Envío (USD)]]+STOCK[[#This Row],[Comisión 10%]]</f>
        <v>11.6</v>
      </c>
      <c r="U1468" s="53">
        <f>STOCK[[#This Row],[Costo total]]*1.5</f>
        <v>17.4</v>
      </c>
      <c r="V1468" s="76">
        <v>30</v>
      </c>
      <c r="W1468" s="76">
        <f>STOCK[[#This Row],[Precio Final]]-STOCK[[#This Row],[Costo total]]</f>
        <v>18.4</v>
      </c>
      <c r="X1468" s="76">
        <f>STOCK[[#This Row],[Ganancia Unitaria]]*STOCK[[#This Row],[Salidas]]</f>
        <v>0</v>
      </c>
      <c r="Y1468" s="76"/>
      <c r="Z1468" s="76"/>
      <c r="AA1468" s="54">
        <f>STOCK[[#This Row],[Costo total]]*STOCK[[#This Row],[Entradas]]</f>
        <v>34.8</v>
      </c>
      <c r="AB1468" s="54">
        <f>STOCK[[#This Row],[Stock Actual]]*STOCK[[#This Row],[Costo total]]</f>
        <v>34.8</v>
      </c>
      <c r="AC1468" s="76"/>
    </row>
    <row r="1469" s="53" customFormat="1" ht="50" customHeight="1" spans="1:29">
      <c r="A1469" s="53" t="s">
        <v>2951</v>
      </c>
      <c r="B1469" s="77"/>
      <c r="C1469" s="76" t="s">
        <v>32</v>
      </c>
      <c r="D1469" s="76" t="s">
        <v>1212</v>
      </c>
      <c r="E1469" s="76" t="s">
        <v>2949</v>
      </c>
      <c r="F1469" s="76" t="s">
        <v>46</v>
      </c>
      <c r="G1469" s="76"/>
      <c r="H1469" s="76">
        <f>STOCK[[#This Row],[Precio Final]]</f>
        <v>30</v>
      </c>
      <c r="I1469" s="80">
        <f>STOCK[[#This Row],[Precio Venta Ideal (x1.5)]]</f>
        <v>17.4</v>
      </c>
      <c r="J1469" s="78">
        <v>3</v>
      </c>
      <c r="K1469" s="78">
        <f>SUMIFS(VENTAS[Cantidad],VENTAS[Código del producto Vendido],STOCK[[#This Row],[Code]])</f>
        <v>2</v>
      </c>
      <c r="L1469" s="78">
        <f>STOCK[[#This Row],[Entradas]]-STOCK[[#This Row],[Salidas]]</f>
        <v>1</v>
      </c>
      <c r="M1469" s="76">
        <f>STOCK[[#This Row],[Precio Final]]*10%</f>
        <v>3</v>
      </c>
      <c r="N1469" s="76">
        <v>0</v>
      </c>
      <c r="O1469" s="76">
        <v>0</v>
      </c>
      <c r="P1469" s="76">
        <v>6.95</v>
      </c>
      <c r="Q1469" s="78">
        <v>0</v>
      </c>
      <c r="R1469" s="76">
        <v>0</v>
      </c>
      <c r="S1469" s="76">
        <v>1.65</v>
      </c>
      <c r="T1469" s="76">
        <f>STOCK[[#This Row],[Costo Unitario (USD)]]+STOCK[[#This Row],[Costo Envío (USD)]]+STOCK[[#This Row],[Comisión 10%]]</f>
        <v>11.6</v>
      </c>
      <c r="U1469" s="53">
        <f>STOCK[[#This Row],[Costo total]]*1.5</f>
        <v>17.4</v>
      </c>
      <c r="V1469" s="76">
        <v>30</v>
      </c>
      <c r="W1469" s="76">
        <f>STOCK[[#This Row],[Precio Final]]-STOCK[[#This Row],[Costo total]]</f>
        <v>18.4</v>
      </c>
      <c r="X1469" s="76">
        <f>STOCK[[#This Row],[Ganancia Unitaria]]*STOCK[[#This Row],[Salidas]]</f>
        <v>36.8</v>
      </c>
      <c r="Y1469" s="76"/>
      <c r="Z1469" s="76"/>
      <c r="AA1469" s="54">
        <f>STOCK[[#This Row],[Costo total]]*STOCK[[#This Row],[Entradas]]</f>
        <v>34.8</v>
      </c>
      <c r="AB1469" s="54">
        <f>STOCK[[#This Row],[Stock Actual]]*STOCK[[#This Row],[Costo total]]</f>
        <v>11.6</v>
      </c>
      <c r="AC1469" s="76"/>
    </row>
    <row r="1470" s="53" customFormat="1" ht="50" customHeight="1" spans="1:29">
      <c r="A1470" s="53" t="s">
        <v>2952</v>
      </c>
      <c r="B1470" s="77"/>
      <c r="C1470" s="76" t="s">
        <v>32</v>
      </c>
      <c r="D1470" s="76" t="s">
        <v>1212</v>
      </c>
      <c r="E1470" s="76" t="s">
        <v>2949</v>
      </c>
      <c r="F1470" s="76" t="s">
        <v>42</v>
      </c>
      <c r="G1470" s="76"/>
      <c r="H1470" s="76">
        <f>STOCK[[#This Row],[Precio Final]]</f>
        <v>30</v>
      </c>
      <c r="I1470" s="80">
        <f>STOCK[[#This Row],[Precio Venta Ideal (x1.5)]]</f>
        <v>17.4</v>
      </c>
      <c r="J1470" s="78">
        <v>3</v>
      </c>
      <c r="K1470" s="78">
        <f>SUMIFS(VENTAS[Cantidad],VENTAS[Código del producto Vendido],STOCK[[#This Row],[Code]])</f>
        <v>0</v>
      </c>
      <c r="L1470" s="78">
        <f>STOCK[[#This Row],[Entradas]]-STOCK[[#This Row],[Salidas]]</f>
        <v>3</v>
      </c>
      <c r="M1470" s="76">
        <f>STOCK[[#This Row],[Precio Final]]*10%</f>
        <v>3</v>
      </c>
      <c r="N1470" s="76">
        <v>0</v>
      </c>
      <c r="O1470" s="76">
        <v>0</v>
      </c>
      <c r="P1470" s="76">
        <v>6.95</v>
      </c>
      <c r="Q1470" s="78">
        <v>0</v>
      </c>
      <c r="R1470" s="76">
        <v>0</v>
      </c>
      <c r="S1470" s="76">
        <v>1.65</v>
      </c>
      <c r="T1470" s="76">
        <f>STOCK[[#This Row],[Costo Unitario (USD)]]+STOCK[[#This Row],[Costo Envío (USD)]]+STOCK[[#This Row],[Comisión 10%]]</f>
        <v>11.6</v>
      </c>
      <c r="U1470" s="53">
        <f>STOCK[[#This Row],[Costo total]]*1.5</f>
        <v>17.4</v>
      </c>
      <c r="V1470" s="76">
        <v>30</v>
      </c>
      <c r="W1470" s="76">
        <f>STOCK[[#This Row],[Precio Final]]-STOCK[[#This Row],[Costo total]]</f>
        <v>18.4</v>
      </c>
      <c r="X1470" s="76">
        <f>STOCK[[#This Row],[Ganancia Unitaria]]*STOCK[[#This Row],[Salidas]]</f>
        <v>0</v>
      </c>
      <c r="Y1470" s="76"/>
      <c r="Z1470" s="76"/>
      <c r="AA1470" s="54">
        <f>STOCK[[#This Row],[Costo total]]*STOCK[[#This Row],[Entradas]]</f>
        <v>34.8</v>
      </c>
      <c r="AB1470" s="54">
        <f>STOCK[[#This Row],[Stock Actual]]*STOCK[[#This Row],[Costo total]]</f>
        <v>34.8</v>
      </c>
      <c r="AC1470" s="76"/>
    </row>
    <row r="1471" s="53" customFormat="1" ht="50" customHeight="1" spans="1:29">
      <c r="A1471" s="53" t="s">
        <v>2953</v>
      </c>
      <c r="B1471" s="77"/>
      <c r="C1471" s="76" t="s">
        <v>32</v>
      </c>
      <c r="D1471" s="76" t="s">
        <v>2629</v>
      </c>
      <c r="E1471" s="76" t="s">
        <v>2954</v>
      </c>
      <c r="F1471" s="76" t="s">
        <v>62</v>
      </c>
      <c r="G1471" s="76"/>
      <c r="H1471" s="76">
        <f>STOCK[[#This Row],[Precio Final]]</f>
        <v>30</v>
      </c>
      <c r="I1471" s="80">
        <f>STOCK[[#This Row],[Precio Venta Ideal (x1.5)]]</f>
        <v>24.45</v>
      </c>
      <c r="J1471" s="78">
        <v>1</v>
      </c>
      <c r="K1471" s="78">
        <f>SUMIFS(VENTAS[Cantidad],VENTAS[Código del producto Vendido],STOCK[[#This Row],[Code]])</f>
        <v>1</v>
      </c>
      <c r="L1471" s="78">
        <f>STOCK[[#This Row],[Entradas]]-STOCK[[#This Row],[Salidas]]</f>
        <v>0</v>
      </c>
      <c r="M1471" s="76">
        <f>STOCK[[#This Row],[Precio Final]]*10%</f>
        <v>3</v>
      </c>
      <c r="N1471" s="76">
        <v>0</v>
      </c>
      <c r="O1471" s="76">
        <v>0</v>
      </c>
      <c r="P1471" s="76">
        <v>11.65</v>
      </c>
      <c r="Q1471" s="78">
        <v>0</v>
      </c>
      <c r="R1471" s="76">
        <v>0</v>
      </c>
      <c r="S1471" s="76">
        <v>1.65</v>
      </c>
      <c r="T1471" s="76">
        <f>STOCK[[#This Row],[Costo Unitario (USD)]]+STOCK[[#This Row],[Costo Envío (USD)]]+STOCK[[#This Row],[Comisión 10%]]</f>
        <v>16.3</v>
      </c>
      <c r="U1471" s="53">
        <f>STOCK[[#This Row],[Costo total]]*1.5</f>
        <v>24.45</v>
      </c>
      <c r="V1471" s="76">
        <v>30</v>
      </c>
      <c r="W1471" s="76">
        <f>STOCK[[#This Row],[Precio Final]]-STOCK[[#This Row],[Costo total]]</f>
        <v>13.7</v>
      </c>
      <c r="X1471" s="76">
        <f>STOCK[[#This Row],[Ganancia Unitaria]]*STOCK[[#This Row],[Salidas]]</f>
        <v>13.7</v>
      </c>
      <c r="Y1471" s="76"/>
      <c r="Z1471" s="76"/>
      <c r="AA1471" s="54">
        <f>STOCK[[#This Row],[Costo total]]*STOCK[[#This Row],[Entradas]]</f>
        <v>16.3</v>
      </c>
      <c r="AB1471" s="54">
        <f>STOCK[[#This Row],[Stock Actual]]*STOCK[[#This Row],[Costo total]]</f>
        <v>0</v>
      </c>
      <c r="AC1471" s="76"/>
    </row>
    <row r="1472" s="53" customFormat="1" ht="50" customHeight="1" spans="1:29">
      <c r="A1472" s="53" t="s">
        <v>2955</v>
      </c>
      <c r="B1472" s="77"/>
      <c r="C1472" s="76" t="s">
        <v>32</v>
      </c>
      <c r="D1472" s="76" t="s">
        <v>2629</v>
      </c>
      <c r="E1472" s="76" t="s">
        <v>2956</v>
      </c>
      <c r="F1472" s="76" t="s">
        <v>46</v>
      </c>
      <c r="G1472" s="76"/>
      <c r="H1472" s="76">
        <f>STOCK[[#This Row],[Precio Final]]</f>
        <v>30</v>
      </c>
      <c r="I1472" s="80">
        <f>STOCK[[#This Row],[Precio Venta Ideal (x1.5)]]</f>
        <v>21.945</v>
      </c>
      <c r="J1472" s="78">
        <v>4</v>
      </c>
      <c r="K1472" s="78">
        <f>SUMIFS(VENTAS[Cantidad],VENTAS[Código del producto Vendido],STOCK[[#This Row],[Code]])</f>
        <v>0</v>
      </c>
      <c r="L1472" s="78">
        <f>STOCK[[#This Row],[Entradas]]-STOCK[[#This Row],[Salidas]]</f>
        <v>4</v>
      </c>
      <c r="M1472" s="76">
        <f>STOCK[[#This Row],[Precio Final]]*10%</f>
        <v>3</v>
      </c>
      <c r="N1472" s="76">
        <v>0</v>
      </c>
      <c r="O1472" s="76">
        <v>0</v>
      </c>
      <c r="P1472" s="76">
        <v>9.98</v>
      </c>
      <c r="Q1472" s="78">
        <v>0</v>
      </c>
      <c r="R1472" s="76">
        <v>0</v>
      </c>
      <c r="S1472" s="76">
        <v>1.65</v>
      </c>
      <c r="T1472" s="76">
        <f>STOCK[[#This Row],[Costo Unitario (USD)]]+STOCK[[#This Row],[Costo Envío (USD)]]+STOCK[[#This Row],[Comisión 10%]]</f>
        <v>14.63</v>
      </c>
      <c r="U1472" s="53">
        <f>STOCK[[#This Row],[Costo total]]*1.5</f>
        <v>21.945</v>
      </c>
      <c r="V1472" s="76">
        <v>30</v>
      </c>
      <c r="W1472" s="76">
        <f>STOCK[[#This Row],[Precio Final]]-STOCK[[#This Row],[Costo total]]</f>
        <v>15.37</v>
      </c>
      <c r="X1472" s="76">
        <f>STOCK[[#This Row],[Ganancia Unitaria]]*STOCK[[#This Row],[Salidas]]</f>
        <v>0</v>
      </c>
      <c r="Y1472" s="76"/>
      <c r="Z1472" s="76"/>
      <c r="AA1472" s="54">
        <f>STOCK[[#This Row],[Costo total]]*STOCK[[#This Row],[Entradas]]</f>
        <v>58.52</v>
      </c>
      <c r="AB1472" s="54">
        <f>STOCK[[#This Row],[Stock Actual]]*STOCK[[#This Row],[Costo total]]</f>
        <v>58.52</v>
      </c>
      <c r="AC1472" s="76"/>
    </row>
    <row r="1473" s="53" customFormat="1" ht="50" customHeight="1" spans="1:29">
      <c r="A1473" s="53" t="s">
        <v>2957</v>
      </c>
      <c r="B1473" s="77"/>
      <c r="C1473" s="76" t="s">
        <v>32</v>
      </c>
      <c r="D1473" s="76" t="s">
        <v>2629</v>
      </c>
      <c r="E1473" s="76" t="s">
        <v>2958</v>
      </c>
      <c r="F1473" s="76" t="s">
        <v>62</v>
      </c>
      <c r="G1473" s="76"/>
      <c r="H1473" s="76">
        <f>STOCK[[#This Row],[Precio Final]]</f>
        <v>30</v>
      </c>
      <c r="I1473" s="80">
        <f>STOCK[[#This Row],[Precio Venta Ideal (x1.5)]]</f>
        <v>27.195</v>
      </c>
      <c r="J1473" s="78">
        <v>2</v>
      </c>
      <c r="K1473" s="78">
        <f>SUMIFS(VENTAS[Cantidad],VENTAS[Código del producto Vendido],STOCK[[#This Row],[Code]])</f>
        <v>2</v>
      </c>
      <c r="L1473" s="78">
        <f>STOCK[[#This Row],[Entradas]]-STOCK[[#This Row],[Salidas]]</f>
        <v>0</v>
      </c>
      <c r="M1473" s="76">
        <f>STOCK[[#This Row],[Precio Final]]*10%</f>
        <v>3</v>
      </c>
      <c r="N1473" s="76">
        <v>0</v>
      </c>
      <c r="O1473" s="76">
        <v>0</v>
      </c>
      <c r="P1473" s="76">
        <v>13.48</v>
      </c>
      <c r="Q1473" s="78">
        <v>0</v>
      </c>
      <c r="R1473" s="76">
        <v>0</v>
      </c>
      <c r="S1473" s="76">
        <v>1.65</v>
      </c>
      <c r="T1473" s="76">
        <f>STOCK[[#This Row],[Costo Unitario (USD)]]+STOCK[[#This Row],[Costo Envío (USD)]]+STOCK[[#This Row],[Comisión 10%]]</f>
        <v>18.13</v>
      </c>
      <c r="U1473" s="53">
        <f>STOCK[[#This Row],[Costo total]]*1.5</f>
        <v>27.195</v>
      </c>
      <c r="V1473" s="76">
        <v>30</v>
      </c>
      <c r="W1473" s="76">
        <f>STOCK[[#This Row],[Precio Final]]-STOCK[[#This Row],[Costo total]]</f>
        <v>11.87</v>
      </c>
      <c r="X1473" s="76">
        <f>STOCK[[#This Row],[Ganancia Unitaria]]*STOCK[[#This Row],[Salidas]]</f>
        <v>23.74</v>
      </c>
      <c r="Y1473" s="76"/>
      <c r="Z1473" s="76"/>
      <c r="AA1473" s="54">
        <f>STOCK[[#This Row],[Costo total]]*STOCK[[#This Row],[Entradas]]</f>
        <v>36.26</v>
      </c>
      <c r="AB1473" s="54">
        <f>STOCK[[#This Row],[Stock Actual]]*STOCK[[#This Row],[Costo total]]</f>
        <v>0</v>
      </c>
      <c r="AC1473" s="76"/>
    </row>
    <row r="1474" s="53" customFormat="1" ht="50" customHeight="1" spans="1:29">
      <c r="A1474" s="53" t="s">
        <v>2959</v>
      </c>
      <c r="B1474" s="77"/>
      <c r="C1474" s="76" t="s">
        <v>32</v>
      </c>
      <c r="D1474" s="76" t="s">
        <v>2629</v>
      </c>
      <c r="E1474" s="76" t="s">
        <v>2958</v>
      </c>
      <c r="F1474" s="76" t="s">
        <v>49</v>
      </c>
      <c r="G1474" s="76"/>
      <c r="H1474" s="76">
        <f>STOCK[[#This Row],[Precio Final]]</f>
        <v>30</v>
      </c>
      <c r="I1474" s="80">
        <f>STOCK[[#This Row],[Precio Venta Ideal (x1.5)]]</f>
        <v>27.195</v>
      </c>
      <c r="J1474" s="78">
        <v>2</v>
      </c>
      <c r="K1474" s="78">
        <f>SUMIFS(VENTAS[Cantidad],VENTAS[Código del producto Vendido],STOCK[[#This Row],[Code]])</f>
        <v>3</v>
      </c>
      <c r="L1474" s="78">
        <f>STOCK[[#This Row],[Entradas]]-STOCK[[#This Row],[Salidas]]</f>
        <v>-1</v>
      </c>
      <c r="M1474" s="76">
        <f>STOCK[[#This Row],[Precio Final]]*10%</f>
        <v>3</v>
      </c>
      <c r="N1474" s="76">
        <v>0</v>
      </c>
      <c r="O1474" s="76">
        <v>0</v>
      </c>
      <c r="P1474" s="76">
        <v>13.48</v>
      </c>
      <c r="Q1474" s="78">
        <v>0</v>
      </c>
      <c r="R1474" s="76">
        <v>0</v>
      </c>
      <c r="S1474" s="76">
        <v>1.65</v>
      </c>
      <c r="T1474" s="76">
        <f>STOCK[[#This Row],[Costo Unitario (USD)]]+STOCK[[#This Row],[Costo Envío (USD)]]+STOCK[[#This Row],[Comisión 10%]]</f>
        <v>18.13</v>
      </c>
      <c r="U1474" s="53">
        <f>STOCK[[#This Row],[Costo total]]*1.5</f>
        <v>27.195</v>
      </c>
      <c r="V1474" s="76">
        <v>30</v>
      </c>
      <c r="W1474" s="76">
        <f>STOCK[[#This Row],[Precio Final]]-STOCK[[#This Row],[Costo total]]</f>
        <v>11.87</v>
      </c>
      <c r="X1474" s="76">
        <f>STOCK[[#This Row],[Ganancia Unitaria]]*STOCK[[#This Row],[Salidas]]</f>
        <v>35.61</v>
      </c>
      <c r="Y1474" s="76"/>
      <c r="Z1474" s="76"/>
      <c r="AA1474" s="54">
        <f>STOCK[[#This Row],[Costo total]]*STOCK[[#This Row],[Entradas]]</f>
        <v>36.26</v>
      </c>
      <c r="AB1474" s="54">
        <f>STOCK[[#This Row],[Stock Actual]]*STOCK[[#This Row],[Costo total]]</f>
        <v>-18.13</v>
      </c>
      <c r="AC1474" s="76"/>
    </row>
    <row r="1475" s="53" customFormat="1" ht="50" customHeight="1" spans="1:29">
      <c r="A1475" s="53" t="s">
        <v>2960</v>
      </c>
      <c r="B1475" s="77"/>
      <c r="C1475" s="76" t="s">
        <v>32</v>
      </c>
      <c r="D1475" s="76" t="s">
        <v>2629</v>
      </c>
      <c r="E1475" s="76" t="s">
        <v>2958</v>
      </c>
      <c r="F1475" s="76" t="s">
        <v>46</v>
      </c>
      <c r="G1475" s="76"/>
      <c r="H1475" s="76">
        <f>STOCK[[#This Row],[Precio Final]]</f>
        <v>30</v>
      </c>
      <c r="I1475" s="80">
        <f>STOCK[[#This Row],[Precio Venta Ideal (x1.5)]]</f>
        <v>27.195</v>
      </c>
      <c r="J1475" s="78">
        <v>2</v>
      </c>
      <c r="K1475" s="78">
        <f>SUMIFS(VENTAS[Cantidad],VENTAS[Código del producto Vendido],STOCK[[#This Row],[Code]])</f>
        <v>3</v>
      </c>
      <c r="L1475" s="78">
        <f>STOCK[[#This Row],[Entradas]]-STOCK[[#This Row],[Salidas]]</f>
        <v>-1</v>
      </c>
      <c r="M1475" s="76">
        <f>STOCK[[#This Row],[Precio Final]]*10%</f>
        <v>3</v>
      </c>
      <c r="N1475" s="76">
        <v>0</v>
      </c>
      <c r="O1475" s="76">
        <v>0</v>
      </c>
      <c r="P1475" s="76">
        <v>13.48</v>
      </c>
      <c r="Q1475" s="78">
        <v>0</v>
      </c>
      <c r="R1475" s="76">
        <v>0</v>
      </c>
      <c r="S1475" s="76">
        <v>1.65</v>
      </c>
      <c r="T1475" s="76">
        <f>STOCK[[#This Row],[Costo Unitario (USD)]]+STOCK[[#This Row],[Costo Envío (USD)]]+STOCK[[#This Row],[Comisión 10%]]</f>
        <v>18.13</v>
      </c>
      <c r="U1475" s="53">
        <f>STOCK[[#This Row],[Costo total]]*1.5</f>
        <v>27.195</v>
      </c>
      <c r="V1475" s="76">
        <v>30</v>
      </c>
      <c r="W1475" s="76">
        <f>STOCK[[#This Row],[Precio Final]]-STOCK[[#This Row],[Costo total]]</f>
        <v>11.87</v>
      </c>
      <c r="X1475" s="76">
        <f>STOCK[[#This Row],[Ganancia Unitaria]]*STOCK[[#This Row],[Salidas]]</f>
        <v>35.61</v>
      </c>
      <c r="Y1475" s="76"/>
      <c r="Z1475" s="76"/>
      <c r="AA1475" s="54">
        <f>STOCK[[#This Row],[Costo total]]*STOCK[[#This Row],[Entradas]]</f>
        <v>36.26</v>
      </c>
      <c r="AB1475" s="54">
        <f>STOCK[[#This Row],[Stock Actual]]*STOCK[[#This Row],[Costo total]]</f>
        <v>-18.13</v>
      </c>
      <c r="AC1475" s="76"/>
    </row>
    <row r="1476" s="53" customFormat="1" ht="50" customHeight="1" spans="1:29">
      <c r="A1476" s="53" t="s">
        <v>2961</v>
      </c>
      <c r="B1476" s="77"/>
      <c r="C1476" s="76" t="s">
        <v>32</v>
      </c>
      <c r="D1476" s="76" t="s">
        <v>2629</v>
      </c>
      <c r="E1476" s="76" t="s">
        <v>2962</v>
      </c>
      <c r="F1476" s="76" t="s">
        <v>62</v>
      </c>
      <c r="G1476" s="76"/>
      <c r="H1476" s="76">
        <f>STOCK[[#This Row],[Precio Final]]</f>
        <v>25</v>
      </c>
      <c r="I1476" s="80">
        <f>STOCK[[#This Row],[Precio Venta Ideal (x1.5)]]</f>
        <v>24.195</v>
      </c>
      <c r="J1476" s="78">
        <v>1</v>
      </c>
      <c r="K1476" s="78">
        <f>SUMIFS(VENTAS[Cantidad],VENTAS[Código del producto Vendido],STOCK[[#This Row],[Code]])</f>
        <v>2</v>
      </c>
      <c r="L1476" s="78">
        <f>STOCK[[#This Row],[Entradas]]-STOCK[[#This Row],[Salidas]]</f>
        <v>-1</v>
      </c>
      <c r="M1476" s="76">
        <f>STOCK[[#This Row],[Precio Final]]*10%</f>
        <v>2.5</v>
      </c>
      <c r="N1476" s="76">
        <v>0</v>
      </c>
      <c r="O1476" s="76">
        <v>0</v>
      </c>
      <c r="P1476" s="76">
        <v>11.98</v>
      </c>
      <c r="Q1476" s="78">
        <v>0</v>
      </c>
      <c r="R1476" s="76">
        <v>0</v>
      </c>
      <c r="S1476" s="76">
        <v>1.65</v>
      </c>
      <c r="T1476" s="76">
        <f>STOCK[[#This Row],[Costo Unitario (USD)]]+STOCK[[#This Row],[Costo Envío (USD)]]+STOCK[[#This Row],[Comisión 10%]]</f>
        <v>16.13</v>
      </c>
      <c r="U1476" s="53">
        <f>STOCK[[#This Row],[Costo total]]*1.5</f>
        <v>24.195</v>
      </c>
      <c r="V1476" s="76">
        <v>25</v>
      </c>
      <c r="W1476" s="76">
        <f>STOCK[[#This Row],[Precio Final]]-STOCK[[#This Row],[Costo total]]</f>
        <v>8.87</v>
      </c>
      <c r="X1476" s="76">
        <f>STOCK[[#This Row],[Ganancia Unitaria]]*STOCK[[#This Row],[Salidas]]</f>
        <v>17.74</v>
      </c>
      <c r="Y1476" s="76"/>
      <c r="Z1476" s="76"/>
      <c r="AA1476" s="54">
        <f>STOCK[[#This Row],[Costo total]]*STOCK[[#This Row],[Entradas]]</f>
        <v>16.13</v>
      </c>
      <c r="AB1476" s="54">
        <f>STOCK[[#This Row],[Stock Actual]]*STOCK[[#This Row],[Costo total]]</f>
        <v>-16.13</v>
      </c>
      <c r="AC1476" s="76"/>
    </row>
    <row r="1477" s="53" customFormat="1" ht="50" customHeight="1" spans="1:29">
      <c r="A1477" s="53" t="s">
        <v>2963</v>
      </c>
      <c r="B1477" s="77"/>
      <c r="C1477" s="76" t="s">
        <v>32</v>
      </c>
      <c r="D1477" s="76" t="s">
        <v>2629</v>
      </c>
      <c r="E1477" s="76" t="s">
        <v>2962</v>
      </c>
      <c r="F1477" s="76" t="s">
        <v>49</v>
      </c>
      <c r="G1477" s="76"/>
      <c r="H1477" s="76">
        <f>STOCK[[#This Row],[Precio Final]]</f>
        <v>25</v>
      </c>
      <c r="I1477" s="80">
        <f>STOCK[[#This Row],[Precio Venta Ideal (x1.5)]]</f>
        <v>24.195</v>
      </c>
      <c r="J1477" s="78">
        <v>1</v>
      </c>
      <c r="K1477" s="78">
        <f>SUMIFS(VENTAS[Cantidad],VENTAS[Código del producto Vendido],STOCK[[#This Row],[Code]])</f>
        <v>1</v>
      </c>
      <c r="L1477" s="78">
        <f>STOCK[[#This Row],[Entradas]]-STOCK[[#This Row],[Salidas]]</f>
        <v>0</v>
      </c>
      <c r="M1477" s="76">
        <f>STOCK[[#This Row],[Precio Final]]*10%</f>
        <v>2.5</v>
      </c>
      <c r="N1477" s="76">
        <v>0</v>
      </c>
      <c r="O1477" s="76">
        <v>0</v>
      </c>
      <c r="P1477" s="76">
        <v>11.98</v>
      </c>
      <c r="Q1477" s="78">
        <v>0</v>
      </c>
      <c r="R1477" s="76">
        <v>0</v>
      </c>
      <c r="S1477" s="76">
        <v>1.65</v>
      </c>
      <c r="T1477" s="76">
        <f>STOCK[[#This Row],[Costo Unitario (USD)]]+STOCK[[#This Row],[Costo Envío (USD)]]+STOCK[[#This Row],[Comisión 10%]]</f>
        <v>16.13</v>
      </c>
      <c r="U1477" s="53">
        <f>STOCK[[#This Row],[Costo total]]*1.5</f>
        <v>24.195</v>
      </c>
      <c r="V1477" s="76">
        <v>25</v>
      </c>
      <c r="W1477" s="76">
        <f>STOCK[[#This Row],[Precio Final]]-STOCK[[#This Row],[Costo total]]</f>
        <v>8.87</v>
      </c>
      <c r="X1477" s="76">
        <f>STOCK[[#This Row],[Ganancia Unitaria]]*STOCK[[#This Row],[Salidas]]</f>
        <v>8.87</v>
      </c>
      <c r="Y1477" s="76"/>
      <c r="Z1477" s="76"/>
      <c r="AA1477" s="54">
        <f>STOCK[[#This Row],[Costo total]]*STOCK[[#This Row],[Entradas]]</f>
        <v>16.13</v>
      </c>
      <c r="AB1477" s="54">
        <f>STOCK[[#This Row],[Stock Actual]]*STOCK[[#This Row],[Costo total]]</f>
        <v>0</v>
      </c>
      <c r="AC1477" s="76"/>
    </row>
    <row r="1478" s="53" customFormat="1" ht="50" customHeight="1" spans="1:29">
      <c r="A1478" s="53" t="s">
        <v>2964</v>
      </c>
      <c r="B1478" s="77"/>
      <c r="C1478" s="76" t="s">
        <v>32</v>
      </c>
      <c r="D1478" s="76" t="s">
        <v>2629</v>
      </c>
      <c r="E1478" s="76" t="s">
        <v>2945</v>
      </c>
      <c r="F1478" s="76" t="s">
        <v>49</v>
      </c>
      <c r="G1478" s="76"/>
      <c r="H1478" s="76">
        <f>STOCK[[#This Row],[Precio Final]]</f>
        <v>30</v>
      </c>
      <c r="I1478" s="80">
        <f>STOCK[[#This Row],[Precio Venta Ideal (x1.5)]]</f>
        <v>19.8</v>
      </c>
      <c r="J1478" s="78">
        <v>1</v>
      </c>
      <c r="K1478" s="78">
        <f>SUMIFS(VENTAS[Cantidad],VENTAS[Código del producto Vendido],STOCK[[#This Row],[Code]])</f>
        <v>0</v>
      </c>
      <c r="L1478" s="78">
        <f>STOCK[[#This Row],[Entradas]]-STOCK[[#This Row],[Salidas]]</f>
        <v>1</v>
      </c>
      <c r="M1478" s="76">
        <f>STOCK[[#This Row],[Precio Final]]*10%</f>
        <v>3</v>
      </c>
      <c r="N1478" s="76">
        <v>0</v>
      </c>
      <c r="O1478" s="76">
        <v>0</v>
      </c>
      <c r="P1478" s="76">
        <v>8.55</v>
      </c>
      <c r="Q1478" s="78">
        <v>0</v>
      </c>
      <c r="R1478" s="76">
        <v>0</v>
      </c>
      <c r="S1478" s="76">
        <v>1.65</v>
      </c>
      <c r="T1478" s="76">
        <f>STOCK[[#This Row],[Costo Unitario (USD)]]+STOCK[[#This Row],[Costo Envío (USD)]]+STOCK[[#This Row],[Comisión 10%]]</f>
        <v>13.2</v>
      </c>
      <c r="U1478" s="53">
        <f>STOCK[[#This Row],[Costo total]]*1.5</f>
        <v>19.8</v>
      </c>
      <c r="V1478" s="76">
        <v>30</v>
      </c>
      <c r="W1478" s="76">
        <f>STOCK[[#This Row],[Precio Final]]-STOCK[[#This Row],[Costo total]]</f>
        <v>16.8</v>
      </c>
      <c r="X1478" s="76">
        <f>STOCK[[#This Row],[Ganancia Unitaria]]*STOCK[[#This Row],[Salidas]]</f>
        <v>0</v>
      </c>
      <c r="Y1478" s="76"/>
      <c r="Z1478" s="76"/>
      <c r="AA1478" s="54">
        <f>STOCK[[#This Row],[Costo total]]*STOCK[[#This Row],[Entradas]]</f>
        <v>13.2</v>
      </c>
      <c r="AB1478" s="54">
        <f>STOCK[[#This Row],[Stock Actual]]*STOCK[[#This Row],[Costo total]]</f>
        <v>13.2</v>
      </c>
      <c r="AC1478" s="76"/>
    </row>
    <row r="1479" s="53" customFormat="1" ht="50" customHeight="1" spans="1:29">
      <c r="A1479" s="53" t="s">
        <v>2965</v>
      </c>
      <c r="B1479" s="77"/>
      <c r="C1479" s="76" t="s">
        <v>32</v>
      </c>
      <c r="D1479" s="76" t="s">
        <v>2629</v>
      </c>
      <c r="E1479" s="76" t="s">
        <v>2966</v>
      </c>
      <c r="F1479" s="76" t="s">
        <v>1047</v>
      </c>
      <c r="G1479" s="76"/>
      <c r="H1479" s="76">
        <f>STOCK[[#This Row],[Precio Final]]</f>
        <v>20</v>
      </c>
      <c r="I1479" s="80">
        <f>STOCK[[#This Row],[Precio Venta Ideal (x1.5)]]</f>
        <v>14.445</v>
      </c>
      <c r="J1479" s="78">
        <v>2</v>
      </c>
      <c r="K1479" s="78">
        <f>SUMIFS(VENTAS[Cantidad],VENTAS[Código del producto Vendido],STOCK[[#This Row],[Code]])</f>
        <v>3</v>
      </c>
      <c r="L1479" s="78">
        <f>STOCK[[#This Row],[Entradas]]-STOCK[[#This Row],[Salidas]]</f>
        <v>-1</v>
      </c>
      <c r="M1479" s="76">
        <f>STOCK[[#This Row],[Precio Final]]*10%</f>
        <v>2</v>
      </c>
      <c r="N1479" s="76">
        <v>0</v>
      </c>
      <c r="O1479" s="76">
        <v>0</v>
      </c>
      <c r="P1479" s="76">
        <v>5.98</v>
      </c>
      <c r="Q1479" s="78">
        <v>0</v>
      </c>
      <c r="R1479" s="76">
        <v>0</v>
      </c>
      <c r="S1479" s="76">
        <v>1.65</v>
      </c>
      <c r="T1479" s="76">
        <f>STOCK[[#This Row],[Costo Unitario (USD)]]+STOCK[[#This Row],[Costo Envío (USD)]]+STOCK[[#This Row],[Comisión 10%]]</f>
        <v>9.63</v>
      </c>
      <c r="U1479" s="53">
        <f>STOCK[[#This Row],[Costo total]]*1.5</f>
        <v>14.445</v>
      </c>
      <c r="V1479" s="76">
        <v>20</v>
      </c>
      <c r="W1479" s="76">
        <f>STOCK[[#This Row],[Precio Final]]-STOCK[[#This Row],[Costo total]]</f>
        <v>10.37</v>
      </c>
      <c r="X1479" s="76">
        <f>STOCK[[#This Row],[Ganancia Unitaria]]*STOCK[[#This Row],[Salidas]]</f>
        <v>31.11</v>
      </c>
      <c r="Y1479" s="76"/>
      <c r="Z1479" s="76"/>
      <c r="AA1479" s="54">
        <f>STOCK[[#This Row],[Costo total]]*STOCK[[#This Row],[Entradas]]</f>
        <v>19.26</v>
      </c>
      <c r="AB1479" s="54">
        <f>STOCK[[#This Row],[Stock Actual]]*STOCK[[#This Row],[Costo total]]</f>
        <v>-9.63</v>
      </c>
      <c r="AC1479" s="76"/>
    </row>
    <row r="1480" s="53" customFormat="1" ht="50" customHeight="1" spans="1:29">
      <c r="A1480" s="53" t="s">
        <v>2967</v>
      </c>
      <c r="B1480" s="77"/>
      <c r="C1480" s="76" t="s">
        <v>32</v>
      </c>
      <c r="D1480" s="76" t="s">
        <v>2629</v>
      </c>
      <c r="E1480" s="76" t="s">
        <v>2966</v>
      </c>
      <c r="F1480" s="76" t="s">
        <v>49</v>
      </c>
      <c r="G1480" s="76"/>
      <c r="H1480" s="76">
        <f>STOCK[[#This Row],[Precio Final]]</f>
        <v>20</v>
      </c>
      <c r="I1480" s="80">
        <f>STOCK[[#This Row],[Precio Venta Ideal (x1.5)]]</f>
        <v>14.445</v>
      </c>
      <c r="J1480" s="78">
        <v>1</v>
      </c>
      <c r="K1480" s="78">
        <f>SUMIFS(VENTAS[Cantidad],VENTAS[Código del producto Vendido],STOCK[[#This Row],[Code]])</f>
        <v>1</v>
      </c>
      <c r="L1480" s="78">
        <f>STOCK[[#This Row],[Entradas]]-STOCK[[#This Row],[Salidas]]</f>
        <v>0</v>
      </c>
      <c r="M1480" s="76">
        <f>STOCK[[#This Row],[Precio Final]]*10%</f>
        <v>2</v>
      </c>
      <c r="N1480" s="76">
        <v>0</v>
      </c>
      <c r="O1480" s="76">
        <v>0</v>
      </c>
      <c r="P1480" s="76">
        <v>5.98</v>
      </c>
      <c r="Q1480" s="78">
        <v>0</v>
      </c>
      <c r="R1480" s="76">
        <v>0</v>
      </c>
      <c r="S1480" s="76">
        <v>1.65</v>
      </c>
      <c r="T1480" s="76">
        <f>STOCK[[#This Row],[Costo Unitario (USD)]]+STOCK[[#This Row],[Costo Envío (USD)]]+STOCK[[#This Row],[Comisión 10%]]</f>
        <v>9.63</v>
      </c>
      <c r="U1480" s="53">
        <f>STOCK[[#This Row],[Costo total]]*1.5</f>
        <v>14.445</v>
      </c>
      <c r="V1480" s="76">
        <v>20</v>
      </c>
      <c r="W1480" s="76">
        <f>STOCK[[#This Row],[Precio Final]]-STOCK[[#This Row],[Costo total]]</f>
        <v>10.37</v>
      </c>
      <c r="X1480" s="76">
        <f>STOCK[[#This Row],[Ganancia Unitaria]]*STOCK[[#This Row],[Salidas]]</f>
        <v>10.37</v>
      </c>
      <c r="Y1480" s="76"/>
      <c r="Z1480" s="76"/>
      <c r="AA1480" s="54">
        <f>STOCK[[#This Row],[Costo total]]*STOCK[[#This Row],[Entradas]]</f>
        <v>9.63</v>
      </c>
      <c r="AB1480" s="54">
        <f>STOCK[[#This Row],[Stock Actual]]*STOCK[[#This Row],[Costo total]]</f>
        <v>0</v>
      </c>
      <c r="AC1480" s="76"/>
    </row>
    <row r="1481" s="53" customFormat="1" ht="50" customHeight="1" spans="1:29">
      <c r="A1481" s="53" t="s">
        <v>2968</v>
      </c>
      <c r="B1481" s="77"/>
      <c r="C1481" s="76" t="s">
        <v>32</v>
      </c>
      <c r="D1481" s="76" t="s">
        <v>2629</v>
      </c>
      <c r="E1481" s="76" t="s">
        <v>2966</v>
      </c>
      <c r="F1481" s="76" t="s">
        <v>46</v>
      </c>
      <c r="G1481" s="76"/>
      <c r="H1481" s="76">
        <f>STOCK[[#This Row],[Precio Final]]</f>
        <v>20</v>
      </c>
      <c r="I1481" s="80">
        <f>STOCK[[#This Row],[Precio Venta Ideal (x1.5)]]</f>
        <v>14.445</v>
      </c>
      <c r="J1481" s="78">
        <v>1</v>
      </c>
      <c r="K1481" s="78">
        <f>SUMIFS(VENTAS[Cantidad],VENTAS[Código del producto Vendido],STOCK[[#This Row],[Code]])</f>
        <v>2</v>
      </c>
      <c r="L1481" s="78">
        <f>STOCK[[#This Row],[Entradas]]-STOCK[[#This Row],[Salidas]]</f>
        <v>-1</v>
      </c>
      <c r="M1481" s="76">
        <f>STOCK[[#This Row],[Precio Final]]*10%</f>
        <v>2</v>
      </c>
      <c r="N1481" s="76">
        <v>0</v>
      </c>
      <c r="O1481" s="76">
        <v>0</v>
      </c>
      <c r="P1481" s="76">
        <v>5.98</v>
      </c>
      <c r="Q1481" s="78">
        <v>0</v>
      </c>
      <c r="R1481" s="76">
        <v>0</v>
      </c>
      <c r="S1481" s="76">
        <v>1.65</v>
      </c>
      <c r="T1481" s="76">
        <f>STOCK[[#This Row],[Costo Unitario (USD)]]+STOCK[[#This Row],[Costo Envío (USD)]]+STOCK[[#This Row],[Comisión 10%]]</f>
        <v>9.63</v>
      </c>
      <c r="U1481" s="53">
        <f>STOCK[[#This Row],[Costo total]]*1.5</f>
        <v>14.445</v>
      </c>
      <c r="V1481" s="76">
        <v>20</v>
      </c>
      <c r="W1481" s="76">
        <f>STOCK[[#This Row],[Precio Final]]-STOCK[[#This Row],[Costo total]]</f>
        <v>10.37</v>
      </c>
      <c r="X1481" s="76">
        <f>STOCK[[#This Row],[Ganancia Unitaria]]*STOCK[[#This Row],[Salidas]]</f>
        <v>20.74</v>
      </c>
      <c r="Y1481" s="76"/>
      <c r="Z1481" s="76"/>
      <c r="AA1481" s="54">
        <f>STOCK[[#This Row],[Costo total]]*STOCK[[#This Row],[Entradas]]</f>
        <v>9.63</v>
      </c>
      <c r="AB1481" s="54">
        <f>STOCK[[#This Row],[Stock Actual]]*STOCK[[#This Row],[Costo total]]</f>
        <v>-9.63</v>
      </c>
      <c r="AC1481" s="76"/>
    </row>
    <row r="1482" s="53" customFormat="1" ht="50" customHeight="1" spans="1:29">
      <c r="A1482" s="53" t="s">
        <v>2969</v>
      </c>
      <c r="B1482" s="77"/>
      <c r="C1482" s="76" t="s">
        <v>32</v>
      </c>
      <c r="D1482" s="76" t="s">
        <v>2133</v>
      </c>
      <c r="E1482" s="76" t="s">
        <v>2970</v>
      </c>
      <c r="F1482" s="76" t="s">
        <v>49</v>
      </c>
      <c r="G1482" s="76"/>
      <c r="H1482" s="76">
        <f>STOCK[[#This Row],[Precio Final]]</f>
        <v>40</v>
      </c>
      <c r="I1482" s="80">
        <f>STOCK[[#This Row],[Precio Venta Ideal (x1.5)]]</f>
        <v>27.855</v>
      </c>
      <c r="J1482" s="78">
        <v>1</v>
      </c>
      <c r="K1482" s="78">
        <f>SUMIFS(VENTAS[Cantidad],VENTAS[Código del producto Vendido],STOCK[[#This Row],[Code]])</f>
        <v>2</v>
      </c>
      <c r="L1482" s="78">
        <f>STOCK[[#This Row],[Entradas]]-STOCK[[#This Row],[Salidas]]</f>
        <v>-1</v>
      </c>
      <c r="M1482" s="76">
        <f>STOCK[[#This Row],[Precio Final]]*10%</f>
        <v>4</v>
      </c>
      <c r="N1482" s="76">
        <v>0</v>
      </c>
      <c r="O1482" s="76">
        <v>0</v>
      </c>
      <c r="P1482" s="76">
        <v>12.92</v>
      </c>
      <c r="Q1482" s="78">
        <v>0</v>
      </c>
      <c r="R1482" s="76">
        <v>0</v>
      </c>
      <c r="S1482" s="76">
        <v>1.65</v>
      </c>
      <c r="T1482" s="76">
        <f>STOCK[[#This Row],[Costo Unitario (USD)]]+STOCK[[#This Row],[Costo Envío (USD)]]+STOCK[[#This Row],[Comisión 10%]]</f>
        <v>18.57</v>
      </c>
      <c r="U1482" s="53">
        <f>STOCK[[#This Row],[Costo total]]*1.5</f>
        <v>27.855</v>
      </c>
      <c r="V1482" s="76">
        <v>40</v>
      </c>
      <c r="W1482" s="76">
        <f>STOCK[[#This Row],[Precio Final]]-STOCK[[#This Row],[Costo total]]</f>
        <v>21.43</v>
      </c>
      <c r="X1482" s="76">
        <f>STOCK[[#This Row],[Ganancia Unitaria]]*STOCK[[#This Row],[Salidas]]</f>
        <v>42.86</v>
      </c>
      <c r="Y1482" s="76"/>
      <c r="Z1482" s="76"/>
      <c r="AA1482" s="54">
        <f>STOCK[[#This Row],[Costo total]]*STOCK[[#This Row],[Entradas]]</f>
        <v>18.57</v>
      </c>
      <c r="AB1482" s="54">
        <f>STOCK[[#This Row],[Stock Actual]]*STOCK[[#This Row],[Costo total]]</f>
        <v>-18.57</v>
      </c>
      <c r="AC1482" s="76"/>
    </row>
    <row r="1483" s="53" customFormat="1" ht="50" customHeight="1" spans="1:29">
      <c r="A1483" s="53" t="s">
        <v>2971</v>
      </c>
      <c r="B1483" s="77"/>
      <c r="C1483" s="76" t="s">
        <v>32</v>
      </c>
      <c r="D1483" s="76" t="s">
        <v>2629</v>
      </c>
      <c r="E1483" s="76" t="s">
        <v>2966</v>
      </c>
      <c r="F1483" s="76" t="s">
        <v>62</v>
      </c>
      <c r="G1483" s="76"/>
      <c r="H1483" s="76">
        <f>STOCK[[#This Row],[Precio Final]]</f>
        <v>20</v>
      </c>
      <c r="I1483" s="80">
        <f>STOCK[[#This Row],[Precio Venta Ideal (x1.5)]]</f>
        <v>14.445</v>
      </c>
      <c r="J1483" s="78">
        <v>2</v>
      </c>
      <c r="K1483" s="78">
        <f>SUMIFS(VENTAS[Cantidad],VENTAS[Código del producto Vendido],STOCK[[#This Row],[Code]])</f>
        <v>2</v>
      </c>
      <c r="L1483" s="78">
        <f>STOCK[[#This Row],[Entradas]]-STOCK[[#This Row],[Salidas]]</f>
        <v>0</v>
      </c>
      <c r="M1483" s="76">
        <f>STOCK[[#This Row],[Precio Final]]*10%</f>
        <v>2</v>
      </c>
      <c r="N1483" s="76">
        <v>0</v>
      </c>
      <c r="O1483" s="76">
        <v>0</v>
      </c>
      <c r="P1483" s="76">
        <v>5.98</v>
      </c>
      <c r="Q1483" s="78">
        <v>0</v>
      </c>
      <c r="R1483" s="76">
        <v>0</v>
      </c>
      <c r="S1483" s="76">
        <v>1.65</v>
      </c>
      <c r="T1483" s="76">
        <f>STOCK[[#This Row],[Costo Unitario (USD)]]+STOCK[[#This Row],[Costo Envío (USD)]]+STOCK[[#This Row],[Comisión 10%]]</f>
        <v>9.63</v>
      </c>
      <c r="U1483" s="53">
        <f>STOCK[[#This Row],[Costo total]]*1.5</f>
        <v>14.445</v>
      </c>
      <c r="V1483" s="76">
        <v>20</v>
      </c>
      <c r="W1483" s="76">
        <f>STOCK[[#This Row],[Precio Final]]-STOCK[[#This Row],[Costo total]]</f>
        <v>10.37</v>
      </c>
      <c r="X1483" s="76">
        <f>STOCK[[#This Row],[Ganancia Unitaria]]*STOCK[[#This Row],[Salidas]]</f>
        <v>20.74</v>
      </c>
      <c r="Y1483" s="76"/>
      <c r="Z1483" s="76"/>
      <c r="AA1483" s="54">
        <f>STOCK[[#This Row],[Costo total]]*STOCK[[#This Row],[Entradas]]</f>
        <v>19.26</v>
      </c>
      <c r="AB1483" s="54">
        <f>STOCK[[#This Row],[Stock Actual]]*STOCK[[#This Row],[Costo total]]</f>
        <v>0</v>
      </c>
      <c r="AC1483" s="76"/>
    </row>
    <row r="1484" s="53" customFormat="1" ht="50" customHeight="1" spans="1:29">
      <c r="A1484" s="53" t="s">
        <v>2972</v>
      </c>
      <c r="B1484" s="77"/>
      <c r="C1484" s="76" t="s">
        <v>32</v>
      </c>
      <c r="D1484" s="76" t="s">
        <v>2629</v>
      </c>
      <c r="E1484" s="76" t="s">
        <v>2973</v>
      </c>
      <c r="F1484" s="76" t="s">
        <v>62</v>
      </c>
      <c r="G1484" s="76"/>
      <c r="H1484" s="76">
        <f>STOCK[[#This Row],[Precio Final]]</f>
        <v>25</v>
      </c>
      <c r="I1484" s="80">
        <f>STOCK[[#This Row],[Precio Venta Ideal (x1.5)]]</f>
        <v>22.23</v>
      </c>
      <c r="J1484" s="78">
        <v>2</v>
      </c>
      <c r="K1484" s="78">
        <f>SUMIFS(VENTAS[Cantidad],VENTAS[Código del producto Vendido],STOCK[[#This Row],[Code]])</f>
        <v>4</v>
      </c>
      <c r="L1484" s="78">
        <f>STOCK[[#This Row],[Entradas]]-STOCK[[#This Row],[Salidas]]</f>
        <v>-2</v>
      </c>
      <c r="M1484" s="76">
        <f>STOCK[[#This Row],[Precio Final]]*10%</f>
        <v>2.5</v>
      </c>
      <c r="N1484" s="76">
        <v>0</v>
      </c>
      <c r="O1484" s="76">
        <v>0</v>
      </c>
      <c r="P1484" s="76">
        <v>10.67</v>
      </c>
      <c r="Q1484" s="78">
        <v>0</v>
      </c>
      <c r="R1484" s="76">
        <v>0</v>
      </c>
      <c r="S1484" s="76">
        <v>1.65</v>
      </c>
      <c r="T1484" s="76">
        <f>STOCK[[#This Row],[Costo Unitario (USD)]]+STOCK[[#This Row],[Costo Envío (USD)]]+STOCK[[#This Row],[Comisión 10%]]</f>
        <v>14.82</v>
      </c>
      <c r="U1484" s="53">
        <f>STOCK[[#This Row],[Costo total]]*1.5</f>
        <v>22.23</v>
      </c>
      <c r="V1484" s="76">
        <v>25</v>
      </c>
      <c r="W1484" s="76">
        <f>STOCK[[#This Row],[Precio Final]]-STOCK[[#This Row],[Costo total]]</f>
        <v>10.18</v>
      </c>
      <c r="X1484" s="76">
        <f>STOCK[[#This Row],[Ganancia Unitaria]]*STOCK[[#This Row],[Salidas]]</f>
        <v>40.72</v>
      </c>
      <c r="Y1484" s="76"/>
      <c r="Z1484" s="76"/>
      <c r="AA1484" s="54">
        <f>STOCK[[#This Row],[Costo total]]*STOCK[[#This Row],[Entradas]]</f>
        <v>29.64</v>
      </c>
      <c r="AB1484" s="54">
        <f>STOCK[[#This Row],[Stock Actual]]*STOCK[[#This Row],[Costo total]]</f>
        <v>-29.64</v>
      </c>
      <c r="AC1484" s="76"/>
    </row>
    <row r="1485" s="53" customFormat="1" ht="50" customHeight="1" spans="1:29">
      <c r="A1485" s="53" t="s">
        <v>2974</v>
      </c>
      <c r="B1485" s="77"/>
      <c r="C1485" s="76" t="s">
        <v>32</v>
      </c>
      <c r="D1485" s="76" t="s">
        <v>2629</v>
      </c>
      <c r="E1485" s="76" t="s">
        <v>2973</v>
      </c>
      <c r="F1485" s="76" t="s">
        <v>49</v>
      </c>
      <c r="G1485" s="76"/>
      <c r="H1485" s="76">
        <f>STOCK[[#This Row],[Precio Final]]</f>
        <v>25</v>
      </c>
      <c r="I1485" s="80">
        <f>STOCK[[#This Row],[Precio Venta Ideal (x1.5)]]</f>
        <v>22.23</v>
      </c>
      <c r="J1485" s="78">
        <v>2</v>
      </c>
      <c r="K1485" s="78">
        <f>SUMIFS(VENTAS[Cantidad],VENTAS[Código del producto Vendido],STOCK[[#This Row],[Code]])</f>
        <v>4</v>
      </c>
      <c r="L1485" s="78">
        <f>STOCK[[#This Row],[Entradas]]-STOCK[[#This Row],[Salidas]]</f>
        <v>-2</v>
      </c>
      <c r="M1485" s="76">
        <f>STOCK[[#This Row],[Precio Final]]*10%</f>
        <v>2.5</v>
      </c>
      <c r="N1485" s="76">
        <v>0</v>
      </c>
      <c r="O1485" s="76">
        <v>0</v>
      </c>
      <c r="P1485" s="76">
        <v>10.67</v>
      </c>
      <c r="Q1485" s="78">
        <v>0</v>
      </c>
      <c r="R1485" s="76">
        <v>0</v>
      </c>
      <c r="S1485" s="76">
        <v>1.65</v>
      </c>
      <c r="T1485" s="76">
        <f>STOCK[[#This Row],[Costo Unitario (USD)]]+STOCK[[#This Row],[Costo Envío (USD)]]+STOCK[[#This Row],[Comisión 10%]]</f>
        <v>14.82</v>
      </c>
      <c r="U1485" s="53">
        <f>STOCK[[#This Row],[Costo total]]*1.5</f>
        <v>22.23</v>
      </c>
      <c r="V1485" s="76">
        <v>25</v>
      </c>
      <c r="W1485" s="76">
        <f>STOCK[[#This Row],[Precio Final]]-STOCK[[#This Row],[Costo total]]</f>
        <v>10.18</v>
      </c>
      <c r="X1485" s="76">
        <f>STOCK[[#This Row],[Ganancia Unitaria]]*STOCK[[#This Row],[Salidas]]</f>
        <v>40.72</v>
      </c>
      <c r="Y1485" s="76"/>
      <c r="Z1485" s="76"/>
      <c r="AA1485" s="54">
        <f>STOCK[[#This Row],[Costo total]]*STOCK[[#This Row],[Entradas]]</f>
        <v>29.64</v>
      </c>
      <c r="AB1485" s="54">
        <f>STOCK[[#This Row],[Stock Actual]]*STOCK[[#This Row],[Costo total]]</f>
        <v>-29.64</v>
      </c>
      <c r="AC1485" s="76"/>
    </row>
    <row r="1486" s="53" customFormat="1" ht="50" customHeight="1" spans="1:29">
      <c r="A1486" s="53" t="s">
        <v>2975</v>
      </c>
      <c r="B1486" s="77"/>
      <c r="C1486" s="76" t="s">
        <v>32</v>
      </c>
      <c r="D1486" s="76" t="s">
        <v>2629</v>
      </c>
      <c r="E1486" s="76" t="s">
        <v>2973</v>
      </c>
      <c r="F1486" s="76" t="s">
        <v>46</v>
      </c>
      <c r="G1486" s="76"/>
      <c r="H1486" s="76">
        <f>STOCK[[#This Row],[Precio Final]]</f>
        <v>25</v>
      </c>
      <c r="I1486" s="80">
        <f>STOCK[[#This Row],[Precio Venta Ideal (x1.5)]]</f>
        <v>22.23</v>
      </c>
      <c r="J1486" s="78">
        <v>2</v>
      </c>
      <c r="K1486" s="78">
        <f>SUMIFS(VENTAS[Cantidad],VENTAS[Código del producto Vendido],STOCK[[#This Row],[Code]])</f>
        <v>1</v>
      </c>
      <c r="L1486" s="78">
        <f>STOCK[[#This Row],[Entradas]]-STOCK[[#This Row],[Salidas]]</f>
        <v>1</v>
      </c>
      <c r="M1486" s="76">
        <f>STOCK[[#This Row],[Precio Final]]*10%</f>
        <v>2.5</v>
      </c>
      <c r="N1486" s="76">
        <v>0</v>
      </c>
      <c r="O1486" s="76">
        <v>0</v>
      </c>
      <c r="P1486" s="76">
        <v>10.67</v>
      </c>
      <c r="Q1486" s="78">
        <v>0</v>
      </c>
      <c r="R1486" s="76">
        <v>0</v>
      </c>
      <c r="S1486" s="76">
        <v>1.65</v>
      </c>
      <c r="T1486" s="76">
        <f>STOCK[[#This Row],[Costo Unitario (USD)]]+STOCK[[#This Row],[Costo Envío (USD)]]+STOCK[[#This Row],[Comisión 10%]]</f>
        <v>14.82</v>
      </c>
      <c r="U1486" s="53">
        <f>STOCK[[#This Row],[Costo total]]*1.5</f>
        <v>22.23</v>
      </c>
      <c r="V1486" s="76">
        <v>25</v>
      </c>
      <c r="W1486" s="76">
        <f>STOCK[[#This Row],[Precio Final]]-STOCK[[#This Row],[Costo total]]</f>
        <v>10.18</v>
      </c>
      <c r="X1486" s="76">
        <f>STOCK[[#This Row],[Ganancia Unitaria]]*STOCK[[#This Row],[Salidas]]</f>
        <v>10.18</v>
      </c>
      <c r="Y1486" s="76"/>
      <c r="Z1486" s="76"/>
      <c r="AA1486" s="54">
        <f>STOCK[[#This Row],[Costo total]]*STOCK[[#This Row],[Entradas]]</f>
        <v>29.64</v>
      </c>
      <c r="AB1486" s="54">
        <f>STOCK[[#This Row],[Stock Actual]]*STOCK[[#This Row],[Costo total]]</f>
        <v>14.82</v>
      </c>
      <c r="AC1486" s="76"/>
    </row>
    <row r="1487" s="53" customFormat="1" ht="50" customHeight="1" spans="1:29">
      <c r="A1487" s="53" t="s">
        <v>2976</v>
      </c>
      <c r="B1487" s="77"/>
      <c r="C1487" s="76" t="s">
        <v>32</v>
      </c>
      <c r="D1487" s="76" t="s">
        <v>2111</v>
      </c>
      <c r="E1487" s="76" t="s">
        <v>2977</v>
      </c>
      <c r="F1487" s="76" t="s">
        <v>2817</v>
      </c>
      <c r="G1487" s="76"/>
      <c r="H1487" s="76">
        <f>STOCK[[#This Row],[Precio Final]]</f>
        <v>12</v>
      </c>
      <c r="I1487" s="80">
        <f>STOCK[[#This Row],[Precio Venta Ideal (x1.5)]]</f>
        <v>8.76</v>
      </c>
      <c r="J1487" s="78">
        <v>6</v>
      </c>
      <c r="K1487" s="78">
        <f>SUMIFS(VENTAS[Cantidad],VENTAS[Código del producto Vendido],STOCK[[#This Row],[Code]])</f>
        <v>1</v>
      </c>
      <c r="L1487" s="78">
        <f>STOCK[[#This Row],[Entradas]]-STOCK[[#This Row],[Salidas]]</f>
        <v>5</v>
      </c>
      <c r="M1487" s="76">
        <f>STOCK[[#This Row],[Precio Final]]*10%</f>
        <v>1.2</v>
      </c>
      <c r="N1487" s="76">
        <v>0</v>
      </c>
      <c r="O1487" s="76">
        <v>0</v>
      </c>
      <c r="P1487" s="76">
        <v>2.99</v>
      </c>
      <c r="Q1487" s="78">
        <v>0</v>
      </c>
      <c r="R1487" s="76">
        <v>0</v>
      </c>
      <c r="S1487" s="76">
        <v>1.65</v>
      </c>
      <c r="T1487" s="76">
        <f>STOCK[[#This Row],[Costo Unitario (USD)]]+STOCK[[#This Row],[Costo Envío (USD)]]+STOCK[[#This Row],[Comisión 10%]]</f>
        <v>5.84</v>
      </c>
      <c r="U1487" s="53">
        <f>STOCK[[#This Row],[Costo total]]*1.5</f>
        <v>8.76</v>
      </c>
      <c r="V1487" s="76">
        <v>12</v>
      </c>
      <c r="W1487" s="76">
        <f>STOCK[[#This Row],[Precio Final]]-STOCK[[#This Row],[Costo total]]</f>
        <v>6.16</v>
      </c>
      <c r="X1487" s="76">
        <f>STOCK[[#This Row],[Ganancia Unitaria]]*STOCK[[#This Row],[Salidas]]</f>
        <v>6.16</v>
      </c>
      <c r="Y1487" s="76"/>
      <c r="Z1487" s="76"/>
      <c r="AA1487" s="54">
        <f>STOCK[[#This Row],[Costo total]]*STOCK[[#This Row],[Entradas]]</f>
        <v>35.04</v>
      </c>
      <c r="AB1487" s="54">
        <f>STOCK[[#This Row],[Stock Actual]]*STOCK[[#This Row],[Costo total]]</f>
        <v>29.2</v>
      </c>
      <c r="AC1487" s="76"/>
    </row>
    <row r="1488" s="53" customFormat="1" ht="50" customHeight="1" spans="1:29">
      <c r="A1488" s="53" t="s">
        <v>2978</v>
      </c>
      <c r="B1488" s="77"/>
      <c r="C1488" s="76" t="s">
        <v>32</v>
      </c>
      <c r="D1488" s="76" t="s">
        <v>2111</v>
      </c>
      <c r="E1488" s="76" t="s">
        <v>2979</v>
      </c>
      <c r="F1488" s="76" t="s">
        <v>2817</v>
      </c>
      <c r="G1488" s="76"/>
      <c r="H1488" s="76">
        <f>STOCK[[#This Row],[Precio Final]]</f>
        <v>12</v>
      </c>
      <c r="I1488" s="80">
        <f>STOCK[[#This Row],[Precio Venta Ideal (x1.5)]]</f>
        <v>9.045</v>
      </c>
      <c r="J1488" s="78">
        <v>4</v>
      </c>
      <c r="K1488" s="78">
        <f>SUMIFS(VENTAS[Cantidad],VENTAS[Código del producto Vendido],STOCK[[#This Row],[Code]])</f>
        <v>0</v>
      </c>
      <c r="L1488" s="78">
        <f>STOCK[[#This Row],[Entradas]]-STOCK[[#This Row],[Salidas]]</f>
        <v>4</v>
      </c>
      <c r="M1488" s="76">
        <f>STOCK[[#This Row],[Precio Final]]*10%</f>
        <v>1.2</v>
      </c>
      <c r="N1488" s="76">
        <v>0</v>
      </c>
      <c r="O1488" s="76">
        <v>0</v>
      </c>
      <c r="P1488" s="76">
        <v>3.18</v>
      </c>
      <c r="Q1488" s="78">
        <v>0</v>
      </c>
      <c r="R1488" s="76">
        <v>0</v>
      </c>
      <c r="S1488" s="76">
        <v>1.65</v>
      </c>
      <c r="T1488" s="76">
        <f>STOCK[[#This Row],[Costo Unitario (USD)]]+STOCK[[#This Row],[Costo Envío (USD)]]+STOCK[[#This Row],[Comisión 10%]]</f>
        <v>6.03</v>
      </c>
      <c r="U1488" s="53">
        <f>STOCK[[#This Row],[Costo total]]*1.5</f>
        <v>9.045</v>
      </c>
      <c r="V1488" s="76">
        <v>12</v>
      </c>
      <c r="W1488" s="76">
        <f>STOCK[[#This Row],[Precio Final]]-STOCK[[#This Row],[Costo total]]</f>
        <v>5.97</v>
      </c>
      <c r="X1488" s="76">
        <f>STOCK[[#This Row],[Ganancia Unitaria]]*STOCK[[#This Row],[Salidas]]</f>
        <v>0</v>
      </c>
      <c r="Y1488" s="76"/>
      <c r="Z1488" s="76"/>
      <c r="AA1488" s="54">
        <f>STOCK[[#This Row],[Costo total]]*STOCK[[#This Row],[Entradas]]</f>
        <v>24.12</v>
      </c>
      <c r="AB1488" s="54">
        <f>STOCK[[#This Row],[Stock Actual]]*STOCK[[#This Row],[Costo total]]</f>
        <v>24.12</v>
      </c>
      <c r="AC1488" s="76"/>
    </row>
    <row r="1489" s="53" customFormat="1" ht="50" customHeight="1" spans="1:29">
      <c r="A1489" s="53" t="s">
        <v>2980</v>
      </c>
      <c r="B1489" s="77"/>
      <c r="C1489" s="76" t="s">
        <v>32</v>
      </c>
      <c r="D1489" s="76" t="s">
        <v>1808</v>
      </c>
      <c r="E1489" s="76" t="s">
        <v>2981</v>
      </c>
      <c r="F1489" s="76" t="s">
        <v>525</v>
      </c>
      <c r="G1489" s="76"/>
      <c r="H1489" s="76">
        <f>STOCK[[#This Row],[Precio Final]]</f>
        <v>35</v>
      </c>
      <c r="I1489" s="80">
        <f>STOCK[[#This Row],[Precio Venta Ideal (x1.5)]]</f>
        <v>14.25</v>
      </c>
      <c r="J1489" s="78">
        <v>2</v>
      </c>
      <c r="K1489" s="78">
        <f>SUMIFS(VENTAS[Cantidad],VENTAS[Código del producto Vendido],STOCK[[#This Row],[Code]])</f>
        <v>0</v>
      </c>
      <c r="L1489" s="78">
        <f>STOCK[[#This Row],[Entradas]]-STOCK[[#This Row],[Salidas]]</f>
        <v>2</v>
      </c>
      <c r="M1489" s="76">
        <f>STOCK[[#This Row],[Precio Final]]*10%</f>
        <v>3.5</v>
      </c>
      <c r="N1489" s="76">
        <v>0</v>
      </c>
      <c r="O1489" s="76">
        <v>0</v>
      </c>
      <c r="P1489" s="76">
        <v>4.35</v>
      </c>
      <c r="Q1489" s="78">
        <v>0</v>
      </c>
      <c r="R1489" s="76">
        <v>0</v>
      </c>
      <c r="S1489" s="76">
        <v>1.65</v>
      </c>
      <c r="T1489" s="76">
        <f>STOCK[[#This Row],[Costo Unitario (USD)]]+STOCK[[#This Row],[Costo Envío (USD)]]+STOCK[[#This Row],[Comisión 10%]]</f>
        <v>9.5</v>
      </c>
      <c r="U1489" s="53">
        <f>STOCK[[#This Row],[Costo total]]*1.5</f>
        <v>14.25</v>
      </c>
      <c r="V1489" s="76">
        <v>35</v>
      </c>
      <c r="W1489" s="76">
        <f>STOCK[[#This Row],[Precio Final]]-STOCK[[#This Row],[Costo total]]</f>
        <v>25.5</v>
      </c>
      <c r="X1489" s="76">
        <f>STOCK[[#This Row],[Ganancia Unitaria]]*STOCK[[#This Row],[Salidas]]</f>
        <v>0</v>
      </c>
      <c r="Y1489" s="76"/>
      <c r="Z1489" s="76"/>
      <c r="AA1489" s="54">
        <f>STOCK[[#This Row],[Costo total]]*STOCK[[#This Row],[Entradas]]</f>
        <v>19</v>
      </c>
      <c r="AB1489" s="54">
        <f>STOCK[[#This Row],[Stock Actual]]*STOCK[[#This Row],[Costo total]]</f>
        <v>19</v>
      </c>
      <c r="AC1489" s="76"/>
    </row>
    <row r="1490" s="53" customFormat="1" ht="50" customHeight="1" spans="1:29">
      <c r="A1490" s="53" t="s">
        <v>2982</v>
      </c>
      <c r="B1490" s="77"/>
      <c r="C1490" s="76" t="s">
        <v>32</v>
      </c>
      <c r="D1490" s="76" t="s">
        <v>2629</v>
      </c>
      <c r="E1490" s="76" t="s">
        <v>2983</v>
      </c>
      <c r="F1490" s="76" t="s">
        <v>46</v>
      </c>
      <c r="G1490" s="76"/>
      <c r="H1490" s="76">
        <f>STOCK[[#This Row],[Precio Final]]</f>
        <v>35</v>
      </c>
      <c r="I1490" s="80">
        <f>STOCK[[#This Row],[Precio Venta Ideal (x1.5)]]</f>
        <v>23.775</v>
      </c>
      <c r="J1490" s="78">
        <v>2</v>
      </c>
      <c r="K1490" s="78">
        <f>SUMIFS(VENTAS[Cantidad],VENTAS[Código del producto Vendido],STOCK[[#This Row],[Code]])</f>
        <v>1</v>
      </c>
      <c r="L1490" s="78">
        <f>STOCK[[#This Row],[Entradas]]-STOCK[[#This Row],[Salidas]]</f>
        <v>1</v>
      </c>
      <c r="M1490" s="76">
        <f>STOCK[[#This Row],[Precio Final]]*10%</f>
        <v>3.5</v>
      </c>
      <c r="N1490" s="76">
        <v>0</v>
      </c>
      <c r="O1490" s="76">
        <v>0</v>
      </c>
      <c r="P1490" s="76">
        <v>10.7</v>
      </c>
      <c r="Q1490" s="78">
        <v>0</v>
      </c>
      <c r="R1490" s="76">
        <v>0</v>
      </c>
      <c r="S1490" s="76">
        <v>1.65</v>
      </c>
      <c r="T1490" s="76">
        <f>STOCK[[#This Row],[Costo Unitario (USD)]]+STOCK[[#This Row],[Costo Envío (USD)]]+STOCK[[#This Row],[Comisión 10%]]</f>
        <v>15.85</v>
      </c>
      <c r="U1490" s="53">
        <f>STOCK[[#This Row],[Costo total]]*1.5</f>
        <v>23.775</v>
      </c>
      <c r="V1490" s="76">
        <v>35</v>
      </c>
      <c r="W1490" s="76">
        <f>STOCK[[#This Row],[Precio Final]]-STOCK[[#This Row],[Costo total]]</f>
        <v>19.15</v>
      </c>
      <c r="X1490" s="76">
        <f>STOCK[[#This Row],[Ganancia Unitaria]]*STOCK[[#This Row],[Salidas]]</f>
        <v>19.15</v>
      </c>
      <c r="Y1490" s="76"/>
      <c r="Z1490" s="76"/>
      <c r="AA1490" s="54">
        <f>STOCK[[#This Row],[Costo total]]*STOCK[[#This Row],[Entradas]]</f>
        <v>31.7</v>
      </c>
      <c r="AB1490" s="54">
        <f>STOCK[[#This Row],[Stock Actual]]*STOCK[[#This Row],[Costo total]]</f>
        <v>15.85</v>
      </c>
      <c r="AC1490" s="76"/>
    </row>
    <row r="1491" s="53" customFormat="1" ht="50" customHeight="1" spans="1:29">
      <c r="A1491" s="53" t="s">
        <v>2984</v>
      </c>
      <c r="B1491" s="77"/>
      <c r="C1491" s="76" t="s">
        <v>32</v>
      </c>
      <c r="D1491" s="76" t="s">
        <v>2629</v>
      </c>
      <c r="E1491" s="76" t="s">
        <v>2985</v>
      </c>
      <c r="F1491" s="76" t="s">
        <v>62</v>
      </c>
      <c r="G1491" s="76"/>
      <c r="H1491" s="76">
        <f>STOCK[[#This Row],[Precio Final]]</f>
        <v>30</v>
      </c>
      <c r="I1491" s="80">
        <f>STOCK[[#This Row],[Precio Venta Ideal (x1.5)]]</f>
        <v>21.03</v>
      </c>
      <c r="J1491" s="78">
        <v>1</v>
      </c>
      <c r="K1491" s="78">
        <f>SUMIFS(VENTAS[Cantidad],VENTAS[Código del producto Vendido],STOCK[[#This Row],[Code]])</f>
        <v>2</v>
      </c>
      <c r="L1491" s="78">
        <f>STOCK[[#This Row],[Entradas]]-STOCK[[#This Row],[Salidas]]</f>
        <v>-1</v>
      </c>
      <c r="M1491" s="76">
        <f>STOCK[[#This Row],[Precio Final]]*10%</f>
        <v>3</v>
      </c>
      <c r="N1491" s="76">
        <v>0</v>
      </c>
      <c r="O1491" s="76">
        <v>0</v>
      </c>
      <c r="P1491" s="76">
        <v>9.37</v>
      </c>
      <c r="Q1491" s="78">
        <v>0</v>
      </c>
      <c r="R1491" s="76">
        <v>0</v>
      </c>
      <c r="S1491" s="76">
        <v>1.65</v>
      </c>
      <c r="T1491" s="76">
        <f>STOCK[[#This Row],[Costo Unitario (USD)]]+STOCK[[#This Row],[Costo Envío (USD)]]+STOCK[[#This Row],[Comisión 10%]]</f>
        <v>14.02</v>
      </c>
      <c r="U1491" s="53">
        <f>STOCK[[#This Row],[Costo total]]*1.5</f>
        <v>21.03</v>
      </c>
      <c r="V1491" s="76">
        <v>30</v>
      </c>
      <c r="W1491" s="76">
        <f>STOCK[[#This Row],[Precio Final]]-STOCK[[#This Row],[Costo total]]</f>
        <v>15.98</v>
      </c>
      <c r="X1491" s="76">
        <f>STOCK[[#This Row],[Ganancia Unitaria]]*STOCK[[#This Row],[Salidas]]</f>
        <v>31.96</v>
      </c>
      <c r="Y1491" s="76"/>
      <c r="Z1491" s="76"/>
      <c r="AA1491" s="54">
        <f>STOCK[[#This Row],[Costo total]]*STOCK[[#This Row],[Entradas]]</f>
        <v>14.02</v>
      </c>
      <c r="AB1491" s="54">
        <f>STOCK[[#This Row],[Stock Actual]]*STOCK[[#This Row],[Costo total]]</f>
        <v>-14.02</v>
      </c>
      <c r="AC1491" s="76"/>
    </row>
    <row r="1492" s="53" customFormat="1" ht="50" customHeight="1" spans="1:29">
      <c r="A1492" s="53" t="s">
        <v>2986</v>
      </c>
      <c r="B1492" s="77"/>
      <c r="C1492" s="76" t="s">
        <v>32</v>
      </c>
      <c r="D1492" s="76" t="s">
        <v>2629</v>
      </c>
      <c r="E1492" s="76" t="s">
        <v>2985</v>
      </c>
      <c r="F1492" s="76" t="s">
        <v>46</v>
      </c>
      <c r="G1492" s="76"/>
      <c r="H1492" s="76">
        <f>STOCK[[#This Row],[Precio Final]]</f>
        <v>30</v>
      </c>
      <c r="I1492" s="80">
        <f>STOCK[[#This Row],[Precio Venta Ideal (x1.5)]]</f>
        <v>21.03</v>
      </c>
      <c r="J1492" s="78">
        <v>1</v>
      </c>
      <c r="K1492" s="78">
        <f>SUMIFS(VENTAS[Cantidad],VENTAS[Código del producto Vendido],STOCK[[#This Row],[Code]])</f>
        <v>1</v>
      </c>
      <c r="L1492" s="78">
        <f>STOCK[[#This Row],[Entradas]]-STOCK[[#This Row],[Salidas]]</f>
        <v>0</v>
      </c>
      <c r="M1492" s="76">
        <f>STOCK[[#This Row],[Precio Final]]*10%</f>
        <v>3</v>
      </c>
      <c r="N1492" s="76">
        <v>0</v>
      </c>
      <c r="O1492" s="76">
        <v>0</v>
      </c>
      <c r="P1492" s="76">
        <v>9.37</v>
      </c>
      <c r="Q1492" s="78">
        <v>0</v>
      </c>
      <c r="R1492" s="76">
        <v>0</v>
      </c>
      <c r="S1492" s="76">
        <v>1.65</v>
      </c>
      <c r="T1492" s="76">
        <f>STOCK[[#This Row],[Costo Unitario (USD)]]+STOCK[[#This Row],[Costo Envío (USD)]]+STOCK[[#This Row],[Comisión 10%]]</f>
        <v>14.02</v>
      </c>
      <c r="U1492" s="53">
        <f>STOCK[[#This Row],[Costo total]]*1.5</f>
        <v>21.03</v>
      </c>
      <c r="V1492" s="76">
        <v>30</v>
      </c>
      <c r="W1492" s="76">
        <f>STOCK[[#This Row],[Precio Final]]-STOCK[[#This Row],[Costo total]]</f>
        <v>15.98</v>
      </c>
      <c r="X1492" s="76">
        <f>STOCK[[#This Row],[Ganancia Unitaria]]*STOCK[[#This Row],[Salidas]]</f>
        <v>15.98</v>
      </c>
      <c r="Y1492" s="76"/>
      <c r="Z1492" s="76"/>
      <c r="AA1492" s="54">
        <f>STOCK[[#This Row],[Costo total]]*STOCK[[#This Row],[Entradas]]</f>
        <v>14.02</v>
      </c>
      <c r="AB1492" s="54">
        <f>STOCK[[#This Row],[Stock Actual]]*STOCK[[#This Row],[Costo total]]</f>
        <v>0</v>
      </c>
      <c r="AC1492" s="76"/>
    </row>
    <row r="1493" s="53" customFormat="1" ht="50" customHeight="1" spans="1:29">
      <c r="A1493" s="53" t="s">
        <v>2987</v>
      </c>
      <c r="B1493" s="77"/>
      <c r="C1493" s="76" t="s">
        <v>32</v>
      </c>
      <c r="D1493" s="76" t="s">
        <v>1808</v>
      </c>
      <c r="E1493" s="76" t="s">
        <v>2988</v>
      </c>
      <c r="F1493" s="76" t="s">
        <v>525</v>
      </c>
      <c r="G1493" s="76"/>
      <c r="H1493" s="76">
        <f>STOCK[[#This Row],[Precio Final]]</f>
        <v>10</v>
      </c>
      <c r="I1493" s="80">
        <f>STOCK[[#This Row],[Precio Venta Ideal (x1.5)]]</f>
        <v>6.915</v>
      </c>
      <c r="J1493" s="78">
        <v>5</v>
      </c>
      <c r="K1493" s="78">
        <f>SUMIFS(VENTAS[Cantidad],VENTAS[Código del producto Vendido],STOCK[[#This Row],[Code]])</f>
        <v>0</v>
      </c>
      <c r="L1493" s="78">
        <f>STOCK[[#This Row],[Entradas]]-STOCK[[#This Row],[Salidas]]</f>
        <v>5</v>
      </c>
      <c r="M1493" s="76">
        <f>STOCK[[#This Row],[Precio Final]]*10%</f>
        <v>1</v>
      </c>
      <c r="N1493" s="76">
        <v>0</v>
      </c>
      <c r="O1493" s="76">
        <v>0</v>
      </c>
      <c r="P1493" s="76">
        <v>1.96</v>
      </c>
      <c r="Q1493" s="78">
        <v>0</v>
      </c>
      <c r="R1493" s="76">
        <v>0</v>
      </c>
      <c r="S1493" s="76">
        <v>1.65</v>
      </c>
      <c r="T1493" s="76">
        <f>STOCK[[#This Row],[Costo Unitario (USD)]]+STOCK[[#This Row],[Costo Envío (USD)]]+STOCK[[#This Row],[Comisión 10%]]</f>
        <v>4.61</v>
      </c>
      <c r="U1493" s="53">
        <f>STOCK[[#This Row],[Costo total]]*1.5</f>
        <v>6.915</v>
      </c>
      <c r="V1493" s="76">
        <v>10</v>
      </c>
      <c r="W1493" s="76">
        <f>STOCK[[#This Row],[Precio Final]]-STOCK[[#This Row],[Costo total]]</f>
        <v>5.39</v>
      </c>
      <c r="X1493" s="76">
        <f>STOCK[[#This Row],[Ganancia Unitaria]]*STOCK[[#This Row],[Salidas]]</f>
        <v>0</v>
      </c>
      <c r="Y1493" s="76"/>
      <c r="Z1493" s="76"/>
      <c r="AA1493" s="54">
        <f>STOCK[[#This Row],[Costo total]]*STOCK[[#This Row],[Entradas]]</f>
        <v>23.05</v>
      </c>
      <c r="AB1493" s="54">
        <f>STOCK[[#This Row],[Stock Actual]]*STOCK[[#This Row],[Costo total]]</f>
        <v>23.05</v>
      </c>
      <c r="AC1493" s="76"/>
    </row>
    <row r="1494" s="53" customFormat="1" ht="50" customHeight="1" spans="1:29">
      <c r="A1494" s="53" t="s">
        <v>2989</v>
      </c>
      <c r="B1494" s="77"/>
      <c r="C1494" s="76" t="s">
        <v>32</v>
      </c>
      <c r="D1494" s="76" t="s">
        <v>2127</v>
      </c>
      <c r="E1494" s="76" t="s">
        <v>2990</v>
      </c>
      <c r="F1494" s="76" t="s">
        <v>62</v>
      </c>
      <c r="G1494" s="76"/>
      <c r="H1494" s="76">
        <f>STOCK[[#This Row],[Precio Final]]</f>
        <v>20</v>
      </c>
      <c r="I1494" s="80">
        <f>STOCK[[#This Row],[Precio Venta Ideal (x1.5)]]</f>
        <v>18.93</v>
      </c>
      <c r="J1494" s="78">
        <v>2</v>
      </c>
      <c r="K1494" s="78">
        <f>SUMIFS(VENTAS[Cantidad],VENTAS[Código del producto Vendido],STOCK[[#This Row],[Code]])</f>
        <v>2</v>
      </c>
      <c r="L1494" s="78">
        <f>STOCK[[#This Row],[Entradas]]-STOCK[[#This Row],[Salidas]]</f>
        <v>0</v>
      </c>
      <c r="M1494" s="76">
        <f>STOCK[[#This Row],[Precio Final]]*10%</f>
        <v>2</v>
      </c>
      <c r="N1494" s="76">
        <v>0</v>
      </c>
      <c r="O1494" s="76">
        <v>0</v>
      </c>
      <c r="P1494" s="76">
        <v>8.97</v>
      </c>
      <c r="Q1494" s="78">
        <v>0</v>
      </c>
      <c r="R1494" s="76">
        <v>0</v>
      </c>
      <c r="S1494" s="76">
        <v>1.65</v>
      </c>
      <c r="T1494" s="76">
        <f>STOCK[[#This Row],[Costo Unitario (USD)]]+STOCK[[#This Row],[Costo Envío (USD)]]+STOCK[[#This Row],[Comisión 10%]]</f>
        <v>12.62</v>
      </c>
      <c r="U1494" s="53">
        <f>STOCK[[#This Row],[Costo total]]*1.5</f>
        <v>18.93</v>
      </c>
      <c r="V1494" s="76">
        <v>20</v>
      </c>
      <c r="W1494" s="76">
        <f>STOCK[[#This Row],[Precio Final]]-STOCK[[#This Row],[Costo total]]</f>
        <v>7.38</v>
      </c>
      <c r="X1494" s="76">
        <f>STOCK[[#This Row],[Ganancia Unitaria]]*STOCK[[#This Row],[Salidas]]</f>
        <v>14.76</v>
      </c>
      <c r="Y1494" s="76"/>
      <c r="Z1494" s="76"/>
      <c r="AA1494" s="54">
        <f>STOCK[[#This Row],[Costo total]]*STOCK[[#This Row],[Entradas]]</f>
        <v>25.24</v>
      </c>
      <c r="AB1494" s="54">
        <f>STOCK[[#This Row],[Stock Actual]]*STOCK[[#This Row],[Costo total]]</f>
        <v>0</v>
      </c>
      <c r="AC1494" s="76"/>
    </row>
    <row r="1495" s="53" customFormat="1" ht="50" customHeight="1" spans="1:29">
      <c r="A1495" s="53" t="s">
        <v>2991</v>
      </c>
      <c r="B1495" s="77"/>
      <c r="C1495" s="76" t="s">
        <v>32</v>
      </c>
      <c r="D1495" s="76" t="s">
        <v>2127</v>
      </c>
      <c r="E1495" s="76" t="s">
        <v>2990</v>
      </c>
      <c r="F1495" s="76" t="s">
        <v>49</v>
      </c>
      <c r="G1495" s="76"/>
      <c r="H1495" s="76">
        <f>STOCK[[#This Row],[Precio Final]]</f>
        <v>20</v>
      </c>
      <c r="I1495" s="80">
        <f>STOCK[[#This Row],[Precio Venta Ideal (x1.5)]]</f>
        <v>18.93</v>
      </c>
      <c r="J1495" s="78">
        <v>1</v>
      </c>
      <c r="K1495" s="78">
        <f>SUMIFS(VENTAS[Cantidad],VENTAS[Código del producto Vendido],STOCK[[#This Row],[Code]])</f>
        <v>1</v>
      </c>
      <c r="L1495" s="78">
        <f>STOCK[[#This Row],[Entradas]]-STOCK[[#This Row],[Salidas]]</f>
        <v>0</v>
      </c>
      <c r="M1495" s="76">
        <f>STOCK[[#This Row],[Precio Final]]*10%</f>
        <v>2</v>
      </c>
      <c r="N1495" s="76">
        <v>0</v>
      </c>
      <c r="O1495" s="76">
        <v>0</v>
      </c>
      <c r="P1495" s="76">
        <v>8.97</v>
      </c>
      <c r="Q1495" s="78">
        <v>0</v>
      </c>
      <c r="R1495" s="76">
        <v>0</v>
      </c>
      <c r="S1495" s="76">
        <v>1.65</v>
      </c>
      <c r="T1495" s="76">
        <f>STOCK[[#This Row],[Costo Unitario (USD)]]+STOCK[[#This Row],[Costo Envío (USD)]]+STOCK[[#This Row],[Comisión 10%]]</f>
        <v>12.62</v>
      </c>
      <c r="U1495" s="53">
        <f>STOCK[[#This Row],[Costo total]]*1.5</f>
        <v>18.93</v>
      </c>
      <c r="V1495" s="76">
        <v>20</v>
      </c>
      <c r="W1495" s="76">
        <f>STOCK[[#This Row],[Precio Final]]-STOCK[[#This Row],[Costo total]]</f>
        <v>7.38</v>
      </c>
      <c r="X1495" s="76">
        <f>STOCK[[#This Row],[Ganancia Unitaria]]*STOCK[[#This Row],[Salidas]]</f>
        <v>7.38</v>
      </c>
      <c r="Y1495" s="76"/>
      <c r="Z1495" s="76"/>
      <c r="AA1495" s="54">
        <f>STOCK[[#This Row],[Costo total]]*STOCK[[#This Row],[Entradas]]</f>
        <v>12.62</v>
      </c>
      <c r="AB1495" s="54">
        <f>STOCK[[#This Row],[Stock Actual]]*STOCK[[#This Row],[Costo total]]</f>
        <v>0</v>
      </c>
      <c r="AC1495" s="76"/>
    </row>
    <row r="1496" s="53" customFormat="1" ht="50" customHeight="1" spans="1:29">
      <c r="A1496" s="53" t="s">
        <v>2992</v>
      </c>
      <c r="B1496" s="77"/>
      <c r="C1496" s="76" t="s">
        <v>32</v>
      </c>
      <c r="D1496" s="76" t="s">
        <v>2127</v>
      </c>
      <c r="E1496" s="76" t="s">
        <v>2990</v>
      </c>
      <c r="F1496" s="76" t="s">
        <v>46</v>
      </c>
      <c r="G1496" s="76"/>
      <c r="H1496" s="76">
        <f>STOCK[[#This Row],[Precio Final]]</f>
        <v>20</v>
      </c>
      <c r="I1496" s="80">
        <f>STOCK[[#This Row],[Precio Venta Ideal (x1.5)]]</f>
        <v>18.93</v>
      </c>
      <c r="J1496" s="78">
        <v>2</v>
      </c>
      <c r="K1496" s="78">
        <f>SUMIFS(VENTAS[Cantidad],VENTAS[Código del producto Vendido],STOCK[[#This Row],[Code]])</f>
        <v>0</v>
      </c>
      <c r="L1496" s="78">
        <f>STOCK[[#This Row],[Entradas]]-STOCK[[#This Row],[Salidas]]</f>
        <v>2</v>
      </c>
      <c r="M1496" s="76">
        <f>STOCK[[#This Row],[Precio Final]]*10%</f>
        <v>2</v>
      </c>
      <c r="N1496" s="76">
        <v>0</v>
      </c>
      <c r="O1496" s="76">
        <v>0</v>
      </c>
      <c r="P1496" s="76">
        <v>8.97</v>
      </c>
      <c r="Q1496" s="78">
        <v>0</v>
      </c>
      <c r="R1496" s="76">
        <v>0</v>
      </c>
      <c r="S1496" s="76">
        <v>1.65</v>
      </c>
      <c r="T1496" s="76">
        <f>STOCK[[#This Row],[Costo Unitario (USD)]]+STOCK[[#This Row],[Costo Envío (USD)]]+STOCK[[#This Row],[Comisión 10%]]</f>
        <v>12.62</v>
      </c>
      <c r="U1496" s="53">
        <f>STOCK[[#This Row],[Costo total]]*1.5</f>
        <v>18.93</v>
      </c>
      <c r="V1496" s="76">
        <v>20</v>
      </c>
      <c r="W1496" s="76">
        <f>STOCK[[#This Row],[Precio Final]]-STOCK[[#This Row],[Costo total]]</f>
        <v>7.38</v>
      </c>
      <c r="X1496" s="76">
        <f>STOCK[[#This Row],[Ganancia Unitaria]]*STOCK[[#This Row],[Salidas]]</f>
        <v>0</v>
      </c>
      <c r="Y1496" s="76"/>
      <c r="Z1496" s="76"/>
      <c r="AA1496" s="54">
        <f>STOCK[[#This Row],[Costo total]]*STOCK[[#This Row],[Entradas]]</f>
        <v>25.24</v>
      </c>
      <c r="AB1496" s="54">
        <f>STOCK[[#This Row],[Stock Actual]]*STOCK[[#This Row],[Costo total]]</f>
        <v>25.24</v>
      </c>
      <c r="AC1496" s="76"/>
    </row>
    <row r="1497" s="53" customFormat="1" ht="50" customHeight="1" spans="1:29">
      <c r="A1497" s="53" t="s">
        <v>2993</v>
      </c>
      <c r="B1497" s="77"/>
      <c r="C1497" s="76" t="s">
        <v>32</v>
      </c>
      <c r="D1497" s="76" t="s">
        <v>1190</v>
      </c>
      <c r="E1497" s="76" t="s">
        <v>2994</v>
      </c>
      <c r="F1497" s="76" t="s">
        <v>62</v>
      </c>
      <c r="G1497" s="76"/>
      <c r="H1497" s="76">
        <f>STOCK[[#This Row],[Precio Final]]</f>
        <v>15</v>
      </c>
      <c r="I1497" s="80">
        <f>STOCK[[#This Row],[Precio Venta Ideal (x1.5)]]</f>
        <v>11.13</v>
      </c>
      <c r="J1497" s="78">
        <v>2</v>
      </c>
      <c r="K1497" s="78">
        <f>SUMIFS(VENTAS[Cantidad],VENTAS[Código del producto Vendido],STOCK[[#This Row],[Code]])</f>
        <v>2</v>
      </c>
      <c r="L1497" s="78">
        <f>STOCK[[#This Row],[Entradas]]-STOCK[[#This Row],[Salidas]]</f>
        <v>0</v>
      </c>
      <c r="M1497" s="76">
        <f>STOCK[[#This Row],[Precio Final]]*10%</f>
        <v>1.5</v>
      </c>
      <c r="N1497" s="76">
        <v>0</v>
      </c>
      <c r="O1497" s="76">
        <v>0</v>
      </c>
      <c r="P1497" s="76">
        <v>4.27</v>
      </c>
      <c r="Q1497" s="78">
        <v>0</v>
      </c>
      <c r="R1497" s="76">
        <v>0</v>
      </c>
      <c r="S1497" s="76">
        <v>1.65</v>
      </c>
      <c r="T1497" s="76">
        <f>STOCK[[#This Row],[Costo Unitario (USD)]]+STOCK[[#This Row],[Costo Envío (USD)]]+STOCK[[#This Row],[Comisión 10%]]</f>
        <v>7.42</v>
      </c>
      <c r="U1497" s="53">
        <f>STOCK[[#This Row],[Costo total]]*1.5</f>
        <v>11.13</v>
      </c>
      <c r="V1497" s="76">
        <v>15</v>
      </c>
      <c r="W1497" s="76">
        <f>STOCK[[#This Row],[Precio Final]]-STOCK[[#This Row],[Costo total]]</f>
        <v>7.58</v>
      </c>
      <c r="X1497" s="76">
        <f>STOCK[[#This Row],[Ganancia Unitaria]]*STOCK[[#This Row],[Salidas]]</f>
        <v>15.16</v>
      </c>
      <c r="Y1497" s="76"/>
      <c r="Z1497" s="76"/>
      <c r="AA1497" s="54">
        <f>STOCK[[#This Row],[Costo total]]*STOCK[[#This Row],[Entradas]]</f>
        <v>14.84</v>
      </c>
      <c r="AB1497" s="54">
        <f>STOCK[[#This Row],[Stock Actual]]*STOCK[[#This Row],[Costo total]]</f>
        <v>0</v>
      </c>
      <c r="AC1497" s="76"/>
    </row>
    <row r="1498" s="53" customFormat="1" ht="50" customHeight="1" spans="1:29">
      <c r="A1498" s="53" t="s">
        <v>2995</v>
      </c>
      <c r="B1498" s="77"/>
      <c r="C1498" s="76" t="s">
        <v>32</v>
      </c>
      <c r="D1498" s="76" t="s">
        <v>1190</v>
      </c>
      <c r="E1498" s="76" t="s">
        <v>2994</v>
      </c>
      <c r="F1498" s="76" t="s">
        <v>49</v>
      </c>
      <c r="G1498" s="76"/>
      <c r="H1498" s="76">
        <f>STOCK[[#This Row],[Precio Final]]</f>
        <v>15</v>
      </c>
      <c r="I1498" s="80">
        <f>STOCK[[#This Row],[Precio Venta Ideal (x1.5)]]</f>
        <v>11.13</v>
      </c>
      <c r="J1498" s="78">
        <v>2</v>
      </c>
      <c r="K1498" s="78">
        <f>SUMIFS(VENTAS[Cantidad],VENTAS[Código del producto Vendido],STOCK[[#This Row],[Code]])</f>
        <v>2</v>
      </c>
      <c r="L1498" s="78">
        <f>STOCK[[#This Row],[Entradas]]-STOCK[[#This Row],[Salidas]]</f>
        <v>0</v>
      </c>
      <c r="M1498" s="76">
        <f>STOCK[[#This Row],[Precio Final]]*10%</f>
        <v>1.5</v>
      </c>
      <c r="N1498" s="76">
        <v>0</v>
      </c>
      <c r="O1498" s="76">
        <v>0</v>
      </c>
      <c r="P1498" s="76">
        <v>4.27</v>
      </c>
      <c r="Q1498" s="78">
        <v>0</v>
      </c>
      <c r="R1498" s="76">
        <v>0</v>
      </c>
      <c r="S1498" s="76">
        <v>1.65</v>
      </c>
      <c r="T1498" s="76">
        <f>STOCK[[#This Row],[Costo Unitario (USD)]]+STOCK[[#This Row],[Costo Envío (USD)]]+STOCK[[#This Row],[Comisión 10%]]</f>
        <v>7.42</v>
      </c>
      <c r="U1498" s="53">
        <f>STOCK[[#This Row],[Costo total]]*1.5</f>
        <v>11.13</v>
      </c>
      <c r="V1498" s="76">
        <v>15</v>
      </c>
      <c r="W1498" s="76">
        <f>STOCK[[#This Row],[Precio Final]]-STOCK[[#This Row],[Costo total]]</f>
        <v>7.58</v>
      </c>
      <c r="X1498" s="76">
        <f>STOCK[[#This Row],[Ganancia Unitaria]]*STOCK[[#This Row],[Salidas]]</f>
        <v>15.16</v>
      </c>
      <c r="Y1498" s="76"/>
      <c r="Z1498" s="76"/>
      <c r="AA1498" s="54">
        <f>STOCK[[#This Row],[Costo total]]*STOCK[[#This Row],[Entradas]]</f>
        <v>14.84</v>
      </c>
      <c r="AB1498" s="54">
        <f>STOCK[[#This Row],[Stock Actual]]*STOCK[[#This Row],[Costo total]]</f>
        <v>0</v>
      </c>
      <c r="AC1498" s="76"/>
    </row>
    <row r="1499" s="53" customFormat="1" ht="50" customHeight="1" spans="1:29">
      <c r="A1499" s="53" t="s">
        <v>2996</v>
      </c>
      <c r="B1499" s="77"/>
      <c r="C1499" s="76" t="s">
        <v>32</v>
      </c>
      <c r="D1499" s="76" t="s">
        <v>1190</v>
      </c>
      <c r="E1499" s="76" t="s">
        <v>2994</v>
      </c>
      <c r="F1499" s="76" t="s">
        <v>46</v>
      </c>
      <c r="G1499" s="76"/>
      <c r="H1499" s="76">
        <f>STOCK[[#This Row],[Precio Final]]</f>
        <v>15</v>
      </c>
      <c r="I1499" s="80">
        <f>STOCK[[#This Row],[Precio Venta Ideal (x1.5)]]</f>
        <v>11.13</v>
      </c>
      <c r="J1499" s="78">
        <v>2</v>
      </c>
      <c r="K1499" s="78">
        <f>SUMIFS(VENTAS[Cantidad],VENTAS[Código del producto Vendido],STOCK[[#This Row],[Code]])</f>
        <v>3</v>
      </c>
      <c r="L1499" s="78">
        <f>STOCK[[#This Row],[Entradas]]-STOCK[[#This Row],[Salidas]]</f>
        <v>-1</v>
      </c>
      <c r="M1499" s="76">
        <f>STOCK[[#This Row],[Precio Final]]*10%</f>
        <v>1.5</v>
      </c>
      <c r="N1499" s="76">
        <v>0</v>
      </c>
      <c r="O1499" s="76">
        <v>0</v>
      </c>
      <c r="P1499" s="76">
        <v>4.27</v>
      </c>
      <c r="Q1499" s="78">
        <v>0</v>
      </c>
      <c r="R1499" s="76">
        <v>0</v>
      </c>
      <c r="S1499" s="76">
        <v>1.65</v>
      </c>
      <c r="T1499" s="76">
        <f>STOCK[[#This Row],[Costo Unitario (USD)]]+STOCK[[#This Row],[Costo Envío (USD)]]+STOCK[[#This Row],[Comisión 10%]]</f>
        <v>7.42</v>
      </c>
      <c r="U1499" s="53">
        <f>STOCK[[#This Row],[Costo total]]*1.5</f>
        <v>11.13</v>
      </c>
      <c r="V1499" s="76">
        <v>15</v>
      </c>
      <c r="W1499" s="76">
        <f>STOCK[[#This Row],[Precio Final]]-STOCK[[#This Row],[Costo total]]</f>
        <v>7.58</v>
      </c>
      <c r="X1499" s="76">
        <f>STOCK[[#This Row],[Ganancia Unitaria]]*STOCK[[#This Row],[Salidas]]</f>
        <v>22.74</v>
      </c>
      <c r="Y1499" s="76"/>
      <c r="Z1499" s="76"/>
      <c r="AA1499" s="54">
        <f>STOCK[[#This Row],[Costo total]]*STOCK[[#This Row],[Entradas]]</f>
        <v>14.84</v>
      </c>
      <c r="AB1499" s="54">
        <f>STOCK[[#This Row],[Stock Actual]]*STOCK[[#This Row],[Costo total]]</f>
        <v>-7.42</v>
      </c>
      <c r="AC1499" s="76"/>
    </row>
    <row r="1500" s="53" customFormat="1" ht="50" customHeight="1" spans="1:29">
      <c r="A1500" s="53" t="s">
        <v>2997</v>
      </c>
      <c r="B1500" s="77"/>
      <c r="C1500" s="76" t="s">
        <v>32</v>
      </c>
      <c r="D1500" s="76" t="s">
        <v>1190</v>
      </c>
      <c r="E1500" s="76" t="s">
        <v>2994</v>
      </c>
      <c r="F1500" s="76" t="s">
        <v>42</v>
      </c>
      <c r="G1500" s="76"/>
      <c r="H1500" s="76">
        <f>STOCK[[#This Row],[Precio Final]]</f>
        <v>15</v>
      </c>
      <c r="I1500" s="80">
        <f>STOCK[[#This Row],[Precio Venta Ideal (x1.5)]]</f>
        <v>11.13</v>
      </c>
      <c r="J1500" s="78">
        <v>2</v>
      </c>
      <c r="K1500" s="78">
        <f>SUMIFS(VENTAS[Cantidad],VENTAS[Código del producto Vendido],STOCK[[#This Row],[Code]])</f>
        <v>1</v>
      </c>
      <c r="L1500" s="78">
        <f>STOCK[[#This Row],[Entradas]]-STOCK[[#This Row],[Salidas]]</f>
        <v>1</v>
      </c>
      <c r="M1500" s="76">
        <f>STOCK[[#This Row],[Precio Final]]*10%</f>
        <v>1.5</v>
      </c>
      <c r="N1500" s="76">
        <v>0</v>
      </c>
      <c r="O1500" s="76">
        <v>0</v>
      </c>
      <c r="P1500" s="76">
        <v>4.27</v>
      </c>
      <c r="Q1500" s="78">
        <v>0</v>
      </c>
      <c r="R1500" s="76">
        <v>0</v>
      </c>
      <c r="S1500" s="76">
        <v>1.65</v>
      </c>
      <c r="T1500" s="76">
        <f>STOCK[[#This Row],[Costo Unitario (USD)]]+STOCK[[#This Row],[Costo Envío (USD)]]+STOCK[[#This Row],[Comisión 10%]]</f>
        <v>7.42</v>
      </c>
      <c r="U1500" s="53">
        <f>STOCK[[#This Row],[Costo total]]*1.5</f>
        <v>11.13</v>
      </c>
      <c r="V1500" s="76">
        <v>15</v>
      </c>
      <c r="W1500" s="76">
        <f>STOCK[[#This Row],[Precio Final]]-STOCK[[#This Row],[Costo total]]</f>
        <v>7.58</v>
      </c>
      <c r="X1500" s="76">
        <f>STOCK[[#This Row],[Ganancia Unitaria]]*STOCK[[#This Row],[Salidas]]</f>
        <v>7.58</v>
      </c>
      <c r="Y1500" s="76"/>
      <c r="Z1500" s="76"/>
      <c r="AA1500" s="54">
        <f>STOCK[[#This Row],[Costo total]]*STOCK[[#This Row],[Entradas]]</f>
        <v>14.84</v>
      </c>
      <c r="AB1500" s="54">
        <f>STOCK[[#This Row],[Stock Actual]]*STOCK[[#This Row],[Costo total]]</f>
        <v>7.42</v>
      </c>
      <c r="AC1500" s="76"/>
    </row>
    <row r="1501" s="53" customFormat="1" ht="50" customHeight="1" spans="1:29">
      <c r="A1501" s="53" t="s">
        <v>2998</v>
      </c>
      <c r="B1501" s="77"/>
      <c r="C1501" s="76" t="s">
        <v>32</v>
      </c>
      <c r="D1501" s="76" t="s">
        <v>2127</v>
      </c>
      <c r="E1501" s="76" t="s">
        <v>2999</v>
      </c>
      <c r="F1501" s="76" t="s">
        <v>49</v>
      </c>
      <c r="G1501" s="76"/>
      <c r="H1501" s="76">
        <f>STOCK[[#This Row],[Precio Final]]</f>
        <v>18</v>
      </c>
      <c r="I1501" s="80">
        <f>STOCK[[#This Row],[Precio Venta Ideal (x1.5)]]</f>
        <v>15.795</v>
      </c>
      <c r="J1501" s="78">
        <v>3</v>
      </c>
      <c r="K1501" s="78">
        <f>SUMIFS(VENTAS[Cantidad],VENTAS[Código del producto Vendido],STOCK[[#This Row],[Code]])</f>
        <v>0</v>
      </c>
      <c r="L1501" s="78">
        <f>STOCK[[#This Row],[Entradas]]-STOCK[[#This Row],[Salidas]]</f>
        <v>3</v>
      </c>
      <c r="M1501" s="76">
        <f>STOCK[[#This Row],[Precio Final]]*10%</f>
        <v>1.8</v>
      </c>
      <c r="N1501" s="76">
        <v>0</v>
      </c>
      <c r="O1501" s="76">
        <v>0</v>
      </c>
      <c r="P1501" s="76">
        <v>7.08</v>
      </c>
      <c r="Q1501" s="78">
        <v>0</v>
      </c>
      <c r="R1501" s="76">
        <v>0</v>
      </c>
      <c r="S1501" s="76">
        <v>1.65</v>
      </c>
      <c r="T1501" s="76">
        <f>STOCK[[#This Row],[Costo Unitario (USD)]]+STOCK[[#This Row],[Costo Envío (USD)]]+STOCK[[#This Row],[Comisión 10%]]</f>
        <v>10.53</v>
      </c>
      <c r="U1501" s="53">
        <f>STOCK[[#This Row],[Costo total]]*1.5</f>
        <v>15.795</v>
      </c>
      <c r="V1501" s="76">
        <v>18</v>
      </c>
      <c r="W1501" s="76">
        <f>STOCK[[#This Row],[Precio Final]]-STOCK[[#This Row],[Costo total]]</f>
        <v>7.47</v>
      </c>
      <c r="X1501" s="76">
        <f>STOCK[[#This Row],[Ganancia Unitaria]]*STOCK[[#This Row],[Salidas]]</f>
        <v>0</v>
      </c>
      <c r="Y1501" s="76"/>
      <c r="Z1501" s="76"/>
      <c r="AA1501" s="54">
        <f>STOCK[[#This Row],[Costo total]]*STOCK[[#This Row],[Entradas]]</f>
        <v>31.59</v>
      </c>
      <c r="AB1501" s="54">
        <f>STOCK[[#This Row],[Stock Actual]]*STOCK[[#This Row],[Costo total]]</f>
        <v>31.59</v>
      </c>
      <c r="AC1501" s="76"/>
    </row>
    <row r="1502" s="53" customFormat="1" ht="50" customHeight="1" spans="1:29">
      <c r="A1502" s="53" t="s">
        <v>3000</v>
      </c>
      <c r="B1502" s="77"/>
      <c r="C1502" s="76" t="s">
        <v>32</v>
      </c>
      <c r="D1502" s="76" t="s">
        <v>2127</v>
      </c>
      <c r="E1502" s="76" t="s">
        <v>2999</v>
      </c>
      <c r="F1502" s="76" t="s">
        <v>46</v>
      </c>
      <c r="G1502" s="76"/>
      <c r="H1502" s="76">
        <f>STOCK[[#This Row],[Precio Final]]</f>
        <v>18</v>
      </c>
      <c r="I1502" s="80">
        <f>STOCK[[#This Row],[Precio Venta Ideal (x1.5)]]</f>
        <v>15.795</v>
      </c>
      <c r="J1502" s="78">
        <v>3</v>
      </c>
      <c r="K1502" s="78">
        <f>SUMIFS(VENTAS[Cantidad],VENTAS[Código del producto Vendido],STOCK[[#This Row],[Code]])</f>
        <v>0</v>
      </c>
      <c r="L1502" s="78">
        <f>STOCK[[#This Row],[Entradas]]-STOCK[[#This Row],[Salidas]]</f>
        <v>3</v>
      </c>
      <c r="M1502" s="76">
        <f>STOCK[[#This Row],[Precio Final]]*10%</f>
        <v>1.8</v>
      </c>
      <c r="N1502" s="76">
        <v>0</v>
      </c>
      <c r="O1502" s="76">
        <v>0</v>
      </c>
      <c r="P1502" s="76">
        <v>7.08</v>
      </c>
      <c r="Q1502" s="78">
        <v>0</v>
      </c>
      <c r="R1502" s="76">
        <v>0</v>
      </c>
      <c r="S1502" s="76">
        <v>1.65</v>
      </c>
      <c r="T1502" s="76">
        <f>STOCK[[#This Row],[Costo Unitario (USD)]]+STOCK[[#This Row],[Costo Envío (USD)]]+STOCK[[#This Row],[Comisión 10%]]</f>
        <v>10.53</v>
      </c>
      <c r="U1502" s="53">
        <f>STOCK[[#This Row],[Costo total]]*1.5</f>
        <v>15.795</v>
      </c>
      <c r="V1502" s="76">
        <v>18</v>
      </c>
      <c r="W1502" s="76">
        <f>STOCK[[#This Row],[Precio Final]]-STOCK[[#This Row],[Costo total]]</f>
        <v>7.47</v>
      </c>
      <c r="X1502" s="76">
        <f>STOCK[[#This Row],[Ganancia Unitaria]]*STOCK[[#This Row],[Salidas]]</f>
        <v>0</v>
      </c>
      <c r="Y1502" s="76"/>
      <c r="Z1502" s="76"/>
      <c r="AA1502" s="54">
        <f>STOCK[[#This Row],[Costo total]]*STOCK[[#This Row],[Entradas]]</f>
        <v>31.59</v>
      </c>
      <c r="AB1502" s="54">
        <f>STOCK[[#This Row],[Stock Actual]]*STOCK[[#This Row],[Costo total]]</f>
        <v>31.59</v>
      </c>
      <c r="AC1502" s="76"/>
    </row>
    <row r="1503" s="53" customFormat="1" ht="50" customHeight="1" spans="1:29">
      <c r="A1503" s="53" t="s">
        <v>3001</v>
      </c>
      <c r="B1503" s="77"/>
      <c r="C1503" s="76" t="s">
        <v>32</v>
      </c>
      <c r="D1503" s="76" t="s">
        <v>2127</v>
      </c>
      <c r="E1503" s="76" t="s">
        <v>3002</v>
      </c>
      <c r="F1503" s="76" t="s">
        <v>42</v>
      </c>
      <c r="G1503" s="76"/>
      <c r="H1503" s="76">
        <f>STOCK[[#This Row],[Precio Final]]</f>
        <v>28</v>
      </c>
      <c r="I1503" s="80">
        <f>STOCK[[#This Row],[Precio Venta Ideal (x1.5)]]</f>
        <v>24.195</v>
      </c>
      <c r="J1503" s="78">
        <v>2</v>
      </c>
      <c r="K1503" s="78">
        <f>SUMIFS(VENTAS[Cantidad],VENTAS[Código del producto Vendido],STOCK[[#This Row],[Code]])</f>
        <v>4</v>
      </c>
      <c r="L1503" s="78">
        <f>STOCK[[#This Row],[Entradas]]-STOCK[[#This Row],[Salidas]]</f>
        <v>-2</v>
      </c>
      <c r="M1503" s="76">
        <f>STOCK[[#This Row],[Precio Final]]*10%</f>
        <v>2.8</v>
      </c>
      <c r="N1503" s="76">
        <v>0</v>
      </c>
      <c r="O1503" s="76">
        <v>0</v>
      </c>
      <c r="P1503" s="76">
        <v>11.68</v>
      </c>
      <c r="Q1503" s="78">
        <v>0</v>
      </c>
      <c r="R1503" s="76">
        <v>0</v>
      </c>
      <c r="S1503" s="76">
        <v>1.65</v>
      </c>
      <c r="T1503" s="76">
        <f>STOCK[[#This Row],[Costo Unitario (USD)]]+STOCK[[#This Row],[Costo Envío (USD)]]+STOCK[[#This Row],[Comisión 10%]]</f>
        <v>16.13</v>
      </c>
      <c r="U1503" s="53">
        <f>STOCK[[#This Row],[Costo total]]*1.5</f>
        <v>24.195</v>
      </c>
      <c r="V1503" s="76">
        <v>28</v>
      </c>
      <c r="W1503" s="76">
        <f>STOCK[[#This Row],[Precio Final]]-STOCK[[#This Row],[Costo total]]</f>
        <v>11.87</v>
      </c>
      <c r="X1503" s="76">
        <f>STOCK[[#This Row],[Ganancia Unitaria]]*STOCK[[#This Row],[Salidas]]</f>
        <v>47.48</v>
      </c>
      <c r="Y1503" s="76"/>
      <c r="Z1503" s="76"/>
      <c r="AA1503" s="54">
        <f>STOCK[[#This Row],[Costo total]]*STOCK[[#This Row],[Entradas]]</f>
        <v>32.26</v>
      </c>
      <c r="AB1503" s="54">
        <f>STOCK[[#This Row],[Stock Actual]]*STOCK[[#This Row],[Costo total]]</f>
        <v>-32.26</v>
      </c>
      <c r="AC1503" s="76"/>
    </row>
    <row r="1504" s="53" customFormat="1" ht="50" customHeight="1" spans="1:29">
      <c r="A1504" s="53" t="s">
        <v>3003</v>
      </c>
      <c r="B1504" s="77"/>
      <c r="C1504" s="76" t="s">
        <v>32</v>
      </c>
      <c r="D1504" s="76" t="s">
        <v>2629</v>
      </c>
      <c r="E1504" s="76" t="s">
        <v>3004</v>
      </c>
      <c r="F1504" s="76" t="s">
        <v>62</v>
      </c>
      <c r="G1504" s="76"/>
      <c r="H1504" s="76">
        <f>STOCK[[#This Row],[Precio Final]]</f>
        <v>25</v>
      </c>
      <c r="I1504" s="80">
        <f>STOCK[[#This Row],[Precio Venta Ideal (x1.5)]]</f>
        <v>23.445</v>
      </c>
      <c r="J1504" s="78">
        <v>1</v>
      </c>
      <c r="K1504" s="78">
        <f>SUMIFS(VENTAS[Cantidad],VENTAS[Código del producto Vendido],STOCK[[#This Row],[Code]])</f>
        <v>0</v>
      </c>
      <c r="L1504" s="78">
        <f>STOCK[[#This Row],[Entradas]]-STOCK[[#This Row],[Salidas]]</f>
        <v>1</v>
      </c>
      <c r="M1504" s="76">
        <f>STOCK[[#This Row],[Precio Final]]*10%</f>
        <v>2.5</v>
      </c>
      <c r="N1504" s="76">
        <v>0</v>
      </c>
      <c r="O1504" s="76">
        <v>0</v>
      </c>
      <c r="P1504" s="76">
        <v>11.48</v>
      </c>
      <c r="Q1504" s="78">
        <v>0</v>
      </c>
      <c r="R1504" s="76">
        <v>0</v>
      </c>
      <c r="S1504" s="76">
        <v>1.65</v>
      </c>
      <c r="T1504" s="76">
        <f>STOCK[[#This Row],[Costo Unitario (USD)]]+STOCK[[#This Row],[Costo Envío (USD)]]+STOCK[[#This Row],[Comisión 10%]]</f>
        <v>15.63</v>
      </c>
      <c r="U1504" s="53">
        <f>STOCK[[#This Row],[Costo total]]*1.5</f>
        <v>23.445</v>
      </c>
      <c r="V1504" s="76">
        <v>25</v>
      </c>
      <c r="W1504" s="76">
        <f>STOCK[[#This Row],[Precio Final]]-STOCK[[#This Row],[Costo total]]</f>
        <v>9.37</v>
      </c>
      <c r="X1504" s="76">
        <f>STOCK[[#This Row],[Ganancia Unitaria]]*STOCK[[#This Row],[Salidas]]</f>
        <v>0</v>
      </c>
      <c r="Y1504" s="76"/>
      <c r="Z1504" s="76"/>
      <c r="AA1504" s="54">
        <f>STOCK[[#This Row],[Costo total]]*STOCK[[#This Row],[Entradas]]</f>
        <v>15.63</v>
      </c>
      <c r="AB1504" s="54">
        <f>STOCK[[#This Row],[Stock Actual]]*STOCK[[#This Row],[Costo total]]</f>
        <v>15.63</v>
      </c>
      <c r="AC1504" s="76"/>
    </row>
    <row r="1505" s="53" customFormat="1" ht="40" customHeight="1" spans="1:29">
      <c r="A1505" s="53" t="s">
        <v>3005</v>
      </c>
      <c r="B1505" s="77"/>
      <c r="C1505" s="76" t="s">
        <v>32</v>
      </c>
      <c r="D1505" s="76" t="s">
        <v>2629</v>
      </c>
      <c r="E1505" s="76" t="s">
        <v>3004</v>
      </c>
      <c r="F1505" s="76" t="s">
        <v>42</v>
      </c>
      <c r="G1505" s="76"/>
      <c r="H1505" s="76">
        <f>STOCK[[#This Row],[Precio Final]]</f>
        <v>25</v>
      </c>
      <c r="I1505" s="80">
        <f>STOCK[[#This Row],[Precio Venta Ideal (x1.5)]]</f>
        <v>23.445</v>
      </c>
      <c r="J1505" s="78">
        <v>1</v>
      </c>
      <c r="K1505" s="78">
        <f>SUMIFS(VENTAS[Cantidad],VENTAS[Código del producto Vendido],STOCK[[#This Row],[Code]])</f>
        <v>1</v>
      </c>
      <c r="L1505" s="78">
        <f>STOCK[[#This Row],[Entradas]]-STOCK[[#This Row],[Salidas]]</f>
        <v>0</v>
      </c>
      <c r="M1505" s="76">
        <f>STOCK[[#This Row],[Precio Final]]*10%</f>
        <v>2.5</v>
      </c>
      <c r="N1505" s="76">
        <v>0</v>
      </c>
      <c r="O1505" s="76">
        <v>0</v>
      </c>
      <c r="P1505" s="76">
        <v>11.48</v>
      </c>
      <c r="Q1505" s="78">
        <v>0</v>
      </c>
      <c r="R1505" s="76">
        <v>0</v>
      </c>
      <c r="S1505" s="76">
        <v>1.65</v>
      </c>
      <c r="T1505" s="76">
        <f>STOCK[[#This Row],[Costo Unitario (USD)]]+STOCK[[#This Row],[Costo Envío (USD)]]+STOCK[[#This Row],[Comisión 10%]]</f>
        <v>15.63</v>
      </c>
      <c r="U1505" s="53">
        <f>STOCK[[#This Row],[Costo total]]*1.5</f>
        <v>23.445</v>
      </c>
      <c r="V1505" s="76">
        <v>25</v>
      </c>
      <c r="W1505" s="76">
        <f>STOCK[[#This Row],[Precio Final]]-STOCK[[#This Row],[Costo total]]</f>
        <v>9.37</v>
      </c>
      <c r="X1505" s="76">
        <f>STOCK[[#This Row],[Ganancia Unitaria]]*STOCK[[#This Row],[Salidas]]</f>
        <v>9.37</v>
      </c>
      <c r="Y1505" s="76"/>
      <c r="Z1505" s="76"/>
      <c r="AA1505" s="54">
        <f>STOCK[[#This Row],[Costo total]]*STOCK[[#This Row],[Entradas]]</f>
        <v>15.63</v>
      </c>
      <c r="AB1505" s="54">
        <f>STOCK[[#This Row],[Stock Actual]]*STOCK[[#This Row],[Costo total]]</f>
        <v>0</v>
      </c>
      <c r="AC1505" s="76"/>
    </row>
    <row r="1506" s="53" customFormat="1" ht="50" customHeight="1" spans="1:29">
      <c r="A1506" s="53" t="s">
        <v>3006</v>
      </c>
      <c r="B1506" s="77"/>
      <c r="C1506" s="76" t="s">
        <v>32</v>
      </c>
      <c r="D1506" s="76" t="s">
        <v>2629</v>
      </c>
      <c r="E1506" s="76" t="s">
        <v>3007</v>
      </c>
      <c r="F1506" s="76" t="s">
        <v>42</v>
      </c>
      <c r="G1506" s="76"/>
      <c r="H1506" s="76">
        <f>STOCK[[#This Row],[Precio Final]]</f>
        <v>25</v>
      </c>
      <c r="I1506" s="80">
        <f>STOCK[[#This Row],[Precio Venta Ideal (x1.5)]]</f>
        <v>15.66</v>
      </c>
      <c r="J1506" s="78">
        <v>1</v>
      </c>
      <c r="K1506" s="78">
        <f>SUMIFS(VENTAS[Cantidad],VENTAS[Código del producto Vendido],STOCK[[#This Row],[Code]])</f>
        <v>0</v>
      </c>
      <c r="L1506" s="78">
        <f>STOCK[[#This Row],[Entradas]]-STOCK[[#This Row],[Salidas]]</f>
        <v>1</v>
      </c>
      <c r="M1506" s="76">
        <f>STOCK[[#This Row],[Precio Final]]*10%</f>
        <v>2.5</v>
      </c>
      <c r="N1506" s="76">
        <v>0</v>
      </c>
      <c r="O1506" s="76">
        <v>0</v>
      </c>
      <c r="P1506" s="76">
        <v>6.29</v>
      </c>
      <c r="Q1506" s="78">
        <v>0</v>
      </c>
      <c r="R1506" s="76">
        <v>0</v>
      </c>
      <c r="S1506" s="76">
        <v>1.65</v>
      </c>
      <c r="T1506" s="76">
        <f>STOCK[[#This Row],[Costo Unitario (USD)]]+STOCK[[#This Row],[Costo Envío (USD)]]+STOCK[[#This Row],[Comisión 10%]]</f>
        <v>10.44</v>
      </c>
      <c r="U1506" s="53">
        <f>STOCK[[#This Row],[Costo total]]*1.5</f>
        <v>15.66</v>
      </c>
      <c r="V1506" s="76">
        <v>25</v>
      </c>
      <c r="W1506" s="76">
        <f>STOCK[[#This Row],[Precio Final]]-STOCK[[#This Row],[Costo total]]</f>
        <v>14.56</v>
      </c>
      <c r="X1506" s="76">
        <f>STOCK[[#This Row],[Ganancia Unitaria]]*STOCK[[#This Row],[Salidas]]</f>
        <v>0</v>
      </c>
      <c r="Y1506" s="76"/>
      <c r="Z1506" s="76"/>
      <c r="AA1506" s="54">
        <f>STOCK[[#This Row],[Costo total]]*STOCK[[#This Row],[Entradas]]</f>
        <v>10.44</v>
      </c>
      <c r="AB1506" s="54">
        <f>STOCK[[#This Row],[Stock Actual]]*STOCK[[#This Row],[Costo total]]</f>
        <v>10.44</v>
      </c>
      <c r="AC1506" s="76"/>
    </row>
    <row r="1507" s="53" customFormat="1" ht="50" customHeight="1" spans="1:29">
      <c r="A1507" s="53" t="s">
        <v>3008</v>
      </c>
      <c r="B1507" s="77"/>
      <c r="C1507" s="76" t="s">
        <v>32</v>
      </c>
      <c r="D1507" s="76" t="s">
        <v>2133</v>
      </c>
      <c r="E1507" s="76" t="s">
        <v>3009</v>
      </c>
      <c r="F1507" s="76" t="s">
        <v>62</v>
      </c>
      <c r="G1507" s="76"/>
      <c r="H1507" s="76">
        <f>STOCK[[#This Row],[Precio Final]]</f>
        <v>40</v>
      </c>
      <c r="I1507" s="80">
        <f>STOCK[[#This Row],[Precio Venta Ideal (x1.5)]]</f>
        <v>26.205</v>
      </c>
      <c r="J1507" s="78">
        <v>2</v>
      </c>
      <c r="K1507" s="78">
        <f>SUMIFS(VENTAS[Cantidad],VENTAS[Código del producto Vendido],STOCK[[#This Row],[Code]])</f>
        <v>2</v>
      </c>
      <c r="L1507" s="78">
        <f>STOCK[[#This Row],[Entradas]]-STOCK[[#This Row],[Salidas]]</f>
        <v>0</v>
      </c>
      <c r="M1507" s="76">
        <f>STOCK[[#This Row],[Precio Final]]*10%</f>
        <v>4</v>
      </c>
      <c r="N1507" s="76">
        <v>0</v>
      </c>
      <c r="O1507" s="76">
        <v>0</v>
      </c>
      <c r="P1507" s="76">
        <v>11.82</v>
      </c>
      <c r="Q1507" s="78">
        <v>0</v>
      </c>
      <c r="R1507" s="76">
        <v>0</v>
      </c>
      <c r="S1507" s="76">
        <v>1.65</v>
      </c>
      <c r="T1507" s="76">
        <f>STOCK[[#This Row],[Costo Unitario (USD)]]+STOCK[[#This Row],[Costo Envío (USD)]]+STOCK[[#This Row],[Comisión 10%]]</f>
        <v>17.47</v>
      </c>
      <c r="U1507" s="53">
        <f>STOCK[[#This Row],[Costo total]]*1.5</f>
        <v>26.205</v>
      </c>
      <c r="V1507" s="76">
        <v>40</v>
      </c>
      <c r="W1507" s="76">
        <f>STOCK[[#This Row],[Precio Final]]-STOCK[[#This Row],[Costo total]]</f>
        <v>22.53</v>
      </c>
      <c r="X1507" s="76">
        <f>STOCK[[#This Row],[Ganancia Unitaria]]*STOCK[[#This Row],[Salidas]]</f>
        <v>45.06</v>
      </c>
      <c r="Y1507" s="76"/>
      <c r="Z1507" s="76"/>
      <c r="AA1507" s="54">
        <f>STOCK[[#This Row],[Costo total]]*STOCK[[#This Row],[Entradas]]</f>
        <v>34.94</v>
      </c>
      <c r="AB1507" s="54">
        <f>STOCK[[#This Row],[Stock Actual]]*STOCK[[#This Row],[Costo total]]</f>
        <v>0</v>
      </c>
      <c r="AC1507" s="76"/>
    </row>
    <row r="1508" s="53" customFormat="1" ht="50" customHeight="1" spans="1:29">
      <c r="A1508" s="53" t="s">
        <v>3010</v>
      </c>
      <c r="B1508" s="77"/>
      <c r="C1508" s="76" t="s">
        <v>32</v>
      </c>
      <c r="D1508" s="76" t="s">
        <v>2845</v>
      </c>
      <c r="E1508" s="76" t="s">
        <v>3011</v>
      </c>
      <c r="F1508" s="76" t="s">
        <v>62</v>
      </c>
      <c r="G1508" s="76"/>
      <c r="H1508" s="76">
        <f>STOCK[[#This Row],[Precio Final]]</f>
        <v>30</v>
      </c>
      <c r="I1508" s="80">
        <f>STOCK[[#This Row],[Precio Venta Ideal (x1.5)]]</f>
        <v>23.445</v>
      </c>
      <c r="J1508" s="78">
        <v>2</v>
      </c>
      <c r="K1508" s="78">
        <f>SUMIFS(VENTAS[Cantidad],VENTAS[Código del producto Vendido],STOCK[[#This Row],[Code]])</f>
        <v>3</v>
      </c>
      <c r="L1508" s="78">
        <f>STOCK[[#This Row],[Entradas]]-STOCK[[#This Row],[Salidas]]</f>
        <v>-1</v>
      </c>
      <c r="M1508" s="76">
        <f>STOCK[[#This Row],[Precio Final]]*10%</f>
        <v>3</v>
      </c>
      <c r="N1508" s="76">
        <v>0</v>
      </c>
      <c r="O1508" s="76">
        <v>0</v>
      </c>
      <c r="P1508" s="76">
        <v>10.98</v>
      </c>
      <c r="Q1508" s="78">
        <v>0</v>
      </c>
      <c r="R1508" s="76">
        <v>0</v>
      </c>
      <c r="S1508" s="76">
        <v>1.65</v>
      </c>
      <c r="T1508" s="76">
        <f>STOCK[[#This Row],[Costo Unitario (USD)]]+STOCK[[#This Row],[Costo Envío (USD)]]+STOCK[[#This Row],[Comisión 10%]]</f>
        <v>15.63</v>
      </c>
      <c r="U1508" s="53">
        <f>STOCK[[#This Row],[Costo total]]*1.5</f>
        <v>23.445</v>
      </c>
      <c r="V1508" s="76">
        <v>30</v>
      </c>
      <c r="W1508" s="76">
        <f>STOCK[[#This Row],[Precio Final]]-STOCK[[#This Row],[Costo total]]</f>
        <v>14.37</v>
      </c>
      <c r="X1508" s="76">
        <f>STOCK[[#This Row],[Ganancia Unitaria]]*STOCK[[#This Row],[Salidas]]</f>
        <v>43.11</v>
      </c>
      <c r="Y1508" s="76"/>
      <c r="Z1508" s="76"/>
      <c r="AA1508" s="54">
        <f>STOCK[[#This Row],[Costo total]]*STOCK[[#This Row],[Entradas]]</f>
        <v>31.26</v>
      </c>
      <c r="AB1508" s="54">
        <f>STOCK[[#This Row],[Stock Actual]]*STOCK[[#This Row],[Costo total]]</f>
        <v>-15.63</v>
      </c>
      <c r="AC1508" s="76"/>
    </row>
    <row r="1509" s="53" customFormat="1" ht="50" customHeight="1" spans="1:29">
      <c r="A1509" s="53" t="s">
        <v>3012</v>
      </c>
      <c r="B1509" s="77"/>
      <c r="C1509" s="76" t="s">
        <v>32</v>
      </c>
      <c r="D1509" s="76" t="s">
        <v>2845</v>
      </c>
      <c r="E1509" s="76" t="s">
        <v>3011</v>
      </c>
      <c r="F1509" s="76" t="s">
        <v>49</v>
      </c>
      <c r="G1509" s="76"/>
      <c r="H1509" s="76">
        <f>STOCK[[#This Row],[Precio Final]]</f>
        <v>30</v>
      </c>
      <c r="I1509" s="80">
        <f>STOCK[[#This Row],[Precio Venta Ideal (x1.5)]]</f>
        <v>23.445</v>
      </c>
      <c r="J1509" s="78">
        <v>2</v>
      </c>
      <c r="K1509" s="78">
        <f>SUMIFS(VENTAS[Cantidad],VENTAS[Código del producto Vendido],STOCK[[#This Row],[Code]])</f>
        <v>1</v>
      </c>
      <c r="L1509" s="78">
        <f>STOCK[[#This Row],[Entradas]]-STOCK[[#This Row],[Salidas]]</f>
        <v>1</v>
      </c>
      <c r="M1509" s="76">
        <f>STOCK[[#This Row],[Precio Final]]*10%</f>
        <v>3</v>
      </c>
      <c r="N1509" s="76">
        <v>0</v>
      </c>
      <c r="O1509" s="76">
        <v>0</v>
      </c>
      <c r="P1509" s="76">
        <v>10.98</v>
      </c>
      <c r="Q1509" s="78">
        <v>0</v>
      </c>
      <c r="R1509" s="76">
        <v>0</v>
      </c>
      <c r="S1509" s="76">
        <v>1.65</v>
      </c>
      <c r="T1509" s="76">
        <f>STOCK[[#This Row],[Costo Unitario (USD)]]+STOCK[[#This Row],[Costo Envío (USD)]]+STOCK[[#This Row],[Comisión 10%]]</f>
        <v>15.63</v>
      </c>
      <c r="U1509" s="53">
        <f>STOCK[[#This Row],[Costo total]]*1.5</f>
        <v>23.445</v>
      </c>
      <c r="V1509" s="81">
        <v>30</v>
      </c>
      <c r="W1509" s="76">
        <f>STOCK[[#This Row],[Precio Final]]-STOCK[[#This Row],[Costo total]]</f>
        <v>14.37</v>
      </c>
      <c r="X1509" s="76">
        <f>STOCK[[#This Row],[Ganancia Unitaria]]*STOCK[[#This Row],[Salidas]]</f>
        <v>14.37</v>
      </c>
      <c r="Y1509" s="76"/>
      <c r="Z1509" s="76"/>
      <c r="AA1509" s="54">
        <f>STOCK[[#This Row],[Costo total]]*STOCK[[#This Row],[Entradas]]</f>
        <v>31.26</v>
      </c>
      <c r="AB1509" s="54">
        <f>STOCK[[#This Row],[Stock Actual]]*STOCK[[#This Row],[Costo total]]</f>
        <v>15.63</v>
      </c>
      <c r="AC1509" s="76"/>
    </row>
    <row r="1510" s="53" customFormat="1" ht="50" customHeight="1" spans="1:29">
      <c r="A1510" s="53" t="s">
        <v>3013</v>
      </c>
      <c r="B1510" s="77"/>
      <c r="C1510" s="76" t="s">
        <v>32</v>
      </c>
      <c r="D1510" s="76" t="s">
        <v>2845</v>
      </c>
      <c r="E1510" s="76" t="s">
        <v>3011</v>
      </c>
      <c r="F1510" s="76" t="s">
        <v>46</v>
      </c>
      <c r="G1510" s="76"/>
      <c r="H1510" s="76">
        <f>STOCK[[#This Row],[Precio Final]]</f>
        <v>30</v>
      </c>
      <c r="I1510" s="80">
        <f>STOCK[[#This Row],[Precio Venta Ideal (x1.5)]]</f>
        <v>23.445</v>
      </c>
      <c r="J1510" s="78">
        <v>2</v>
      </c>
      <c r="K1510" s="78">
        <f>SUMIFS(VENTAS[Cantidad],VENTAS[Código del producto Vendido],STOCK[[#This Row],[Code]])</f>
        <v>4</v>
      </c>
      <c r="L1510" s="78">
        <f>STOCK[[#This Row],[Entradas]]-STOCK[[#This Row],[Salidas]]</f>
        <v>-2</v>
      </c>
      <c r="M1510" s="76">
        <f>STOCK[[#This Row],[Precio Final]]*10%</f>
        <v>3</v>
      </c>
      <c r="N1510" s="76">
        <v>0</v>
      </c>
      <c r="O1510" s="76">
        <v>0</v>
      </c>
      <c r="P1510" s="76">
        <v>10.98</v>
      </c>
      <c r="Q1510" s="78">
        <v>0</v>
      </c>
      <c r="R1510" s="76">
        <v>0</v>
      </c>
      <c r="S1510" s="76">
        <v>1.65</v>
      </c>
      <c r="T1510" s="76">
        <f>STOCK[[#This Row],[Costo Unitario (USD)]]+STOCK[[#This Row],[Costo Envío (USD)]]+STOCK[[#This Row],[Comisión 10%]]</f>
        <v>15.63</v>
      </c>
      <c r="U1510" s="53">
        <f>STOCK[[#This Row],[Costo total]]*1.5</f>
        <v>23.445</v>
      </c>
      <c r="V1510" s="76">
        <v>30</v>
      </c>
      <c r="W1510" s="76">
        <f>STOCK[[#This Row],[Precio Final]]-STOCK[[#This Row],[Costo total]]</f>
        <v>14.37</v>
      </c>
      <c r="X1510" s="76">
        <f>STOCK[[#This Row],[Ganancia Unitaria]]*STOCK[[#This Row],[Salidas]]</f>
        <v>57.48</v>
      </c>
      <c r="Y1510" s="76"/>
      <c r="Z1510" s="76"/>
      <c r="AA1510" s="54">
        <f>STOCK[[#This Row],[Costo total]]*STOCK[[#This Row],[Entradas]]</f>
        <v>31.26</v>
      </c>
      <c r="AB1510" s="54">
        <f>STOCK[[#This Row],[Stock Actual]]*STOCK[[#This Row],[Costo total]]</f>
        <v>-31.26</v>
      </c>
      <c r="AC1510" s="76"/>
    </row>
    <row r="1511" s="53" customFormat="1" ht="50" customHeight="1" spans="1:29">
      <c r="A1511" s="53" t="s">
        <v>3014</v>
      </c>
      <c r="B1511" s="77"/>
      <c r="C1511" s="76" t="s">
        <v>32</v>
      </c>
      <c r="D1511" s="76" t="s">
        <v>2845</v>
      </c>
      <c r="E1511" s="76" t="s">
        <v>3011</v>
      </c>
      <c r="F1511" s="76" t="s">
        <v>3015</v>
      </c>
      <c r="G1511" s="76"/>
      <c r="H1511" s="76">
        <f>STOCK[[#This Row],[Precio Final]]</f>
        <v>30</v>
      </c>
      <c r="I1511" s="80">
        <f>STOCK[[#This Row],[Precio Venta Ideal (x1.5)]]</f>
        <v>23.445</v>
      </c>
      <c r="J1511" s="78">
        <v>3</v>
      </c>
      <c r="K1511" s="78">
        <f>SUMIFS(VENTAS[Cantidad],VENTAS[Código del producto Vendido],STOCK[[#This Row],[Code]])</f>
        <v>6</v>
      </c>
      <c r="L1511" s="78">
        <f>STOCK[[#This Row],[Entradas]]-STOCK[[#This Row],[Salidas]]</f>
        <v>-3</v>
      </c>
      <c r="M1511" s="76">
        <f>STOCK[[#This Row],[Precio Final]]*10%</f>
        <v>3</v>
      </c>
      <c r="N1511" s="76">
        <v>0</v>
      </c>
      <c r="O1511" s="76">
        <v>0</v>
      </c>
      <c r="P1511" s="76">
        <v>10.98</v>
      </c>
      <c r="Q1511" s="78">
        <v>0</v>
      </c>
      <c r="R1511" s="76">
        <v>0</v>
      </c>
      <c r="S1511" s="76">
        <v>1.65</v>
      </c>
      <c r="T1511" s="76">
        <f>STOCK[[#This Row],[Costo Unitario (USD)]]+STOCK[[#This Row],[Costo Envío (USD)]]+STOCK[[#This Row],[Comisión 10%]]</f>
        <v>15.63</v>
      </c>
      <c r="U1511" s="53">
        <f>STOCK[[#This Row],[Costo total]]*1.5</f>
        <v>23.445</v>
      </c>
      <c r="V1511" s="76">
        <v>30</v>
      </c>
      <c r="W1511" s="76">
        <f>STOCK[[#This Row],[Precio Final]]-STOCK[[#This Row],[Costo total]]</f>
        <v>14.37</v>
      </c>
      <c r="X1511" s="76">
        <f>STOCK[[#This Row],[Ganancia Unitaria]]*STOCK[[#This Row],[Salidas]]</f>
        <v>86.22</v>
      </c>
      <c r="Y1511" s="76"/>
      <c r="Z1511" s="76"/>
      <c r="AA1511" s="54">
        <f>STOCK[[#This Row],[Costo total]]*STOCK[[#This Row],[Entradas]]</f>
        <v>46.89</v>
      </c>
      <c r="AB1511" s="54">
        <f>STOCK[[#This Row],[Stock Actual]]*STOCK[[#This Row],[Costo total]]</f>
        <v>-46.89</v>
      </c>
      <c r="AC1511" s="76"/>
    </row>
    <row r="1512" s="53" customFormat="1" ht="50" customHeight="1" spans="1:29">
      <c r="A1512" s="53" t="s">
        <v>3016</v>
      </c>
      <c r="B1512" s="77"/>
      <c r="C1512" s="76" t="s">
        <v>32</v>
      </c>
      <c r="D1512" s="76" t="s">
        <v>2879</v>
      </c>
      <c r="E1512" s="76" t="s">
        <v>3017</v>
      </c>
      <c r="F1512" s="76" t="s">
        <v>46</v>
      </c>
      <c r="G1512" s="76"/>
      <c r="H1512" s="76">
        <f>STOCK[[#This Row],[Precio Final]]</f>
        <v>30</v>
      </c>
      <c r="I1512" s="80">
        <f>STOCK[[#This Row],[Precio Venta Ideal (x1.5)]]</f>
        <v>27.015</v>
      </c>
      <c r="J1512" s="78">
        <v>1</v>
      </c>
      <c r="K1512" s="78">
        <f>SUMIFS(VENTAS[Cantidad],VENTAS[Código del producto Vendido],STOCK[[#This Row],[Code]])</f>
        <v>1</v>
      </c>
      <c r="L1512" s="78">
        <f>STOCK[[#This Row],[Entradas]]-STOCK[[#This Row],[Salidas]]</f>
        <v>0</v>
      </c>
      <c r="M1512" s="76">
        <f>STOCK[[#This Row],[Precio Final]]*10%</f>
        <v>3</v>
      </c>
      <c r="N1512" s="76">
        <v>0</v>
      </c>
      <c r="O1512" s="76">
        <v>0</v>
      </c>
      <c r="P1512" s="76">
        <v>13.36</v>
      </c>
      <c r="Q1512" s="78">
        <v>0</v>
      </c>
      <c r="R1512" s="76">
        <v>0</v>
      </c>
      <c r="S1512" s="76">
        <v>1.65</v>
      </c>
      <c r="T1512" s="76">
        <f>STOCK[[#This Row],[Costo Unitario (USD)]]+STOCK[[#This Row],[Costo Envío (USD)]]+STOCK[[#This Row],[Comisión 10%]]</f>
        <v>18.01</v>
      </c>
      <c r="U1512" s="53">
        <f>STOCK[[#This Row],[Costo total]]*1.5</f>
        <v>27.015</v>
      </c>
      <c r="V1512" s="76">
        <v>30</v>
      </c>
      <c r="W1512" s="76">
        <f>STOCK[[#This Row],[Precio Final]]-STOCK[[#This Row],[Costo total]]</f>
        <v>11.99</v>
      </c>
      <c r="X1512" s="76">
        <f>STOCK[[#This Row],[Ganancia Unitaria]]*STOCK[[#This Row],[Salidas]]</f>
        <v>11.99</v>
      </c>
      <c r="Y1512" s="76"/>
      <c r="Z1512" s="76"/>
      <c r="AA1512" s="54">
        <f>STOCK[[#This Row],[Costo total]]*STOCK[[#This Row],[Entradas]]</f>
        <v>18.01</v>
      </c>
      <c r="AB1512" s="54">
        <f>STOCK[[#This Row],[Stock Actual]]*STOCK[[#This Row],[Costo total]]</f>
        <v>0</v>
      </c>
      <c r="AC1512" s="76"/>
    </row>
    <row r="1513" s="53" customFormat="1" ht="50" customHeight="1" spans="1:29">
      <c r="A1513" s="53" t="s">
        <v>3018</v>
      </c>
      <c r="B1513" s="77"/>
      <c r="C1513" s="76" t="s">
        <v>32</v>
      </c>
      <c r="D1513" s="76" t="s">
        <v>1226</v>
      </c>
      <c r="E1513" s="76" t="s">
        <v>3019</v>
      </c>
      <c r="F1513" s="76" t="s">
        <v>517</v>
      </c>
      <c r="G1513" s="76"/>
      <c r="H1513" s="76">
        <f>STOCK[[#This Row],[Precio Final]]</f>
        <v>40</v>
      </c>
      <c r="I1513" s="80">
        <f>STOCK[[#This Row],[Precio Venta Ideal (x1.5)]]</f>
        <v>23.475</v>
      </c>
      <c r="J1513" s="78">
        <v>2</v>
      </c>
      <c r="K1513" s="78">
        <f>SUMIFS(VENTAS[Cantidad],VENTAS[Código del producto Vendido],STOCK[[#This Row],[Code]])</f>
        <v>1</v>
      </c>
      <c r="L1513" s="78">
        <f>STOCK[[#This Row],[Entradas]]-STOCK[[#This Row],[Salidas]]</f>
        <v>1</v>
      </c>
      <c r="M1513" s="76">
        <f>STOCK[[#This Row],[Precio Final]]*10%</f>
        <v>4</v>
      </c>
      <c r="N1513" s="76">
        <v>0</v>
      </c>
      <c r="O1513" s="76">
        <v>0</v>
      </c>
      <c r="P1513" s="76">
        <v>10</v>
      </c>
      <c r="Q1513" s="78">
        <v>0</v>
      </c>
      <c r="R1513" s="76">
        <v>0</v>
      </c>
      <c r="S1513" s="76">
        <v>1.65</v>
      </c>
      <c r="T1513" s="76">
        <f>STOCK[[#This Row],[Costo Unitario (USD)]]+STOCK[[#This Row],[Costo Envío (USD)]]+STOCK[[#This Row],[Comisión 10%]]</f>
        <v>15.65</v>
      </c>
      <c r="U1513" s="53">
        <f>STOCK[[#This Row],[Costo total]]*1.5</f>
        <v>23.475</v>
      </c>
      <c r="V1513" s="76">
        <v>40</v>
      </c>
      <c r="W1513" s="76">
        <f>STOCK[[#This Row],[Precio Final]]-STOCK[[#This Row],[Costo total]]</f>
        <v>24.35</v>
      </c>
      <c r="X1513" s="76">
        <f>STOCK[[#This Row],[Ganancia Unitaria]]*STOCK[[#This Row],[Salidas]]</f>
        <v>24.35</v>
      </c>
      <c r="Y1513" s="76"/>
      <c r="Z1513" s="76"/>
      <c r="AA1513" s="54">
        <f>STOCK[[#This Row],[Costo total]]*STOCK[[#This Row],[Entradas]]</f>
        <v>31.3</v>
      </c>
      <c r="AB1513" s="54">
        <f>STOCK[[#This Row],[Stock Actual]]*STOCK[[#This Row],[Costo total]]</f>
        <v>15.65</v>
      </c>
      <c r="AC1513" s="76"/>
    </row>
    <row r="1514" s="53" customFormat="1" ht="50" customHeight="1" spans="1:29">
      <c r="A1514" s="53" t="s">
        <v>3020</v>
      </c>
      <c r="B1514" s="77"/>
      <c r="C1514" s="76" t="s">
        <v>32</v>
      </c>
      <c r="D1514" s="76" t="s">
        <v>1226</v>
      </c>
      <c r="E1514" s="76" t="s">
        <v>3019</v>
      </c>
      <c r="F1514" s="76" t="s">
        <v>540</v>
      </c>
      <c r="G1514" s="76"/>
      <c r="H1514" s="76">
        <f>STOCK[[#This Row],[Precio Final]]</f>
        <v>40</v>
      </c>
      <c r="I1514" s="80">
        <f>STOCK[[#This Row],[Precio Venta Ideal (x1.5)]]</f>
        <v>23.475</v>
      </c>
      <c r="J1514" s="78">
        <v>2</v>
      </c>
      <c r="K1514" s="78">
        <f>SUMIFS(VENTAS[Cantidad],VENTAS[Código del producto Vendido],STOCK[[#This Row],[Code]])</f>
        <v>0</v>
      </c>
      <c r="L1514" s="78">
        <f>STOCK[[#This Row],[Entradas]]-STOCK[[#This Row],[Salidas]]</f>
        <v>2</v>
      </c>
      <c r="M1514" s="76">
        <f>STOCK[[#This Row],[Precio Final]]*10%</f>
        <v>4</v>
      </c>
      <c r="N1514" s="76">
        <v>0</v>
      </c>
      <c r="O1514" s="76">
        <v>0</v>
      </c>
      <c r="P1514" s="76">
        <v>10</v>
      </c>
      <c r="Q1514" s="78">
        <v>0</v>
      </c>
      <c r="R1514" s="76">
        <v>0</v>
      </c>
      <c r="S1514" s="76">
        <v>1.65</v>
      </c>
      <c r="T1514" s="76">
        <f>STOCK[[#This Row],[Costo Unitario (USD)]]+STOCK[[#This Row],[Costo Envío (USD)]]+STOCK[[#This Row],[Comisión 10%]]</f>
        <v>15.65</v>
      </c>
      <c r="U1514" s="53">
        <f>STOCK[[#This Row],[Costo total]]*1.5</f>
        <v>23.475</v>
      </c>
      <c r="V1514" s="76">
        <v>40</v>
      </c>
      <c r="W1514" s="76">
        <f>STOCK[[#This Row],[Precio Final]]-STOCK[[#This Row],[Costo total]]</f>
        <v>24.35</v>
      </c>
      <c r="X1514" s="76">
        <f>STOCK[[#This Row],[Ganancia Unitaria]]*STOCK[[#This Row],[Salidas]]</f>
        <v>0</v>
      </c>
      <c r="Y1514" s="76"/>
      <c r="Z1514" s="76"/>
      <c r="AA1514" s="54">
        <f>STOCK[[#This Row],[Costo total]]*STOCK[[#This Row],[Entradas]]</f>
        <v>31.3</v>
      </c>
      <c r="AB1514" s="54">
        <f>STOCK[[#This Row],[Stock Actual]]*STOCK[[#This Row],[Costo total]]</f>
        <v>31.3</v>
      </c>
      <c r="AC1514" s="76"/>
    </row>
    <row r="1515" s="53" customFormat="1" ht="50" customHeight="1" spans="1:29">
      <c r="A1515" s="53" t="s">
        <v>3021</v>
      </c>
      <c r="B1515" s="77"/>
      <c r="C1515" s="76" t="s">
        <v>32</v>
      </c>
      <c r="D1515" s="76" t="s">
        <v>1226</v>
      </c>
      <c r="E1515" s="76" t="s">
        <v>3019</v>
      </c>
      <c r="F1515" s="76" t="s">
        <v>754</v>
      </c>
      <c r="G1515" s="76"/>
      <c r="H1515" s="76">
        <f>STOCK[[#This Row],[Precio Final]]</f>
        <v>40</v>
      </c>
      <c r="I1515" s="80">
        <f>STOCK[[#This Row],[Precio Venta Ideal (x1.5)]]</f>
        <v>23.475</v>
      </c>
      <c r="J1515" s="78">
        <v>2</v>
      </c>
      <c r="K1515" s="78">
        <f>SUMIFS(VENTAS[Cantidad],VENTAS[Código del producto Vendido],STOCK[[#This Row],[Code]])</f>
        <v>0</v>
      </c>
      <c r="L1515" s="78">
        <f>STOCK[[#This Row],[Entradas]]-STOCK[[#This Row],[Salidas]]</f>
        <v>2</v>
      </c>
      <c r="M1515" s="76">
        <f>STOCK[[#This Row],[Precio Final]]*10%</f>
        <v>4</v>
      </c>
      <c r="N1515" s="76">
        <v>0</v>
      </c>
      <c r="O1515" s="76">
        <v>0</v>
      </c>
      <c r="P1515" s="76">
        <v>10</v>
      </c>
      <c r="Q1515" s="78">
        <v>0</v>
      </c>
      <c r="R1515" s="76">
        <v>0</v>
      </c>
      <c r="S1515" s="76">
        <v>1.65</v>
      </c>
      <c r="T1515" s="76">
        <f>STOCK[[#This Row],[Costo Unitario (USD)]]+STOCK[[#This Row],[Costo Envío (USD)]]+STOCK[[#This Row],[Comisión 10%]]</f>
        <v>15.65</v>
      </c>
      <c r="U1515" s="53">
        <f>STOCK[[#This Row],[Costo total]]*1.5</f>
        <v>23.475</v>
      </c>
      <c r="V1515" s="76">
        <v>40</v>
      </c>
      <c r="W1515" s="76">
        <f>STOCK[[#This Row],[Precio Final]]-STOCK[[#This Row],[Costo total]]</f>
        <v>24.35</v>
      </c>
      <c r="X1515" s="76">
        <f>STOCK[[#This Row],[Ganancia Unitaria]]*STOCK[[#This Row],[Salidas]]</f>
        <v>0</v>
      </c>
      <c r="Y1515" s="76"/>
      <c r="Z1515" s="76"/>
      <c r="AA1515" s="54">
        <f>STOCK[[#This Row],[Costo total]]*STOCK[[#This Row],[Entradas]]</f>
        <v>31.3</v>
      </c>
      <c r="AB1515" s="54">
        <f>STOCK[[#This Row],[Stock Actual]]*STOCK[[#This Row],[Costo total]]</f>
        <v>31.3</v>
      </c>
      <c r="AC1515" s="76"/>
    </row>
    <row r="1516" s="53" customFormat="1" ht="50" customHeight="1" spans="1:29">
      <c r="A1516" s="53" t="s">
        <v>3022</v>
      </c>
      <c r="B1516" s="77"/>
      <c r="C1516" s="76" t="s">
        <v>32</v>
      </c>
      <c r="D1516" s="76" t="s">
        <v>2845</v>
      </c>
      <c r="E1516" s="76" t="s">
        <v>3023</v>
      </c>
      <c r="F1516" s="76" t="s">
        <v>40</v>
      </c>
      <c r="G1516" s="76"/>
      <c r="H1516" s="76">
        <f>STOCK[[#This Row],[Precio Final]]</f>
        <v>25</v>
      </c>
      <c r="I1516" s="80">
        <f>STOCK[[#This Row],[Precio Venta Ideal (x1.5)]]</f>
        <v>25.65</v>
      </c>
      <c r="J1516" s="78">
        <v>1</v>
      </c>
      <c r="K1516" s="78">
        <f>SUMIFS(VENTAS[Cantidad],VENTAS[Código del producto Vendido],STOCK[[#This Row],[Code]])</f>
        <v>1</v>
      </c>
      <c r="L1516" s="78">
        <f>STOCK[[#This Row],[Entradas]]-STOCK[[#This Row],[Salidas]]</f>
        <v>0</v>
      </c>
      <c r="M1516" s="76">
        <f>STOCK[[#This Row],[Precio Final]]*10%</f>
        <v>2.5</v>
      </c>
      <c r="N1516" s="76">
        <v>0</v>
      </c>
      <c r="O1516" s="76">
        <v>0</v>
      </c>
      <c r="P1516" s="76">
        <v>13</v>
      </c>
      <c r="Q1516" s="78">
        <v>0</v>
      </c>
      <c r="R1516" s="76">
        <v>0</v>
      </c>
      <c r="S1516" s="76">
        <v>1.6</v>
      </c>
      <c r="T1516" s="76">
        <f>STOCK[[#This Row],[Costo Unitario (USD)]]+STOCK[[#This Row],[Costo Envío (USD)]]+STOCK[[#This Row],[Comisión 10%]]</f>
        <v>17.1</v>
      </c>
      <c r="U1516" s="53">
        <f>STOCK[[#This Row],[Costo total]]*1.5</f>
        <v>25.65</v>
      </c>
      <c r="V1516" s="76">
        <v>25</v>
      </c>
      <c r="W1516" s="76">
        <f>STOCK[[#This Row],[Precio Final]]-STOCK[[#This Row],[Costo total]]</f>
        <v>7.9</v>
      </c>
      <c r="X1516" s="76">
        <f>STOCK[[#This Row],[Ganancia Unitaria]]*STOCK[[#This Row],[Salidas]]</f>
        <v>7.9</v>
      </c>
      <c r="Y1516" s="76"/>
      <c r="Z1516" s="76"/>
      <c r="AA1516" s="54">
        <f>STOCK[[#This Row],[Costo total]]*STOCK[[#This Row],[Entradas]]</f>
        <v>17.1</v>
      </c>
      <c r="AB1516" s="54">
        <f>STOCK[[#This Row],[Stock Actual]]*STOCK[[#This Row],[Costo total]]</f>
        <v>0</v>
      </c>
      <c r="AC1516" s="76"/>
    </row>
    <row r="1517" s="53" customFormat="1" ht="50" customHeight="1" spans="1:29">
      <c r="A1517" s="53" t="s">
        <v>3024</v>
      </c>
      <c r="B1517" s="77"/>
      <c r="C1517" s="76" t="s">
        <v>32</v>
      </c>
      <c r="D1517" s="76" t="s">
        <v>1190</v>
      </c>
      <c r="E1517" s="76" t="s">
        <v>3025</v>
      </c>
      <c r="F1517" s="76" t="s">
        <v>62</v>
      </c>
      <c r="G1517" s="76"/>
      <c r="H1517" s="76">
        <f>STOCK[[#This Row],[Precio Final]]</f>
        <v>18</v>
      </c>
      <c r="I1517" s="80">
        <f>STOCK[[#This Row],[Precio Venta Ideal (x1.5)]]</f>
        <v>16.23</v>
      </c>
      <c r="J1517" s="78">
        <v>2</v>
      </c>
      <c r="K1517" s="78">
        <f>SUMIFS(VENTAS[Cantidad],VENTAS[Código del producto Vendido],STOCK[[#This Row],[Code]])</f>
        <v>0</v>
      </c>
      <c r="L1517" s="78">
        <f>STOCK[[#This Row],[Entradas]]-STOCK[[#This Row],[Salidas]]</f>
        <v>2</v>
      </c>
      <c r="M1517" s="76">
        <f>STOCK[[#This Row],[Precio Final]]*10%</f>
        <v>1.8</v>
      </c>
      <c r="N1517" s="76">
        <v>0</v>
      </c>
      <c r="O1517" s="76">
        <v>0</v>
      </c>
      <c r="P1517" s="76">
        <v>7.42</v>
      </c>
      <c r="Q1517" s="78">
        <v>0</v>
      </c>
      <c r="R1517" s="76">
        <v>0</v>
      </c>
      <c r="S1517" s="76">
        <v>1.6</v>
      </c>
      <c r="T1517" s="76">
        <f>STOCK[[#This Row],[Costo Unitario (USD)]]+STOCK[[#This Row],[Costo Envío (USD)]]+STOCK[[#This Row],[Comisión 10%]]</f>
        <v>10.82</v>
      </c>
      <c r="U1517" s="53">
        <f>STOCK[[#This Row],[Costo total]]*1.5</f>
        <v>16.23</v>
      </c>
      <c r="V1517" s="76">
        <v>18</v>
      </c>
      <c r="W1517" s="76">
        <f>STOCK[[#This Row],[Precio Final]]-STOCK[[#This Row],[Costo total]]</f>
        <v>7.18</v>
      </c>
      <c r="X1517" s="76">
        <f>STOCK[[#This Row],[Ganancia Unitaria]]*STOCK[[#This Row],[Salidas]]</f>
        <v>0</v>
      </c>
      <c r="Y1517" s="76"/>
      <c r="Z1517" s="76"/>
      <c r="AA1517" s="54">
        <f>STOCK[[#This Row],[Costo total]]*STOCK[[#This Row],[Entradas]]</f>
        <v>21.64</v>
      </c>
      <c r="AB1517" s="54">
        <f>STOCK[[#This Row],[Stock Actual]]*STOCK[[#This Row],[Costo total]]</f>
        <v>21.64</v>
      </c>
      <c r="AC1517" s="76"/>
    </row>
    <row r="1518" s="53" customFormat="1" ht="50" customHeight="1" spans="1:29">
      <c r="A1518" s="53" t="s">
        <v>3026</v>
      </c>
      <c r="B1518" s="77"/>
      <c r="C1518" s="76" t="s">
        <v>32</v>
      </c>
      <c r="D1518" s="76" t="s">
        <v>1190</v>
      </c>
      <c r="E1518" s="76" t="s">
        <v>3025</v>
      </c>
      <c r="F1518" s="76" t="s">
        <v>49</v>
      </c>
      <c r="G1518" s="76"/>
      <c r="H1518" s="76">
        <f>STOCK[[#This Row],[Precio Final]]</f>
        <v>18</v>
      </c>
      <c r="I1518" s="80">
        <f>STOCK[[#This Row],[Precio Venta Ideal (x1.5)]]</f>
        <v>16.605</v>
      </c>
      <c r="J1518" s="78">
        <v>2</v>
      </c>
      <c r="K1518" s="78">
        <f>SUMIFS(VENTAS[Cantidad],VENTAS[Código del producto Vendido],STOCK[[#This Row],[Code]])</f>
        <v>0</v>
      </c>
      <c r="L1518" s="78">
        <f>STOCK[[#This Row],[Entradas]]-STOCK[[#This Row],[Salidas]]</f>
        <v>2</v>
      </c>
      <c r="M1518" s="76">
        <f>STOCK[[#This Row],[Precio Final]]*10%</f>
        <v>1.8</v>
      </c>
      <c r="N1518" s="76">
        <v>0</v>
      </c>
      <c r="O1518" s="76">
        <v>0</v>
      </c>
      <c r="P1518" s="76">
        <v>7.67</v>
      </c>
      <c r="Q1518" s="78">
        <v>0</v>
      </c>
      <c r="R1518" s="76">
        <v>0</v>
      </c>
      <c r="S1518" s="76">
        <v>1.6</v>
      </c>
      <c r="T1518" s="76">
        <f>STOCK[[#This Row],[Costo Unitario (USD)]]+STOCK[[#This Row],[Costo Envío (USD)]]+STOCK[[#This Row],[Comisión 10%]]</f>
        <v>11.07</v>
      </c>
      <c r="U1518" s="53">
        <f>STOCK[[#This Row],[Costo total]]*1.5</f>
        <v>16.605</v>
      </c>
      <c r="V1518" s="76">
        <v>18</v>
      </c>
      <c r="W1518" s="76">
        <f>STOCK[[#This Row],[Precio Final]]-STOCK[[#This Row],[Costo total]]</f>
        <v>6.93</v>
      </c>
      <c r="X1518" s="76">
        <f>STOCK[[#This Row],[Ganancia Unitaria]]*STOCK[[#This Row],[Salidas]]</f>
        <v>0</v>
      </c>
      <c r="Y1518" s="76"/>
      <c r="Z1518" s="76"/>
      <c r="AA1518" s="54">
        <f>STOCK[[#This Row],[Costo total]]*STOCK[[#This Row],[Entradas]]</f>
        <v>22.14</v>
      </c>
      <c r="AB1518" s="54">
        <f>STOCK[[#This Row],[Stock Actual]]*STOCK[[#This Row],[Costo total]]</f>
        <v>22.14</v>
      </c>
      <c r="AC1518" s="76"/>
    </row>
    <row r="1519" s="53" customFormat="1" ht="50" customHeight="1" spans="1:29">
      <c r="A1519" s="53" t="s">
        <v>3027</v>
      </c>
      <c r="B1519" s="77"/>
      <c r="C1519" s="76" t="s">
        <v>32</v>
      </c>
      <c r="D1519" s="76" t="s">
        <v>1190</v>
      </c>
      <c r="E1519" s="76" t="s">
        <v>3025</v>
      </c>
      <c r="F1519" s="76" t="s">
        <v>46</v>
      </c>
      <c r="G1519" s="76"/>
      <c r="H1519" s="76">
        <f>STOCK[[#This Row],[Precio Final]]</f>
        <v>18</v>
      </c>
      <c r="I1519" s="80">
        <f>STOCK[[#This Row],[Precio Venta Ideal (x1.5)]]</f>
        <v>17.22</v>
      </c>
      <c r="J1519" s="78">
        <v>2</v>
      </c>
      <c r="K1519" s="78">
        <f>SUMIFS(VENTAS[Cantidad],VENTAS[Código del producto Vendido],STOCK[[#This Row],[Code]])</f>
        <v>0</v>
      </c>
      <c r="L1519" s="78">
        <f>STOCK[[#This Row],[Entradas]]-STOCK[[#This Row],[Salidas]]</f>
        <v>2</v>
      </c>
      <c r="M1519" s="76">
        <f>STOCK[[#This Row],[Precio Final]]*10%</f>
        <v>1.8</v>
      </c>
      <c r="N1519" s="76">
        <v>0</v>
      </c>
      <c r="O1519" s="76">
        <v>0</v>
      </c>
      <c r="P1519" s="76">
        <v>8.08</v>
      </c>
      <c r="Q1519" s="78">
        <v>0</v>
      </c>
      <c r="R1519" s="76">
        <v>0</v>
      </c>
      <c r="S1519" s="76">
        <v>1.6</v>
      </c>
      <c r="T1519" s="76">
        <f>STOCK[[#This Row],[Costo Unitario (USD)]]+STOCK[[#This Row],[Costo Envío (USD)]]+STOCK[[#This Row],[Comisión 10%]]</f>
        <v>11.48</v>
      </c>
      <c r="U1519" s="53">
        <f>STOCK[[#This Row],[Costo total]]*1.5</f>
        <v>17.22</v>
      </c>
      <c r="V1519" s="76">
        <v>18</v>
      </c>
      <c r="W1519" s="76">
        <f>STOCK[[#This Row],[Precio Final]]-STOCK[[#This Row],[Costo total]]</f>
        <v>6.52</v>
      </c>
      <c r="X1519" s="76">
        <f>STOCK[[#This Row],[Ganancia Unitaria]]*STOCK[[#This Row],[Salidas]]</f>
        <v>0</v>
      </c>
      <c r="Y1519" s="76"/>
      <c r="Z1519" s="76"/>
      <c r="AA1519" s="54">
        <f>STOCK[[#This Row],[Costo total]]*STOCK[[#This Row],[Entradas]]</f>
        <v>22.96</v>
      </c>
      <c r="AB1519" s="54">
        <f>STOCK[[#This Row],[Stock Actual]]*STOCK[[#This Row],[Costo total]]</f>
        <v>22.96</v>
      </c>
      <c r="AC1519" s="76"/>
    </row>
    <row r="1520" s="53" customFormat="1" ht="50" customHeight="1" spans="1:29">
      <c r="A1520" s="53" t="s">
        <v>3028</v>
      </c>
      <c r="B1520" s="77"/>
      <c r="C1520" s="76" t="s">
        <v>32</v>
      </c>
      <c r="D1520" s="76" t="s">
        <v>1190</v>
      </c>
      <c r="E1520" s="76" t="s">
        <v>3029</v>
      </c>
      <c r="F1520" s="76" t="s">
        <v>62</v>
      </c>
      <c r="G1520" s="76"/>
      <c r="H1520" s="76">
        <f>STOCK[[#This Row],[Precio Final]]</f>
        <v>18</v>
      </c>
      <c r="I1520" s="80">
        <f>STOCK[[#This Row],[Precio Venta Ideal (x1.5)]]</f>
        <v>16.71</v>
      </c>
      <c r="J1520" s="78">
        <v>1</v>
      </c>
      <c r="K1520" s="78">
        <f>SUMIFS(VENTAS[Cantidad],VENTAS[Código del producto Vendido],STOCK[[#This Row],[Code]])</f>
        <v>0</v>
      </c>
      <c r="L1520" s="78">
        <f>STOCK[[#This Row],[Entradas]]-STOCK[[#This Row],[Salidas]]</f>
        <v>1</v>
      </c>
      <c r="M1520" s="76">
        <f>STOCK[[#This Row],[Precio Final]]*10%</f>
        <v>1.8</v>
      </c>
      <c r="N1520" s="76">
        <v>0</v>
      </c>
      <c r="O1520" s="76">
        <v>0</v>
      </c>
      <c r="P1520" s="76">
        <v>7.74</v>
      </c>
      <c r="Q1520" s="78">
        <v>0</v>
      </c>
      <c r="R1520" s="76">
        <v>0</v>
      </c>
      <c r="S1520" s="76">
        <v>1.6</v>
      </c>
      <c r="T1520" s="76">
        <f>STOCK[[#This Row],[Costo Unitario (USD)]]+STOCK[[#This Row],[Costo Envío (USD)]]+STOCK[[#This Row],[Comisión 10%]]</f>
        <v>11.14</v>
      </c>
      <c r="U1520" s="53">
        <f>STOCK[[#This Row],[Costo total]]*1.5</f>
        <v>16.71</v>
      </c>
      <c r="V1520" s="76">
        <v>18</v>
      </c>
      <c r="W1520" s="76">
        <f>STOCK[[#This Row],[Precio Final]]-STOCK[[#This Row],[Costo total]]</f>
        <v>6.86</v>
      </c>
      <c r="X1520" s="76">
        <f>STOCK[[#This Row],[Ganancia Unitaria]]*STOCK[[#This Row],[Salidas]]</f>
        <v>0</v>
      </c>
      <c r="Y1520" s="76"/>
      <c r="Z1520" s="76"/>
      <c r="AA1520" s="54">
        <f>STOCK[[#This Row],[Costo total]]*STOCK[[#This Row],[Entradas]]</f>
        <v>11.14</v>
      </c>
      <c r="AB1520" s="54">
        <f>STOCK[[#This Row],[Stock Actual]]*STOCK[[#This Row],[Costo total]]</f>
        <v>11.14</v>
      </c>
      <c r="AC1520" s="76"/>
    </row>
    <row r="1521" s="53" customFormat="1" ht="50" customHeight="1" spans="1:29">
      <c r="A1521" s="53" t="s">
        <v>3030</v>
      </c>
      <c r="B1521" s="77"/>
      <c r="C1521" s="76" t="s">
        <v>32</v>
      </c>
      <c r="D1521" s="76" t="s">
        <v>1190</v>
      </c>
      <c r="E1521" s="76" t="s">
        <v>3029</v>
      </c>
      <c r="F1521" s="76" t="s">
        <v>49</v>
      </c>
      <c r="G1521" s="76"/>
      <c r="H1521" s="76">
        <f>STOCK[[#This Row],[Precio Final]]</f>
        <v>18</v>
      </c>
      <c r="I1521" s="80">
        <f>STOCK[[#This Row],[Precio Venta Ideal (x1.5)]]</f>
        <v>16.71</v>
      </c>
      <c r="J1521" s="78">
        <v>1</v>
      </c>
      <c r="K1521" s="78">
        <f>SUMIFS(VENTAS[Cantidad],VENTAS[Código del producto Vendido],STOCK[[#This Row],[Code]])</f>
        <v>0</v>
      </c>
      <c r="L1521" s="78">
        <f>STOCK[[#This Row],[Entradas]]-STOCK[[#This Row],[Salidas]]</f>
        <v>1</v>
      </c>
      <c r="M1521" s="76">
        <f>STOCK[[#This Row],[Precio Final]]*10%</f>
        <v>1.8</v>
      </c>
      <c r="N1521" s="76">
        <v>0</v>
      </c>
      <c r="O1521" s="76">
        <v>0</v>
      </c>
      <c r="P1521" s="76">
        <v>7.74</v>
      </c>
      <c r="Q1521" s="78">
        <v>0</v>
      </c>
      <c r="R1521" s="76">
        <v>0</v>
      </c>
      <c r="S1521" s="76">
        <v>1.6</v>
      </c>
      <c r="T1521" s="76">
        <f>STOCK[[#This Row],[Costo Unitario (USD)]]+STOCK[[#This Row],[Costo Envío (USD)]]+STOCK[[#This Row],[Comisión 10%]]</f>
        <v>11.14</v>
      </c>
      <c r="U1521" s="53">
        <f>STOCK[[#This Row],[Costo total]]*1.5</f>
        <v>16.71</v>
      </c>
      <c r="V1521" s="76">
        <v>18</v>
      </c>
      <c r="W1521" s="76">
        <f>STOCK[[#This Row],[Precio Final]]-STOCK[[#This Row],[Costo total]]</f>
        <v>6.86</v>
      </c>
      <c r="X1521" s="76">
        <f>STOCK[[#This Row],[Ganancia Unitaria]]*STOCK[[#This Row],[Salidas]]</f>
        <v>0</v>
      </c>
      <c r="Y1521" s="76"/>
      <c r="Z1521" s="76"/>
      <c r="AA1521" s="54">
        <f>STOCK[[#This Row],[Costo total]]*STOCK[[#This Row],[Entradas]]</f>
        <v>11.14</v>
      </c>
      <c r="AB1521" s="54">
        <f>STOCK[[#This Row],[Stock Actual]]*STOCK[[#This Row],[Costo total]]</f>
        <v>11.14</v>
      </c>
      <c r="AC1521" s="76"/>
    </row>
    <row r="1522" s="53" customFormat="1" ht="50" customHeight="1" spans="1:29">
      <c r="A1522" s="53" t="s">
        <v>3031</v>
      </c>
      <c r="B1522" s="77"/>
      <c r="C1522" s="76" t="s">
        <v>32</v>
      </c>
      <c r="D1522" s="76" t="s">
        <v>1190</v>
      </c>
      <c r="E1522" s="76" t="s">
        <v>3029</v>
      </c>
      <c r="F1522" s="76" t="s">
        <v>46</v>
      </c>
      <c r="G1522" s="76"/>
      <c r="H1522" s="76">
        <f>STOCK[[#This Row],[Precio Final]]</f>
        <v>18</v>
      </c>
      <c r="I1522" s="80">
        <f>STOCK[[#This Row],[Precio Venta Ideal (x1.5)]]</f>
        <v>16.71</v>
      </c>
      <c r="J1522" s="78">
        <v>1</v>
      </c>
      <c r="K1522" s="78">
        <f>SUMIFS(VENTAS[Cantidad],VENTAS[Código del producto Vendido],STOCK[[#This Row],[Code]])</f>
        <v>0</v>
      </c>
      <c r="L1522" s="78">
        <f>STOCK[[#This Row],[Entradas]]-STOCK[[#This Row],[Salidas]]</f>
        <v>1</v>
      </c>
      <c r="M1522" s="76">
        <f>STOCK[[#This Row],[Precio Final]]*10%</f>
        <v>1.8</v>
      </c>
      <c r="N1522" s="76">
        <v>0</v>
      </c>
      <c r="O1522" s="76">
        <v>0</v>
      </c>
      <c r="P1522" s="76">
        <v>7.74</v>
      </c>
      <c r="Q1522" s="78">
        <v>0</v>
      </c>
      <c r="R1522" s="76">
        <v>0</v>
      </c>
      <c r="S1522" s="76">
        <v>1.6</v>
      </c>
      <c r="T1522" s="76">
        <f>STOCK[[#This Row],[Costo Unitario (USD)]]+STOCK[[#This Row],[Costo Envío (USD)]]+STOCK[[#This Row],[Comisión 10%]]</f>
        <v>11.14</v>
      </c>
      <c r="U1522" s="53">
        <f>STOCK[[#This Row],[Costo total]]*1.5</f>
        <v>16.71</v>
      </c>
      <c r="V1522" s="76">
        <v>18</v>
      </c>
      <c r="W1522" s="76">
        <f>STOCK[[#This Row],[Precio Final]]-STOCK[[#This Row],[Costo total]]</f>
        <v>6.86</v>
      </c>
      <c r="X1522" s="76">
        <f>STOCK[[#This Row],[Ganancia Unitaria]]*STOCK[[#This Row],[Salidas]]</f>
        <v>0</v>
      </c>
      <c r="Y1522" s="76"/>
      <c r="Z1522" s="76"/>
      <c r="AA1522" s="54">
        <f>STOCK[[#This Row],[Costo total]]*STOCK[[#This Row],[Entradas]]</f>
        <v>11.14</v>
      </c>
      <c r="AB1522" s="54">
        <f>STOCK[[#This Row],[Stock Actual]]*STOCK[[#This Row],[Costo total]]</f>
        <v>11.14</v>
      </c>
      <c r="AC1522" s="76"/>
    </row>
    <row r="1523" s="53" customFormat="1" ht="50" customHeight="1" spans="1:29">
      <c r="A1523" s="53" t="s">
        <v>3032</v>
      </c>
      <c r="B1523" s="77"/>
      <c r="C1523" s="76" t="s">
        <v>32</v>
      </c>
      <c r="D1523" s="76" t="s">
        <v>1190</v>
      </c>
      <c r="E1523" s="76" t="s">
        <v>3033</v>
      </c>
      <c r="F1523" s="76" t="s">
        <v>62</v>
      </c>
      <c r="G1523" s="76"/>
      <c r="H1523" s="76">
        <f>STOCK[[#This Row],[Precio Final]]</f>
        <v>18</v>
      </c>
      <c r="I1523" s="80">
        <f>STOCK[[#This Row],[Precio Venta Ideal (x1.5)]]</f>
        <v>17.235</v>
      </c>
      <c r="J1523" s="78">
        <v>2</v>
      </c>
      <c r="K1523" s="78">
        <f>SUMIFS(VENTAS[Cantidad],VENTAS[Código del producto Vendido],STOCK[[#This Row],[Code]])</f>
        <v>0</v>
      </c>
      <c r="L1523" s="78">
        <f>STOCK[[#This Row],[Entradas]]-STOCK[[#This Row],[Salidas]]</f>
        <v>2</v>
      </c>
      <c r="M1523" s="76">
        <f>STOCK[[#This Row],[Precio Final]]*10%</f>
        <v>1.8</v>
      </c>
      <c r="N1523" s="76">
        <v>0</v>
      </c>
      <c r="O1523" s="76">
        <v>0</v>
      </c>
      <c r="P1523" s="76">
        <v>8.09</v>
      </c>
      <c r="Q1523" s="78">
        <v>0</v>
      </c>
      <c r="R1523" s="76">
        <v>0</v>
      </c>
      <c r="S1523" s="76">
        <v>1.6</v>
      </c>
      <c r="T1523" s="76">
        <f>STOCK[[#This Row],[Costo Unitario (USD)]]+STOCK[[#This Row],[Costo Envío (USD)]]+STOCK[[#This Row],[Comisión 10%]]</f>
        <v>11.49</v>
      </c>
      <c r="U1523" s="53">
        <f>STOCK[[#This Row],[Costo total]]*1.5</f>
        <v>17.235</v>
      </c>
      <c r="V1523" s="76">
        <v>18</v>
      </c>
      <c r="W1523" s="76">
        <f>STOCK[[#This Row],[Precio Final]]-STOCK[[#This Row],[Costo total]]</f>
        <v>6.51</v>
      </c>
      <c r="X1523" s="76">
        <f>STOCK[[#This Row],[Ganancia Unitaria]]*STOCK[[#This Row],[Salidas]]</f>
        <v>0</v>
      </c>
      <c r="Y1523" s="76"/>
      <c r="Z1523" s="76"/>
      <c r="AA1523" s="54">
        <f>STOCK[[#This Row],[Costo total]]*STOCK[[#This Row],[Entradas]]</f>
        <v>22.98</v>
      </c>
      <c r="AB1523" s="54">
        <f>STOCK[[#This Row],[Stock Actual]]*STOCK[[#This Row],[Costo total]]</f>
        <v>22.98</v>
      </c>
      <c r="AC1523" s="76"/>
    </row>
    <row r="1524" s="53" customFormat="1" ht="50" customHeight="1" spans="1:29">
      <c r="A1524" s="53" t="s">
        <v>3034</v>
      </c>
      <c r="B1524" s="77"/>
      <c r="C1524" s="76" t="s">
        <v>32</v>
      </c>
      <c r="D1524" s="76" t="s">
        <v>1190</v>
      </c>
      <c r="E1524" s="76" t="s">
        <v>3033</v>
      </c>
      <c r="F1524" s="76" t="s">
        <v>49</v>
      </c>
      <c r="G1524" s="76"/>
      <c r="H1524" s="76">
        <f>STOCK[[#This Row],[Precio Final]]</f>
        <v>18</v>
      </c>
      <c r="I1524" s="80">
        <f>STOCK[[#This Row],[Precio Venta Ideal (x1.5)]]</f>
        <v>17.235</v>
      </c>
      <c r="J1524" s="78">
        <v>2</v>
      </c>
      <c r="K1524" s="78">
        <f>SUMIFS(VENTAS[Cantidad],VENTAS[Código del producto Vendido],STOCK[[#This Row],[Code]])</f>
        <v>0</v>
      </c>
      <c r="L1524" s="78">
        <f>STOCK[[#This Row],[Entradas]]-STOCK[[#This Row],[Salidas]]</f>
        <v>2</v>
      </c>
      <c r="M1524" s="76">
        <f>STOCK[[#This Row],[Precio Final]]*10%</f>
        <v>1.8</v>
      </c>
      <c r="N1524" s="76">
        <v>0</v>
      </c>
      <c r="O1524" s="76">
        <v>0</v>
      </c>
      <c r="P1524" s="76">
        <v>8.09</v>
      </c>
      <c r="Q1524" s="78">
        <v>0</v>
      </c>
      <c r="R1524" s="76">
        <v>0</v>
      </c>
      <c r="S1524" s="76">
        <v>1.6</v>
      </c>
      <c r="T1524" s="76">
        <f>STOCK[[#This Row],[Costo Unitario (USD)]]+STOCK[[#This Row],[Costo Envío (USD)]]+STOCK[[#This Row],[Comisión 10%]]</f>
        <v>11.49</v>
      </c>
      <c r="U1524" s="53">
        <f>STOCK[[#This Row],[Costo total]]*1.5</f>
        <v>17.235</v>
      </c>
      <c r="V1524" s="76">
        <v>18</v>
      </c>
      <c r="W1524" s="76">
        <f>STOCK[[#This Row],[Precio Final]]-STOCK[[#This Row],[Costo total]]</f>
        <v>6.51</v>
      </c>
      <c r="X1524" s="76">
        <f>STOCK[[#This Row],[Ganancia Unitaria]]*STOCK[[#This Row],[Salidas]]</f>
        <v>0</v>
      </c>
      <c r="Y1524" s="76"/>
      <c r="Z1524" s="76"/>
      <c r="AA1524" s="54">
        <f>STOCK[[#This Row],[Costo total]]*STOCK[[#This Row],[Entradas]]</f>
        <v>22.98</v>
      </c>
      <c r="AB1524" s="54">
        <f>STOCK[[#This Row],[Stock Actual]]*STOCK[[#This Row],[Costo total]]</f>
        <v>22.98</v>
      </c>
      <c r="AC1524" s="76"/>
    </row>
    <row r="1525" s="53" customFormat="1" ht="50" customHeight="1" spans="1:29">
      <c r="A1525" s="53" t="s">
        <v>3035</v>
      </c>
      <c r="B1525" s="77"/>
      <c r="C1525" s="76" t="s">
        <v>32</v>
      </c>
      <c r="D1525" s="76" t="s">
        <v>1190</v>
      </c>
      <c r="E1525" s="76" t="s">
        <v>3033</v>
      </c>
      <c r="F1525" s="76" t="s">
        <v>46</v>
      </c>
      <c r="G1525" s="76"/>
      <c r="H1525" s="76">
        <f>STOCK[[#This Row],[Precio Final]]</f>
        <v>18</v>
      </c>
      <c r="I1525" s="80">
        <f>STOCK[[#This Row],[Precio Venta Ideal (x1.5)]]</f>
        <v>17.235</v>
      </c>
      <c r="J1525" s="78">
        <v>2</v>
      </c>
      <c r="K1525" s="78">
        <f>SUMIFS(VENTAS[Cantidad],VENTAS[Código del producto Vendido],STOCK[[#This Row],[Code]])</f>
        <v>0</v>
      </c>
      <c r="L1525" s="78">
        <f>STOCK[[#This Row],[Entradas]]-STOCK[[#This Row],[Salidas]]</f>
        <v>2</v>
      </c>
      <c r="M1525" s="76">
        <f>STOCK[[#This Row],[Precio Final]]*10%</f>
        <v>1.8</v>
      </c>
      <c r="N1525" s="76">
        <v>0</v>
      </c>
      <c r="O1525" s="76">
        <v>0</v>
      </c>
      <c r="P1525" s="76">
        <v>8.09</v>
      </c>
      <c r="Q1525" s="78">
        <v>0</v>
      </c>
      <c r="R1525" s="76">
        <v>0</v>
      </c>
      <c r="S1525" s="76">
        <v>1.6</v>
      </c>
      <c r="T1525" s="76">
        <f>STOCK[[#This Row],[Costo Unitario (USD)]]+STOCK[[#This Row],[Costo Envío (USD)]]+STOCK[[#This Row],[Comisión 10%]]</f>
        <v>11.49</v>
      </c>
      <c r="U1525" s="53">
        <f>STOCK[[#This Row],[Costo total]]*1.5</f>
        <v>17.235</v>
      </c>
      <c r="V1525" s="76">
        <v>18</v>
      </c>
      <c r="W1525" s="76">
        <f>STOCK[[#This Row],[Precio Final]]-STOCK[[#This Row],[Costo total]]</f>
        <v>6.51</v>
      </c>
      <c r="X1525" s="76">
        <f>STOCK[[#This Row],[Ganancia Unitaria]]*STOCK[[#This Row],[Salidas]]</f>
        <v>0</v>
      </c>
      <c r="Y1525" s="76"/>
      <c r="Z1525" s="76"/>
      <c r="AA1525" s="54">
        <f>STOCK[[#This Row],[Costo total]]*STOCK[[#This Row],[Entradas]]</f>
        <v>22.98</v>
      </c>
      <c r="AB1525" s="54">
        <f>STOCK[[#This Row],[Stock Actual]]*STOCK[[#This Row],[Costo total]]</f>
        <v>22.98</v>
      </c>
      <c r="AC1525" s="76"/>
    </row>
    <row r="1526" s="53" customFormat="1" ht="50" customHeight="1" spans="1:29">
      <c r="A1526" s="53" t="s">
        <v>3036</v>
      </c>
      <c r="B1526" s="77"/>
      <c r="C1526" s="76" t="s">
        <v>32</v>
      </c>
      <c r="D1526" s="76" t="s">
        <v>1190</v>
      </c>
      <c r="E1526" s="76" t="s">
        <v>3037</v>
      </c>
      <c r="F1526" s="76" t="s">
        <v>62</v>
      </c>
      <c r="G1526" s="76"/>
      <c r="H1526" s="76">
        <f>STOCK[[#This Row],[Precio Final]]</f>
        <v>18</v>
      </c>
      <c r="I1526" s="80">
        <f>STOCK[[#This Row],[Precio Venta Ideal (x1.5)]]</f>
        <v>17.22</v>
      </c>
      <c r="J1526" s="78">
        <v>2</v>
      </c>
      <c r="K1526" s="78">
        <f>SUMIFS(VENTAS[Cantidad],VENTAS[Código del producto Vendido],STOCK[[#This Row],[Code]])</f>
        <v>0</v>
      </c>
      <c r="L1526" s="78">
        <f>STOCK[[#This Row],[Entradas]]-STOCK[[#This Row],[Salidas]]</f>
        <v>2</v>
      </c>
      <c r="M1526" s="76">
        <f>STOCK[[#This Row],[Precio Final]]*10%</f>
        <v>1.8</v>
      </c>
      <c r="N1526" s="76">
        <v>0</v>
      </c>
      <c r="O1526" s="76">
        <v>0</v>
      </c>
      <c r="P1526" s="76">
        <v>8.08</v>
      </c>
      <c r="Q1526" s="78">
        <v>0</v>
      </c>
      <c r="R1526" s="76">
        <v>0</v>
      </c>
      <c r="S1526" s="76">
        <v>1.6</v>
      </c>
      <c r="T1526" s="76">
        <f>STOCK[[#This Row],[Costo Unitario (USD)]]+STOCK[[#This Row],[Costo Envío (USD)]]+STOCK[[#This Row],[Comisión 10%]]</f>
        <v>11.48</v>
      </c>
      <c r="U1526" s="53">
        <f>STOCK[[#This Row],[Costo total]]*1.5</f>
        <v>17.22</v>
      </c>
      <c r="V1526" s="76">
        <v>18</v>
      </c>
      <c r="W1526" s="76">
        <f>STOCK[[#This Row],[Precio Final]]-STOCK[[#This Row],[Costo total]]</f>
        <v>6.52</v>
      </c>
      <c r="X1526" s="76">
        <f>STOCK[[#This Row],[Ganancia Unitaria]]*STOCK[[#This Row],[Salidas]]</f>
        <v>0</v>
      </c>
      <c r="Y1526" s="76"/>
      <c r="Z1526" s="76"/>
      <c r="AA1526" s="54">
        <f>STOCK[[#This Row],[Costo total]]*STOCK[[#This Row],[Entradas]]</f>
        <v>22.96</v>
      </c>
      <c r="AB1526" s="54">
        <f>STOCK[[#This Row],[Stock Actual]]*STOCK[[#This Row],[Costo total]]</f>
        <v>22.96</v>
      </c>
      <c r="AC1526" s="76"/>
    </row>
    <row r="1527" s="53" customFormat="1" ht="50" customHeight="1" spans="1:29">
      <c r="A1527" s="53" t="s">
        <v>3038</v>
      </c>
      <c r="B1527" s="77"/>
      <c r="C1527" s="76" t="s">
        <v>32</v>
      </c>
      <c r="D1527" s="76" t="s">
        <v>1190</v>
      </c>
      <c r="E1527" s="76" t="s">
        <v>3037</v>
      </c>
      <c r="F1527" s="76" t="s">
        <v>49</v>
      </c>
      <c r="G1527" s="76"/>
      <c r="H1527" s="76">
        <f>STOCK[[#This Row],[Precio Final]]</f>
        <v>18</v>
      </c>
      <c r="I1527" s="80">
        <f>STOCK[[#This Row],[Precio Venta Ideal (x1.5)]]</f>
        <v>17.22</v>
      </c>
      <c r="J1527" s="78">
        <v>2</v>
      </c>
      <c r="K1527" s="78">
        <f>SUMIFS(VENTAS[Cantidad],VENTAS[Código del producto Vendido],STOCK[[#This Row],[Code]])</f>
        <v>0</v>
      </c>
      <c r="L1527" s="78">
        <f>STOCK[[#This Row],[Entradas]]-STOCK[[#This Row],[Salidas]]</f>
        <v>2</v>
      </c>
      <c r="M1527" s="76">
        <f>STOCK[[#This Row],[Precio Final]]*10%</f>
        <v>1.8</v>
      </c>
      <c r="N1527" s="76">
        <v>0</v>
      </c>
      <c r="O1527" s="76">
        <v>0</v>
      </c>
      <c r="P1527" s="76">
        <v>8.08</v>
      </c>
      <c r="Q1527" s="78">
        <v>0</v>
      </c>
      <c r="R1527" s="76">
        <v>0</v>
      </c>
      <c r="S1527" s="76">
        <v>1.6</v>
      </c>
      <c r="T1527" s="76">
        <f>STOCK[[#This Row],[Costo Unitario (USD)]]+STOCK[[#This Row],[Costo Envío (USD)]]+STOCK[[#This Row],[Comisión 10%]]</f>
        <v>11.48</v>
      </c>
      <c r="U1527" s="53">
        <f>STOCK[[#This Row],[Costo total]]*1.5</f>
        <v>17.22</v>
      </c>
      <c r="V1527" s="76">
        <v>18</v>
      </c>
      <c r="W1527" s="76">
        <f>STOCK[[#This Row],[Precio Final]]-STOCK[[#This Row],[Costo total]]</f>
        <v>6.52</v>
      </c>
      <c r="X1527" s="76">
        <f>STOCK[[#This Row],[Ganancia Unitaria]]*STOCK[[#This Row],[Salidas]]</f>
        <v>0</v>
      </c>
      <c r="Y1527" s="76"/>
      <c r="Z1527" s="76"/>
      <c r="AA1527" s="54">
        <f>STOCK[[#This Row],[Costo total]]*STOCK[[#This Row],[Entradas]]</f>
        <v>22.96</v>
      </c>
      <c r="AB1527" s="54">
        <f>STOCK[[#This Row],[Stock Actual]]*STOCK[[#This Row],[Costo total]]</f>
        <v>22.96</v>
      </c>
      <c r="AC1527" s="76"/>
    </row>
    <row r="1528" s="53" customFormat="1" ht="50" customHeight="1" spans="1:29">
      <c r="A1528" s="53" t="s">
        <v>3039</v>
      </c>
      <c r="B1528" s="77"/>
      <c r="C1528" s="76" t="s">
        <v>32</v>
      </c>
      <c r="D1528" s="76" t="s">
        <v>1190</v>
      </c>
      <c r="E1528" s="76" t="s">
        <v>3037</v>
      </c>
      <c r="F1528" s="76" t="s">
        <v>46</v>
      </c>
      <c r="G1528" s="76"/>
      <c r="H1528" s="76">
        <f>STOCK[[#This Row],[Precio Final]]</f>
        <v>18</v>
      </c>
      <c r="I1528" s="80">
        <f>STOCK[[#This Row],[Precio Venta Ideal (x1.5)]]</f>
        <v>17.22</v>
      </c>
      <c r="J1528" s="78">
        <v>2</v>
      </c>
      <c r="K1528" s="78">
        <f>SUMIFS(VENTAS[Cantidad],VENTAS[Código del producto Vendido],STOCK[[#This Row],[Code]])</f>
        <v>1</v>
      </c>
      <c r="L1528" s="78">
        <f>STOCK[[#This Row],[Entradas]]-STOCK[[#This Row],[Salidas]]</f>
        <v>1</v>
      </c>
      <c r="M1528" s="76">
        <f>STOCK[[#This Row],[Precio Final]]*10%</f>
        <v>1.8</v>
      </c>
      <c r="N1528" s="76">
        <v>0</v>
      </c>
      <c r="O1528" s="76">
        <v>0</v>
      </c>
      <c r="P1528" s="76">
        <v>8.08</v>
      </c>
      <c r="Q1528" s="78">
        <v>0</v>
      </c>
      <c r="R1528" s="76">
        <v>0</v>
      </c>
      <c r="S1528" s="76">
        <v>1.6</v>
      </c>
      <c r="T1528" s="76">
        <f>STOCK[[#This Row],[Costo Unitario (USD)]]+STOCK[[#This Row],[Costo Envío (USD)]]+STOCK[[#This Row],[Comisión 10%]]</f>
        <v>11.48</v>
      </c>
      <c r="U1528" s="53">
        <f>STOCK[[#This Row],[Costo total]]*1.5</f>
        <v>17.22</v>
      </c>
      <c r="V1528" s="76">
        <v>18</v>
      </c>
      <c r="W1528" s="76">
        <f>STOCK[[#This Row],[Precio Final]]-STOCK[[#This Row],[Costo total]]</f>
        <v>6.52</v>
      </c>
      <c r="X1528" s="76">
        <f>STOCK[[#This Row],[Ganancia Unitaria]]*STOCK[[#This Row],[Salidas]]</f>
        <v>6.52</v>
      </c>
      <c r="Y1528" s="76"/>
      <c r="Z1528" s="76"/>
      <c r="AA1528" s="54">
        <f>STOCK[[#This Row],[Costo total]]*STOCK[[#This Row],[Entradas]]</f>
        <v>22.96</v>
      </c>
      <c r="AB1528" s="54">
        <f>STOCK[[#This Row],[Stock Actual]]*STOCK[[#This Row],[Costo total]]</f>
        <v>11.48</v>
      </c>
      <c r="AC1528" s="76"/>
    </row>
    <row r="1529" s="53" customFormat="1" ht="50" customHeight="1" spans="1:29">
      <c r="A1529" s="53" t="s">
        <v>3040</v>
      </c>
      <c r="B1529" s="77"/>
      <c r="C1529" s="76" t="s">
        <v>32</v>
      </c>
      <c r="D1529" s="76" t="s">
        <v>2133</v>
      </c>
      <c r="E1529" s="76" t="s">
        <v>3041</v>
      </c>
      <c r="F1529" s="76" t="s">
        <v>62</v>
      </c>
      <c r="G1529" s="76"/>
      <c r="H1529" s="76">
        <f>STOCK[[#This Row],[Precio Final]]</f>
        <v>30</v>
      </c>
      <c r="I1529" s="80">
        <f>STOCK[[#This Row],[Precio Venta Ideal (x1.5)]]</f>
        <v>21.165</v>
      </c>
      <c r="J1529" s="78">
        <v>1</v>
      </c>
      <c r="K1529" s="78">
        <f>SUMIFS(VENTAS[Cantidad],VENTAS[Código del producto Vendido],STOCK[[#This Row],[Code]])</f>
        <v>0</v>
      </c>
      <c r="L1529" s="78">
        <f>STOCK[[#This Row],[Entradas]]-STOCK[[#This Row],[Salidas]]</f>
        <v>1</v>
      </c>
      <c r="M1529" s="76">
        <f>STOCK[[#This Row],[Precio Final]]*10%</f>
        <v>3</v>
      </c>
      <c r="N1529" s="76">
        <v>0</v>
      </c>
      <c r="O1529" s="76">
        <v>0</v>
      </c>
      <c r="P1529" s="76">
        <v>9.51</v>
      </c>
      <c r="Q1529" s="78">
        <v>0</v>
      </c>
      <c r="R1529" s="76">
        <v>0</v>
      </c>
      <c r="S1529" s="76">
        <v>1.6</v>
      </c>
      <c r="T1529" s="76">
        <f>STOCK[[#This Row],[Costo Unitario (USD)]]+STOCK[[#This Row],[Costo Envío (USD)]]+STOCK[[#This Row],[Comisión 10%]]</f>
        <v>14.11</v>
      </c>
      <c r="U1529" s="53">
        <f>STOCK[[#This Row],[Costo total]]*1.5</f>
        <v>21.165</v>
      </c>
      <c r="V1529" s="76">
        <v>30</v>
      </c>
      <c r="W1529" s="76">
        <f>STOCK[[#This Row],[Precio Final]]-STOCK[[#This Row],[Costo total]]</f>
        <v>15.89</v>
      </c>
      <c r="X1529" s="76">
        <f>STOCK[[#This Row],[Ganancia Unitaria]]*STOCK[[#This Row],[Salidas]]</f>
        <v>0</v>
      </c>
      <c r="Y1529" s="76"/>
      <c r="Z1529" s="76"/>
      <c r="AA1529" s="54">
        <f>STOCK[[#This Row],[Costo total]]*STOCK[[#This Row],[Entradas]]</f>
        <v>14.11</v>
      </c>
      <c r="AB1529" s="54">
        <f>STOCK[[#This Row],[Stock Actual]]*STOCK[[#This Row],[Costo total]]</f>
        <v>14.11</v>
      </c>
      <c r="AC1529" s="76"/>
    </row>
    <row r="1530" s="53" customFormat="1" ht="50" customHeight="1" spans="1:30">
      <c r="A1530" s="53" t="s">
        <v>3042</v>
      </c>
      <c r="B1530" s="70" t="str">
        <f>_xlfn.DISPIMG("ID_D1E073E4129E4171A9BB6D3B66D1B537",1)</f>
        <v>=DISPIMG("ID_D1E073E4129E4171A9BB6D3B66D1B537",1)</v>
      </c>
      <c r="C1530" s="53" t="s">
        <v>32</v>
      </c>
      <c r="D1530" s="53" t="s">
        <v>749</v>
      </c>
      <c r="E1530" s="53" t="s">
        <v>3043</v>
      </c>
      <c r="F1530" s="53" t="s">
        <v>1534</v>
      </c>
      <c r="H1530" s="76">
        <f>STOCK[[#This Row],[Precio Final]]</f>
        <v>28</v>
      </c>
      <c r="I1530" s="80">
        <f>STOCK[[#This Row],[Precio Venta Ideal (x1.5)]]</f>
        <v>19.2</v>
      </c>
      <c r="J1530" s="70">
        <v>2</v>
      </c>
      <c r="K1530" s="78">
        <f>SUMIFS(VENTAS[Cantidad],VENTAS[Código del producto Vendido],STOCK[[#This Row],[Code]])</f>
        <v>1</v>
      </c>
      <c r="L1530" s="78">
        <f>STOCK[[#This Row],[Entradas]]-STOCK[[#This Row],[Salidas]]</f>
        <v>1</v>
      </c>
      <c r="M1530" s="76">
        <f>STOCK[[#This Row],[Precio Final]]*10%</f>
        <v>2.8</v>
      </c>
      <c r="N1530" s="53">
        <v>0</v>
      </c>
      <c r="O1530" s="76">
        <v>0</v>
      </c>
      <c r="P1530" s="53">
        <v>10</v>
      </c>
      <c r="Q1530" s="71">
        <v>0</v>
      </c>
      <c r="R1530" s="53">
        <v>0</v>
      </c>
      <c r="S1530" s="54">
        <v>0</v>
      </c>
      <c r="T1530" s="76">
        <f>STOCK[[#This Row],[Costo Unitario (USD)]]+STOCK[[#This Row],[Costo Envío (USD)]]+STOCK[[#This Row],[Comisión 10%]]</f>
        <v>12.8</v>
      </c>
      <c r="U1530" s="53">
        <f>STOCK[[#This Row],[Costo total]]*1.5</f>
        <v>19.2</v>
      </c>
      <c r="V1530" s="53">
        <v>28</v>
      </c>
      <c r="W1530" s="76">
        <f>STOCK[[#This Row],[Precio Final]]-STOCK[[#This Row],[Costo total]]</f>
        <v>15.2</v>
      </c>
      <c r="X1530" s="76">
        <f>STOCK[[#This Row],[Ganancia Unitaria]]*STOCK[[#This Row],[Salidas]]</f>
        <v>15.2</v>
      </c>
      <c r="Y1530" s="76"/>
      <c r="Z1530" s="76"/>
      <c r="AA1530" s="54">
        <f>STOCK[[#This Row],[Costo total]]*STOCK[[#This Row],[Entradas]]</f>
        <v>25.6</v>
      </c>
      <c r="AB1530" s="54">
        <f>STOCK[[#This Row],[Stock Actual]]*STOCK[[#This Row],[Costo total]]</f>
        <v>12.8</v>
      </c>
      <c r="AC1530" s="76"/>
      <c r="AD1530" s="82"/>
    </row>
    <row r="1531" s="53" customFormat="1" ht="50" customHeight="1" spans="1:30">
      <c r="A1531" s="53" t="s">
        <v>3044</v>
      </c>
      <c r="B1531" s="70" t="str">
        <f>_xlfn.DISPIMG("ID_AC221203CCA54983BF820E257DAA06D8",1)</f>
        <v>=DISPIMG("ID_AC221203CCA54983BF820E257DAA06D8",1)</v>
      </c>
      <c r="C1531" s="53" t="s">
        <v>32</v>
      </c>
      <c r="D1531" s="53" t="s">
        <v>749</v>
      </c>
      <c r="E1531" s="53" t="s">
        <v>3045</v>
      </c>
      <c r="F1531" s="53" t="s">
        <v>1534</v>
      </c>
      <c r="H1531" s="76">
        <f>STOCK[[#This Row],[Precio Final]]</f>
        <v>22</v>
      </c>
      <c r="I1531" s="80">
        <f>STOCK[[#This Row],[Precio Venta Ideal (x1.5)]]</f>
        <v>18.3</v>
      </c>
      <c r="J1531" s="70">
        <v>1</v>
      </c>
      <c r="K1531" s="78">
        <f>SUMIFS(VENTAS[Cantidad],VENTAS[Código del producto Vendido],STOCK[[#This Row],[Code]])</f>
        <v>0</v>
      </c>
      <c r="L1531" s="78">
        <f>STOCK[[#This Row],[Entradas]]-STOCK[[#This Row],[Salidas]]</f>
        <v>1</v>
      </c>
      <c r="M1531" s="76">
        <f>STOCK[[#This Row],[Precio Final]]*10%</f>
        <v>2.2</v>
      </c>
      <c r="N1531" s="54">
        <v>0</v>
      </c>
      <c r="O1531" s="76">
        <v>0</v>
      </c>
      <c r="P1531" s="53">
        <v>10</v>
      </c>
      <c r="Q1531" s="70">
        <v>0</v>
      </c>
      <c r="R1531" s="54">
        <v>0</v>
      </c>
      <c r="S1531" s="53">
        <v>0</v>
      </c>
      <c r="T1531" s="76">
        <f>STOCK[[#This Row],[Costo Unitario (USD)]]+STOCK[[#This Row],[Costo Envío (USD)]]+STOCK[[#This Row],[Comisión 10%]]</f>
        <v>12.2</v>
      </c>
      <c r="U1531" s="53">
        <f>STOCK[[#This Row],[Costo total]]*1.5</f>
        <v>18.3</v>
      </c>
      <c r="V1531" s="53">
        <v>22</v>
      </c>
      <c r="W1531" s="76">
        <f>STOCK[[#This Row],[Precio Final]]-STOCK[[#This Row],[Costo total]]</f>
        <v>9.8</v>
      </c>
      <c r="X1531" s="76">
        <f>STOCK[[#This Row],[Ganancia Unitaria]]*STOCK[[#This Row],[Salidas]]</f>
        <v>0</v>
      </c>
      <c r="Y1531" s="76"/>
      <c r="Z1531" s="76"/>
      <c r="AA1531" s="54">
        <f>STOCK[[#This Row],[Costo total]]*STOCK[[#This Row],[Entradas]]</f>
        <v>12.2</v>
      </c>
      <c r="AB1531" s="54">
        <f>STOCK[[#This Row],[Stock Actual]]*STOCK[[#This Row],[Costo total]]</f>
        <v>12.2</v>
      </c>
      <c r="AC1531" s="76"/>
      <c r="AD1531" s="82"/>
    </row>
    <row r="1532" s="53" customFormat="1" ht="50" customHeight="1" spans="1:30">
      <c r="A1532" s="53" t="s">
        <v>3046</v>
      </c>
      <c r="B1532" s="70" t="str">
        <f>_xlfn.DISPIMG("ID_993DE42165354B1EA401FCCCF2F045B5",1)</f>
        <v>=DISPIMG("ID_993DE42165354B1EA401FCCCF2F045B5",1)</v>
      </c>
      <c r="C1532" s="53" t="s">
        <v>32</v>
      </c>
      <c r="D1532" s="53" t="s">
        <v>749</v>
      </c>
      <c r="E1532" s="53" t="s">
        <v>3047</v>
      </c>
      <c r="F1532" s="53" t="s">
        <v>1534</v>
      </c>
      <c r="H1532" s="76">
        <f>STOCK[[#This Row],[Precio Final]]</f>
        <v>22</v>
      </c>
      <c r="I1532" s="80">
        <f>STOCK[[#This Row],[Precio Venta Ideal (x1.5)]]</f>
        <v>18.3</v>
      </c>
      <c r="J1532" s="70">
        <v>1</v>
      </c>
      <c r="K1532" s="78">
        <f>SUMIFS(VENTAS[Cantidad],VENTAS[Código del producto Vendido],STOCK[[#This Row],[Code]])</f>
        <v>0</v>
      </c>
      <c r="L1532" s="78">
        <f>STOCK[[#This Row],[Entradas]]-STOCK[[#This Row],[Salidas]]</f>
        <v>1</v>
      </c>
      <c r="M1532" s="76">
        <f>STOCK[[#This Row],[Precio Final]]*10%</f>
        <v>2.2</v>
      </c>
      <c r="N1532" s="54">
        <v>0</v>
      </c>
      <c r="O1532" s="76">
        <v>0</v>
      </c>
      <c r="P1532" s="53">
        <v>10</v>
      </c>
      <c r="Q1532" s="70">
        <v>0</v>
      </c>
      <c r="R1532" s="53">
        <v>0</v>
      </c>
      <c r="S1532" s="54">
        <v>0</v>
      </c>
      <c r="T1532" s="76">
        <f>STOCK[[#This Row],[Costo Unitario (USD)]]+STOCK[[#This Row],[Costo Envío (USD)]]+STOCK[[#This Row],[Comisión 10%]]</f>
        <v>12.2</v>
      </c>
      <c r="U1532" s="53">
        <f>STOCK[[#This Row],[Costo total]]*1.5</f>
        <v>18.3</v>
      </c>
      <c r="V1532" s="53">
        <v>22</v>
      </c>
      <c r="W1532" s="76">
        <f>STOCK[[#This Row],[Precio Final]]-STOCK[[#This Row],[Costo total]]</f>
        <v>9.8</v>
      </c>
      <c r="X1532" s="76">
        <f>STOCK[[#This Row],[Ganancia Unitaria]]*STOCK[[#This Row],[Salidas]]</f>
        <v>0</v>
      </c>
      <c r="Y1532" s="76"/>
      <c r="Z1532" s="76"/>
      <c r="AA1532" s="54">
        <f>STOCK[[#This Row],[Costo total]]*STOCK[[#This Row],[Entradas]]</f>
        <v>12.2</v>
      </c>
      <c r="AB1532" s="54">
        <f>STOCK[[#This Row],[Stock Actual]]*STOCK[[#This Row],[Costo total]]</f>
        <v>12.2</v>
      </c>
      <c r="AC1532" s="76"/>
      <c r="AD1532" s="82"/>
    </row>
    <row r="1533" s="53" customFormat="1" ht="50" customHeight="1" spans="1:30">
      <c r="A1533" s="53" t="s">
        <v>3048</v>
      </c>
      <c r="B1533" s="70" t="str">
        <f>_xlfn.DISPIMG("ID_0FF41747A0794EE98C5DCDF1FA378C04",1)</f>
        <v>=DISPIMG("ID_0FF41747A0794EE98C5DCDF1FA378C04",1)</v>
      </c>
      <c r="C1533" s="53" t="s">
        <v>32</v>
      </c>
      <c r="D1533" s="53" t="s">
        <v>749</v>
      </c>
      <c r="E1533" s="53" t="s">
        <v>3049</v>
      </c>
      <c r="F1533" s="53" t="s">
        <v>49</v>
      </c>
      <c r="H1533" s="76">
        <f>STOCK[[#This Row],[Precio Final]]</f>
        <v>28</v>
      </c>
      <c r="I1533" s="80">
        <f>STOCK[[#This Row],[Precio Venta Ideal (x1.5)]]</f>
        <v>19.2</v>
      </c>
      <c r="J1533" s="70">
        <v>1</v>
      </c>
      <c r="K1533" s="78">
        <f>SUMIFS(VENTAS[Cantidad],VENTAS[Código del producto Vendido],STOCK[[#This Row],[Code]])</f>
        <v>1</v>
      </c>
      <c r="L1533" s="78">
        <f>STOCK[[#This Row],[Entradas]]-STOCK[[#This Row],[Salidas]]</f>
        <v>0</v>
      </c>
      <c r="M1533" s="76">
        <f>STOCK[[#This Row],[Precio Final]]*10%</f>
        <v>2.8</v>
      </c>
      <c r="N1533" s="53">
        <v>0</v>
      </c>
      <c r="O1533" s="76">
        <v>0</v>
      </c>
      <c r="P1533" s="53">
        <v>10</v>
      </c>
      <c r="Q1533" s="71">
        <v>0</v>
      </c>
      <c r="R1533" s="54">
        <v>0</v>
      </c>
      <c r="S1533" s="54">
        <v>0</v>
      </c>
      <c r="T1533" s="76">
        <f>STOCK[[#This Row],[Costo Unitario (USD)]]+STOCK[[#This Row],[Costo Envío (USD)]]+STOCK[[#This Row],[Comisión 10%]]</f>
        <v>12.8</v>
      </c>
      <c r="U1533" s="53">
        <f>STOCK[[#This Row],[Costo total]]*1.5</f>
        <v>19.2</v>
      </c>
      <c r="V1533" s="53">
        <v>28</v>
      </c>
      <c r="W1533" s="76">
        <f>STOCK[[#This Row],[Precio Final]]-STOCK[[#This Row],[Costo total]]</f>
        <v>15.2</v>
      </c>
      <c r="X1533" s="76">
        <f>STOCK[[#This Row],[Ganancia Unitaria]]*STOCK[[#This Row],[Salidas]]</f>
        <v>15.2</v>
      </c>
      <c r="Y1533" s="76"/>
      <c r="Z1533" s="76"/>
      <c r="AA1533" s="54">
        <f>STOCK[[#This Row],[Costo total]]*STOCK[[#This Row],[Entradas]]</f>
        <v>12.8</v>
      </c>
      <c r="AB1533" s="54">
        <f>STOCK[[#This Row],[Stock Actual]]*STOCK[[#This Row],[Costo total]]</f>
        <v>0</v>
      </c>
      <c r="AC1533" s="76"/>
      <c r="AD1533" s="82"/>
    </row>
    <row r="1534" s="53" customFormat="1" ht="50" customHeight="1" spans="1:30">
      <c r="A1534" s="53" t="s">
        <v>3050</v>
      </c>
      <c r="B1534" s="70" t="str">
        <f>_xlfn.DISPIMG("ID_211C81173A9244828AAC5353B2385B31",1)</f>
        <v>=DISPIMG("ID_211C81173A9244828AAC5353B2385B31",1)</v>
      </c>
      <c r="C1534" s="53" t="s">
        <v>32</v>
      </c>
      <c r="D1534" s="53" t="s">
        <v>749</v>
      </c>
      <c r="E1534" s="53" t="s">
        <v>3049</v>
      </c>
      <c r="F1534" s="53" t="s">
        <v>62</v>
      </c>
      <c r="H1534" s="76">
        <f>STOCK[[#This Row],[Precio Final]]</f>
        <v>28</v>
      </c>
      <c r="I1534" s="80">
        <f>STOCK[[#This Row],[Precio Venta Ideal (x1.5)]]</f>
        <v>19.2</v>
      </c>
      <c r="J1534" s="70">
        <v>1</v>
      </c>
      <c r="K1534" s="78">
        <f>SUMIFS(VENTAS[Cantidad],VENTAS[Código del producto Vendido],STOCK[[#This Row],[Code]])</f>
        <v>1</v>
      </c>
      <c r="L1534" s="78">
        <f>STOCK[[#This Row],[Entradas]]-STOCK[[#This Row],[Salidas]]</f>
        <v>0</v>
      </c>
      <c r="M1534" s="76">
        <f>STOCK[[#This Row],[Precio Final]]*10%</f>
        <v>2.8</v>
      </c>
      <c r="N1534" s="54">
        <v>0</v>
      </c>
      <c r="O1534" s="76">
        <v>0</v>
      </c>
      <c r="P1534" s="53">
        <v>10</v>
      </c>
      <c r="Q1534" s="70">
        <v>0</v>
      </c>
      <c r="R1534" s="53">
        <v>0</v>
      </c>
      <c r="S1534" s="53">
        <v>0</v>
      </c>
      <c r="T1534" s="76">
        <f>STOCK[[#This Row],[Costo Unitario (USD)]]+STOCK[[#This Row],[Costo Envío (USD)]]+STOCK[[#This Row],[Comisión 10%]]</f>
        <v>12.8</v>
      </c>
      <c r="U1534" s="53">
        <f>STOCK[[#This Row],[Costo total]]*1.5</f>
        <v>19.2</v>
      </c>
      <c r="V1534" s="53">
        <v>28</v>
      </c>
      <c r="W1534" s="76">
        <f>STOCK[[#This Row],[Precio Final]]-STOCK[[#This Row],[Costo total]]</f>
        <v>15.2</v>
      </c>
      <c r="X1534" s="76">
        <f>STOCK[[#This Row],[Ganancia Unitaria]]*STOCK[[#This Row],[Salidas]]</f>
        <v>15.2</v>
      </c>
      <c r="Y1534" s="76"/>
      <c r="Z1534" s="76"/>
      <c r="AA1534" s="54">
        <f>STOCK[[#This Row],[Costo total]]*STOCK[[#This Row],[Entradas]]</f>
        <v>12.8</v>
      </c>
      <c r="AB1534" s="54">
        <f>STOCK[[#This Row],[Stock Actual]]*STOCK[[#This Row],[Costo total]]</f>
        <v>0</v>
      </c>
      <c r="AC1534" s="76"/>
      <c r="AD1534" s="82"/>
    </row>
    <row r="1535" s="53" customFormat="1" ht="50" customHeight="1" spans="1:30">
      <c r="A1535" s="53" t="s">
        <v>3051</v>
      </c>
      <c r="B1535" s="70" t="str">
        <f>_xlfn.DISPIMG("ID_CEC879C0EFD145C5A9BB614C361D7625",1)</f>
        <v>=DISPIMG("ID_CEC879C0EFD145C5A9BB614C361D7625",1)</v>
      </c>
      <c r="C1535" s="53" t="s">
        <v>32</v>
      </c>
      <c r="D1535" s="53" t="s">
        <v>749</v>
      </c>
      <c r="E1535" s="53" t="s">
        <v>3052</v>
      </c>
      <c r="F1535" s="53" t="s">
        <v>1534</v>
      </c>
      <c r="H1535" s="76">
        <f>STOCK[[#This Row],[Precio Final]]</f>
        <v>25</v>
      </c>
      <c r="I1535" s="80">
        <f>STOCK[[#This Row],[Precio Venta Ideal (x1.5)]]</f>
        <v>18.75</v>
      </c>
      <c r="J1535" s="70">
        <v>1</v>
      </c>
      <c r="K1535" s="78">
        <f>SUMIFS(VENTAS[Cantidad],VENTAS[Código del producto Vendido],STOCK[[#This Row],[Code]])</f>
        <v>0</v>
      </c>
      <c r="L1535" s="78">
        <f>STOCK[[#This Row],[Entradas]]-STOCK[[#This Row],[Salidas]]</f>
        <v>1</v>
      </c>
      <c r="M1535" s="76">
        <f>STOCK[[#This Row],[Precio Final]]*10%</f>
        <v>2.5</v>
      </c>
      <c r="N1535" s="53">
        <v>0</v>
      </c>
      <c r="O1535" s="76">
        <v>0</v>
      </c>
      <c r="P1535" s="53">
        <v>10</v>
      </c>
      <c r="Q1535" s="70">
        <v>0</v>
      </c>
      <c r="R1535" s="54">
        <v>0</v>
      </c>
      <c r="S1535" s="54">
        <v>0</v>
      </c>
      <c r="T1535" s="76">
        <f>STOCK[[#This Row],[Costo Unitario (USD)]]+STOCK[[#This Row],[Costo Envío (USD)]]+STOCK[[#This Row],[Comisión 10%]]</f>
        <v>12.5</v>
      </c>
      <c r="U1535" s="53">
        <f>STOCK[[#This Row],[Costo total]]*1.5</f>
        <v>18.75</v>
      </c>
      <c r="V1535" s="53">
        <v>25</v>
      </c>
      <c r="W1535" s="76">
        <f>STOCK[[#This Row],[Precio Final]]-STOCK[[#This Row],[Costo total]]</f>
        <v>12.5</v>
      </c>
      <c r="X1535" s="76">
        <f>STOCK[[#This Row],[Ganancia Unitaria]]*STOCK[[#This Row],[Salidas]]</f>
        <v>0</v>
      </c>
      <c r="Y1535" s="76"/>
      <c r="Z1535" s="76"/>
      <c r="AA1535" s="54">
        <f>STOCK[[#This Row],[Costo total]]*STOCK[[#This Row],[Entradas]]</f>
        <v>12.5</v>
      </c>
      <c r="AB1535" s="54">
        <f>STOCK[[#This Row],[Stock Actual]]*STOCK[[#This Row],[Costo total]]</f>
        <v>12.5</v>
      </c>
      <c r="AC1535" s="76"/>
      <c r="AD1535" s="82"/>
    </row>
    <row r="1536" s="53" customFormat="1" ht="50" customHeight="1" spans="1:30">
      <c r="A1536" s="53" t="s">
        <v>3053</v>
      </c>
      <c r="B1536" s="70" t="str">
        <f>_xlfn.DISPIMG("ID_77562D2FB091404BBDC136380EDDC670",1)</f>
        <v>=DISPIMG("ID_77562D2FB091404BBDC136380EDDC670",1)</v>
      </c>
      <c r="C1536" s="53" t="s">
        <v>32</v>
      </c>
      <c r="D1536" s="53" t="s">
        <v>749</v>
      </c>
      <c r="E1536" s="53" t="s">
        <v>3054</v>
      </c>
      <c r="F1536" s="53" t="s">
        <v>42</v>
      </c>
      <c r="H1536" s="76">
        <f>STOCK[[#This Row],[Precio Final]]</f>
        <v>22</v>
      </c>
      <c r="I1536" s="80">
        <f>STOCK[[#This Row],[Precio Venta Ideal (x1.5)]]</f>
        <v>18.3</v>
      </c>
      <c r="J1536" s="70">
        <v>2</v>
      </c>
      <c r="K1536" s="78">
        <f>SUMIFS(VENTAS[Cantidad],VENTAS[Código del producto Vendido],STOCK[[#This Row],[Code]])</f>
        <v>0</v>
      </c>
      <c r="L1536" s="78">
        <f>STOCK[[#This Row],[Entradas]]-STOCK[[#This Row],[Salidas]]</f>
        <v>2</v>
      </c>
      <c r="M1536" s="76">
        <f>STOCK[[#This Row],[Precio Final]]*10%</f>
        <v>2.2</v>
      </c>
      <c r="N1536" s="54">
        <v>0</v>
      </c>
      <c r="O1536" s="76">
        <v>0</v>
      </c>
      <c r="P1536" s="53">
        <v>10</v>
      </c>
      <c r="Q1536" s="71">
        <v>0</v>
      </c>
      <c r="R1536" s="53">
        <v>0</v>
      </c>
      <c r="S1536" s="54">
        <v>0</v>
      </c>
      <c r="T1536" s="76">
        <f>STOCK[[#This Row],[Costo Unitario (USD)]]+STOCK[[#This Row],[Costo Envío (USD)]]+STOCK[[#This Row],[Comisión 10%]]</f>
        <v>12.2</v>
      </c>
      <c r="U1536" s="53">
        <f>STOCK[[#This Row],[Costo total]]*1.5</f>
        <v>18.3</v>
      </c>
      <c r="V1536" s="53">
        <v>22</v>
      </c>
      <c r="W1536" s="76">
        <f>STOCK[[#This Row],[Precio Final]]-STOCK[[#This Row],[Costo total]]</f>
        <v>9.8</v>
      </c>
      <c r="X1536" s="76">
        <f>STOCK[[#This Row],[Ganancia Unitaria]]*STOCK[[#This Row],[Salidas]]</f>
        <v>0</v>
      </c>
      <c r="Y1536" s="76"/>
      <c r="Z1536" s="76"/>
      <c r="AA1536" s="54">
        <f>STOCK[[#This Row],[Costo total]]*STOCK[[#This Row],[Entradas]]</f>
        <v>24.4</v>
      </c>
      <c r="AB1536" s="54">
        <f>STOCK[[#This Row],[Stock Actual]]*STOCK[[#This Row],[Costo total]]</f>
        <v>24.4</v>
      </c>
      <c r="AC1536" s="76"/>
      <c r="AD1536" s="82"/>
    </row>
    <row r="1537" s="53" customFormat="1" ht="50" customHeight="1" spans="1:30">
      <c r="A1537" s="53" t="s">
        <v>3055</v>
      </c>
      <c r="B1537" s="70" t="str">
        <f>_xlfn.DISPIMG("ID_95BDB41B40814921ADDFD45140CB4D91",1)</f>
        <v>=DISPIMG("ID_95BDB41B40814921ADDFD45140CB4D91",1)</v>
      </c>
      <c r="C1537" s="53" t="s">
        <v>32</v>
      </c>
      <c r="D1537" s="53" t="s">
        <v>749</v>
      </c>
      <c r="E1537" s="53" t="s">
        <v>3054</v>
      </c>
      <c r="F1537" s="53" t="s">
        <v>46</v>
      </c>
      <c r="H1537" s="76">
        <f>STOCK[[#This Row],[Precio Final]]</f>
        <v>22</v>
      </c>
      <c r="I1537" s="80">
        <f>STOCK[[#This Row],[Precio Venta Ideal (x1.5)]]</f>
        <v>18.3</v>
      </c>
      <c r="J1537" s="70">
        <v>1</v>
      </c>
      <c r="K1537" s="78">
        <f>SUMIFS(VENTAS[Cantidad],VENTAS[Código del producto Vendido],STOCK[[#This Row],[Code]])</f>
        <v>0</v>
      </c>
      <c r="L1537" s="78">
        <f>STOCK[[#This Row],[Entradas]]-STOCK[[#This Row],[Salidas]]</f>
        <v>1</v>
      </c>
      <c r="M1537" s="76">
        <f>STOCK[[#This Row],[Precio Final]]*10%</f>
        <v>2.2</v>
      </c>
      <c r="N1537" s="54">
        <v>0</v>
      </c>
      <c r="O1537" s="76">
        <v>0</v>
      </c>
      <c r="P1537" s="53">
        <v>10</v>
      </c>
      <c r="Q1537" s="70">
        <v>0</v>
      </c>
      <c r="R1537" s="54">
        <v>0</v>
      </c>
      <c r="S1537" s="53">
        <v>0</v>
      </c>
      <c r="T1537" s="76">
        <f>STOCK[[#This Row],[Costo Unitario (USD)]]+STOCK[[#This Row],[Costo Envío (USD)]]+STOCK[[#This Row],[Comisión 10%]]</f>
        <v>12.2</v>
      </c>
      <c r="U1537" s="53">
        <f>STOCK[[#This Row],[Costo total]]*1.5</f>
        <v>18.3</v>
      </c>
      <c r="V1537" s="53">
        <v>22</v>
      </c>
      <c r="W1537" s="76">
        <f>STOCK[[#This Row],[Precio Final]]-STOCK[[#This Row],[Costo total]]</f>
        <v>9.8</v>
      </c>
      <c r="X1537" s="76">
        <f>STOCK[[#This Row],[Ganancia Unitaria]]*STOCK[[#This Row],[Salidas]]</f>
        <v>0</v>
      </c>
      <c r="Y1537" s="76"/>
      <c r="Z1537" s="76"/>
      <c r="AA1537" s="54">
        <f>STOCK[[#This Row],[Costo total]]*STOCK[[#This Row],[Entradas]]</f>
        <v>12.2</v>
      </c>
      <c r="AB1537" s="54">
        <f>STOCK[[#This Row],[Stock Actual]]*STOCK[[#This Row],[Costo total]]</f>
        <v>12.2</v>
      </c>
      <c r="AC1537" s="76"/>
      <c r="AD1537" s="82"/>
    </row>
    <row r="1538" s="53" customFormat="1" ht="50" customHeight="1" spans="1:30">
      <c r="A1538" s="53" t="s">
        <v>3056</v>
      </c>
      <c r="B1538" s="70" t="str">
        <f>_xlfn.DISPIMG("ID_155C3A022F474F2A990DD77E86CB57AD",1)</f>
        <v>=DISPIMG("ID_155C3A022F474F2A990DD77E86CB57AD",1)</v>
      </c>
      <c r="C1538" s="53" t="s">
        <v>32</v>
      </c>
      <c r="D1538" s="53" t="s">
        <v>749</v>
      </c>
      <c r="E1538" s="53" t="s">
        <v>3052</v>
      </c>
      <c r="F1538" s="53" t="s">
        <v>49</v>
      </c>
      <c r="H1538" s="76">
        <f>STOCK[[#This Row],[Precio Final]]</f>
        <v>25</v>
      </c>
      <c r="I1538" s="80">
        <f>STOCK[[#This Row],[Precio Venta Ideal (x1.5)]]</f>
        <v>18.75</v>
      </c>
      <c r="J1538" s="70">
        <v>1</v>
      </c>
      <c r="K1538" s="78">
        <f>SUMIFS(VENTAS[Cantidad],VENTAS[Código del producto Vendido],STOCK[[#This Row],[Code]])</f>
        <v>0</v>
      </c>
      <c r="L1538" s="78">
        <f>STOCK[[#This Row],[Entradas]]-STOCK[[#This Row],[Salidas]]</f>
        <v>1</v>
      </c>
      <c r="M1538" s="76">
        <f>STOCK[[#This Row],[Precio Final]]*10%</f>
        <v>2.5</v>
      </c>
      <c r="N1538" s="53">
        <v>0</v>
      </c>
      <c r="O1538" s="76">
        <v>0</v>
      </c>
      <c r="P1538" s="53">
        <v>10</v>
      </c>
      <c r="Q1538" s="70">
        <v>0</v>
      </c>
      <c r="R1538" s="53">
        <v>0</v>
      </c>
      <c r="S1538" s="54">
        <v>0</v>
      </c>
      <c r="T1538" s="76">
        <f>STOCK[[#This Row],[Costo Unitario (USD)]]+STOCK[[#This Row],[Costo Envío (USD)]]+STOCK[[#This Row],[Comisión 10%]]</f>
        <v>12.5</v>
      </c>
      <c r="U1538" s="53">
        <f>STOCK[[#This Row],[Costo total]]*1.5</f>
        <v>18.75</v>
      </c>
      <c r="V1538" s="53">
        <v>25</v>
      </c>
      <c r="W1538" s="76">
        <f>STOCK[[#This Row],[Precio Final]]-STOCK[[#This Row],[Costo total]]</f>
        <v>12.5</v>
      </c>
      <c r="X1538" s="76">
        <f>STOCK[[#This Row],[Ganancia Unitaria]]*STOCK[[#This Row],[Salidas]]</f>
        <v>0</v>
      </c>
      <c r="Y1538" s="76"/>
      <c r="Z1538" s="76"/>
      <c r="AA1538" s="54">
        <f>STOCK[[#This Row],[Costo total]]*STOCK[[#This Row],[Entradas]]</f>
        <v>12.5</v>
      </c>
      <c r="AB1538" s="54">
        <f>STOCK[[#This Row],[Stock Actual]]*STOCK[[#This Row],[Costo total]]</f>
        <v>12.5</v>
      </c>
      <c r="AC1538" s="76"/>
      <c r="AD1538" s="82"/>
    </row>
    <row r="1539" s="53" customFormat="1" ht="50" customHeight="1" spans="1:30">
      <c r="A1539" s="53" t="s">
        <v>3057</v>
      </c>
      <c r="B1539" s="70" t="str">
        <f>_xlfn.DISPIMG("ID_7FBA60068A874CDB82993402BC5DEF69",1)</f>
        <v>=DISPIMG("ID_7FBA60068A874CDB82993402BC5DEF69",1)</v>
      </c>
      <c r="C1539" s="53" t="s">
        <v>32</v>
      </c>
      <c r="D1539" s="53" t="s">
        <v>749</v>
      </c>
      <c r="E1539" s="53" t="s">
        <v>3058</v>
      </c>
      <c r="F1539" s="53" t="s">
        <v>49</v>
      </c>
      <c r="H1539" s="76">
        <f>STOCK[[#This Row],[Precio Final]]</f>
        <v>20</v>
      </c>
      <c r="I1539" s="80">
        <f>STOCK[[#This Row],[Precio Venta Ideal (x1.5)]]</f>
        <v>18</v>
      </c>
      <c r="J1539" s="70">
        <v>2</v>
      </c>
      <c r="K1539" s="78">
        <f>SUMIFS(VENTAS[Cantidad],VENTAS[Código del producto Vendido],STOCK[[#This Row],[Code]])</f>
        <v>0</v>
      </c>
      <c r="L1539" s="78">
        <f>STOCK[[#This Row],[Entradas]]-STOCK[[#This Row],[Salidas]]</f>
        <v>2</v>
      </c>
      <c r="M1539" s="76">
        <f>STOCK[[#This Row],[Precio Final]]*10%</f>
        <v>2</v>
      </c>
      <c r="N1539" s="54">
        <v>0</v>
      </c>
      <c r="O1539" s="76">
        <v>0</v>
      </c>
      <c r="P1539" s="53">
        <v>10</v>
      </c>
      <c r="Q1539" s="71">
        <v>0</v>
      </c>
      <c r="R1539" s="54">
        <v>0</v>
      </c>
      <c r="S1539" s="54">
        <v>0</v>
      </c>
      <c r="T1539" s="76">
        <f>STOCK[[#This Row],[Costo Unitario (USD)]]+STOCK[[#This Row],[Costo Envío (USD)]]+STOCK[[#This Row],[Comisión 10%]]</f>
        <v>12</v>
      </c>
      <c r="U1539" s="53">
        <f>STOCK[[#This Row],[Costo total]]*1.5</f>
        <v>18</v>
      </c>
      <c r="V1539" s="53">
        <v>20</v>
      </c>
      <c r="W1539" s="76">
        <f>STOCK[[#This Row],[Precio Final]]-STOCK[[#This Row],[Costo total]]</f>
        <v>8</v>
      </c>
      <c r="X1539" s="76">
        <f>STOCK[[#This Row],[Ganancia Unitaria]]*STOCK[[#This Row],[Salidas]]</f>
        <v>0</v>
      </c>
      <c r="Y1539" s="76"/>
      <c r="Z1539" s="76"/>
      <c r="AA1539" s="54">
        <f>STOCK[[#This Row],[Costo total]]*STOCK[[#This Row],[Entradas]]</f>
        <v>24</v>
      </c>
      <c r="AB1539" s="54">
        <f>STOCK[[#This Row],[Stock Actual]]*STOCK[[#This Row],[Costo total]]</f>
        <v>24</v>
      </c>
      <c r="AC1539" s="76"/>
      <c r="AD1539" s="82"/>
    </row>
    <row r="1540" s="53" customFormat="1" ht="50" customHeight="1" spans="1:30">
      <c r="A1540" s="53" t="s">
        <v>3059</v>
      </c>
      <c r="B1540" s="70" t="str">
        <f>_xlfn.DISPIMG("ID_E147D2FEB55342439B78D68CD73568BA",1)</f>
        <v>=DISPIMG("ID_E147D2FEB55342439B78D68CD73568BA",1)</v>
      </c>
      <c r="C1540" s="53" t="s">
        <v>32</v>
      </c>
      <c r="D1540" s="53" t="s">
        <v>1388</v>
      </c>
      <c r="E1540" s="53" t="s">
        <v>3060</v>
      </c>
      <c r="F1540" s="53" t="s">
        <v>92</v>
      </c>
      <c r="H1540" s="76">
        <f>STOCK[[#This Row],[Precio Final]]</f>
        <v>35</v>
      </c>
      <c r="I1540" s="80">
        <f>STOCK[[#This Row],[Precio Venta Ideal (x1.5)]]</f>
        <v>20.25</v>
      </c>
      <c r="J1540" s="70">
        <v>1</v>
      </c>
      <c r="K1540" s="78">
        <f>SUMIFS(VENTAS[Cantidad],VENTAS[Código del producto Vendido],STOCK[[#This Row],[Code]])</f>
        <v>1</v>
      </c>
      <c r="L1540" s="78">
        <f>STOCK[[#This Row],[Entradas]]-STOCK[[#This Row],[Salidas]]</f>
        <v>0</v>
      </c>
      <c r="M1540" s="76">
        <f>STOCK[[#This Row],[Precio Final]]*10%</f>
        <v>3.5</v>
      </c>
      <c r="N1540" s="53">
        <v>0</v>
      </c>
      <c r="O1540" s="76">
        <v>0</v>
      </c>
      <c r="P1540" s="53">
        <v>10</v>
      </c>
      <c r="Q1540" s="70">
        <v>0</v>
      </c>
      <c r="R1540" s="54">
        <v>0</v>
      </c>
      <c r="S1540" s="53">
        <v>0</v>
      </c>
      <c r="T1540" s="76">
        <f>STOCK[[#This Row],[Costo Unitario (USD)]]+STOCK[[#This Row],[Costo Envío (USD)]]+STOCK[[#This Row],[Comisión 10%]]</f>
        <v>13.5</v>
      </c>
      <c r="U1540" s="53">
        <f>STOCK[[#This Row],[Costo total]]*1.5</f>
        <v>20.25</v>
      </c>
      <c r="V1540" s="53">
        <v>35</v>
      </c>
      <c r="W1540" s="76">
        <f>STOCK[[#This Row],[Precio Final]]-STOCK[[#This Row],[Costo total]]</f>
        <v>21.5</v>
      </c>
      <c r="X1540" s="76">
        <f>STOCK[[#This Row],[Ganancia Unitaria]]*STOCK[[#This Row],[Salidas]]</f>
        <v>21.5</v>
      </c>
      <c r="Y1540" s="76"/>
      <c r="Z1540" s="76"/>
      <c r="AA1540" s="54">
        <f>STOCK[[#This Row],[Costo total]]*STOCK[[#This Row],[Entradas]]</f>
        <v>13.5</v>
      </c>
      <c r="AB1540" s="54">
        <f>STOCK[[#This Row],[Stock Actual]]*STOCK[[#This Row],[Costo total]]</f>
        <v>0</v>
      </c>
      <c r="AC1540" s="76"/>
      <c r="AD1540" s="82"/>
    </row>
    <row r="1541" s="53" customFormat="1" ht="50" customHeight="1" spans="1:30">
      <c r="A1541" s="53" t="s">
        <v>3061</v>
      </c>
      <c r="B1541" s="70" t="str">
        <f>_xlfn.DISPIMG("ID_331F02D25F0A44B3BA958E8D17162AD4",1)</f>
        <v>=DISPIMG("ID_331F02D25F0A44B3BA958E8D17162AD4",1)</v>
      </c>
      <c r="C1541" s="53" t="s">
        <v>32</v>
      </c>
      <c r="D1541" s="53" t="s">
        <v>1388</v>
      </c>
      <c r="E1541" s="53" t="s">
        <v>3062</v>
      </c>
      <c r="F1541" s="53" t="s">
        <v>62</v>
      </c>
      <c r="H1541" s="76">
        <f>STOCK[[#This Row],[Precio Final]]</f>
        <v>30</v>
      </c>
      <c r="I1541" s="80">
        <f>STOCK[[#This Row],[Precio Venta Ideal (x1.5)]]</f>
        <v>19.5</v>
      </c>
      <c r="J1541" s="70">
        <v>1</v>
      </c>
      <c r="K1541" s="78">
        <f>SUMIFS(VENTAS[Cantidad],VENTAS[Código del producto Vendido],STOCK[[#This Row],[Code]])</f>
        <v>0</v>
      </c>
      <c r="L1541" s="78">
        <f>STOCK[[#This Row],[Entradas]]-STOCK[[#This Row],[Salidas]]</f>
        <v>1</v>
      </c>
      <c r="M1541" s="76">
        <f>STOCK[[#This Row],[Precio Final]]*10%</f>
        <v>3</v>
      </c>
      <c r="N1541" s="53">
        <v>0</v>
      </c>
      <c r="O1541" s="76">
        <v>0</v>
      </c>
      <c r="P1541" s="53">
        <v>10</v>
      </c>
      <c r="Q1541" s="70">
        <v>0</v>
      </c>
      <c r="R1541" s="53">
        <v>0</v>
      </c>
      <c r="S1541" s="53">
        <v>0</v>
      </c>
      <c r="T1541" s="76">
        <f>STOCK[[#This Row],[Costo Unitario (USD)]]+STOCK[[#This Row],[Costo Envío (USD)]]+STOCK[[#This Row],[Comisión 10%]]</f>
        <v>13</v>
      </c>
      <c r="U1541" s="53">
        <f>STOCK[[#This Row],[Costo total]]*1.5</f>
        <v>19.5</v>
      </c>
      <c r="V1541" s="53">
        <v>30</v>
      </c>
      <c r="W1541" s="76">
        <f>STOCK[[#This Row],[Precio Final]]-STOCK[[#This Row],[Costo total]]</f>
        <v>17</v>
      </c>
      <c r="X1541" s="76">
        <f>STOCK[[#This Row],[Ganancia Unitaria]]*STOCK[[#This Row],[Salidas]]</f>
        <v>0</v>
      </c>
      <c r="Y1541" s="76"/>
      <c r="Z1541" s="76"/>
      <c r="AA1541" s="54">
        <f>STOCK[[#This Row],[Costo total]]*STOCK[[#This Row],[Entradas]]</f>
        <v>13</v>
      </c>
      <c r="AB1541" s="54">
        <f>STOCK[[#This Row],[Stock Actual]]*STOCK[[#This Row],[Costo total]]</f>
        <v>13</v>
      </c>
      <c r="AC1541" s="76"/>
      <c r="AD1541" s="82"/>
    </row>
    <row r="1542" s="53" customFormat="1" ht="50" customHeight="1" spans="1:30">
      <c r="A1542" s="53" t="s">
        <v>3063</v>
      </c>
      <c r="B1542" s="70" t="str">
        <f>_xlfn.DISPIMG("ID_C8E00973D2C44AA99B70C7D6EAFA12E9",1)</f>
        <v>=DISPIMG("ID_C8E00973D2C44AA99B70C7D6EAFA12E9",1)</v>
      </c>
      <c r="C1542" s="53" t="s">
        <v>32</v>
      </c>
      <c r="D1542" s="53" t="s">
        <v>1388</v>
      </c>
      <c r="E1542" s="53" t="s">
        <v>3064</v>
      </c>
      <c r="F1542" s="53" t="s">
        <v>46</v>
      </c>
      <c r="H1542" s="76">
        <f>STOCK[[#This Row],[Precio Final]]</f>
        <v>30</v>
      </c>
      <c r="I1542" s="80">
        <f>STOCK[[#This Row],[Precio Venta Ideal (x1.5)]]</f>
        <v>22.5</v>
      </c>
      <c r="J1542" s="70">
        <v>1</v>
      </c>
      <c r="K1542" s="78">
        <f>SUMIFS(VENTAS[Cantidad],VENTAS[Código del producto Vendido],STOCK[[#This Row],[Code]])</f>
        <v>0</v>
      </c>
      <c r="L1542" s="78">
        <f>STOCK[[#This Row],[Entradas]]-STOCK[[#This Row],[Salidas]]</f>
        <v>1</v>
      </c>
      <c r="M1542" s="76">
        <f>STOCK[[#This Row],[Precio Final]]*10%</f>
        <v>3</v>
      </c>
      <c r="N1542" s="54">
        <v>0</v>
      </c>
      <c r="O1542" s="76">
        <v>0</v>
      </c>
      <c r="P1542" s="53">
        <v>12</v>
      </c>
      <c r="Q1542" s="70">
        <v>0</v>
      </c>
      <c r="R1542" s="53">
        <v>0</v>
      </c>
      <c r="S1542" s="54">
        <v>0</v>
      </c>
      <c r="T1542" s="76">
        <f>STOCK[[#This Row],[Costo Unitario (USD)]]+STOCK[[#This Row],[Costo Envío (USD)]]+STOCK[[#This Row],[Comisión 10%]]</f>
        <v>15</v>
      </c>
      <c r="U1542" s="53">
        <f>STOCK[[#This Row],[Costo total]]*1.5</f>
        <v>22.5</v>
      </c>
      <c r="V1542" s="53">
        <v>30</v>
      </c>
      <c r="W1542" s="76">
        <f>STOCK[[#This Row],[Precio Final]]-STOCK[[#This Row],[Costo total]]</f>
        <v>15</v>
      </c>
      <c r="X1542" s="76">
        <f>STOCK[[#This Row],[Ganancia Unitaria]]*STOCK[[#This Row],[Salidas]]</f>
        <v>0</v>
      </c>
      <c r="Y1542" s="76"/>
      <c r="Z1542" s="76"/>
      <c r="AA1542" s="54">
        <f>STOCK[[#This Row],[Costo total]]*STOCK[[#This Row],[Entradas]]</f>
        <v>15</v>
      </c>
      <c r="AB1542" s="54">
        <f>STOCK[[#This Row],[Stock Actual]]*STOCK[[#This Row],[Costo total]]</f>
        <v>15</v>
      </c>
      <c r="AC1542" s="76"/>
      <c r="AD1542" s="82"/>
    </row>
    <row r="1543" s="53" customFormat="1" ht="50" customHeight="1" spans="1:30">
      <c r="A1543" s="53" t="s">
        <v>3065</v>
      </c>
      <c r="B1543" s="53" t="s">
        <v>1345</v>
      </c>
      <c r="C1543" s="53" t="s">
        <v>32</v>
      </c>
      <c r="D1543" s="53" t="s">
        <v>780</v>
      </c>
      <c r="E1543" s="53" t="s">
        <v>3066</v>
      </c>
      <c r="F1543" s="53" t="s">
        <v>46</v>
      </c>
      <c r="G1543" s="53" t="s">
        <v>62</v>
      </c>
      <c r="H1543" s="76">
        <f>STOCK[[#This Row],[Precio Final]]</f>
        <v>35</v>
      </c>
      <c r="I1543" s="80">
        <f>STOCK[[#This Row],[Precio Venta Ideal (x1.5)]]</f>
        <v>20.25</v>
      </c>
      <c r="J1543" s="70">
        <v>1</v>
      </c>
      <c r="K1543" s="78">
        <f>SUMIFS(VENTAS[Cantidad],VENTAS[Código del producto Vendido],STOCK[[#This Row],[Code]])</f>
        <v>0</v>
      </c>
      <c r="L1543" s="78">
        <f>STOCK[[#This Row],[Entradas]]-STOCK[[#This Row],[Salidas]]</f>
        <v>1</v>
      </c>
      <c r="M1543" s="76">
        <f>STOCK[[#This Row],[Precio Final]]*10%</f>
        <v>3.5</v>
      </c>
      <c r="N1543" s="53">
        <v>0</v>
      </c>
      <c r="O1543" s="76">
        <v>0</v>
      </c>
      <c r="P1543" s="53">
        <v>10</v>
      </c>
      <c r="Q1543" s="71">
        <v>0</v>
      </c>
      <c r="R1543" s="54">
        <v>0</v>
      </c>
      <c r="S1543" s="54">
        <v>0</v>
      </c>
      <c r="T1543" s="76">
        <f>STOCK[[#This Row],[Costo Unitario (USD)]]+STOCK[[#This Row],[Costo Envío (USD)]]+STOCK[[#This Row],[Comisión 10%]]</f>
        <v>13.5</v>
      </c>
      <c r="U1543" s="53">
        <f>STOCK[[#This Row],[Costo total]]*1.5</f>
        <v>20.25</v>
      </c>
      <c r="V1543" s="53">
        <v>35</v>
      </c>
      <c r="W1543" s="76">
        <f>STOCK[[#This Row],[Precio Final]]-STOCK[[#This Row],[Costo total]]</f>
        <v>21.5</v>
      </c>
      <c r="X1543" s="76">
        <f>STOCK[[#This Row],[Ganancia Unitaria]]*STOCK[[#This Row],[Salidas]]</f>
        <v>0</v>
      </c>
      <c r="Y1543" s="76"/>
      <c r="Z1543" s="76"/>
      <c r="AA1543" s="54">
        <f>STOCK[[#This Row],[Costo total]]*STOCK[[#This Row],[Entradas]]</f>
        <v>13.5</v>
      </c>
      <c r="AB1543" s="54">
        <f>STOCK[[#This Row],[Stock Actual]]*STOCK[[#This Row],[Costo total]]</f>
        <v>13.5</v>
      </c>
      <c r="AC1543" s="76"/>
      <c r="AD1543" s="82"/>
    </row>
    <row r="1544" s="53" customFormat="1" ht="50" customHeight="1" spans="1:30">
      <c r="A1544" s="53" t="s">
        <v>3067</v>
      </c>
      <c r="B1544" s="70" t="str">
        <f>_xlfn.DISPIMG("ID_061452DA8F694CDB87AE347AEBFE0C0A",1)</f>
        <v>=DISPIMG("ID_061452DA8F694CDB87AE347AEBFE0C0A",1)</v>
      </c>
      <c r="C1544" s="53" t="s">
        <v>32</v>
      </c>
      <c r="D1544" s="53" t="s">
        <v>1388</v>
      </c>
      <c r="E1544" s="53" t="s">
        <v>3068</v>
      </c>
      <c r="F1544" s="53" t="s">
        <v>49</v>
      </c>
      <c r="H1544" s="76">
        <f>STOCK[[#This Row],[Precio Final]]</f>
        <v>30</v>
      </c>
      <c r="I1544" s="80">
        <f>STOCK[[#This Row],[Precio Venta Ideal (x1.5)]]</f>
        <v>22.5</v>
      </c>
      <c r="J1544" s="70">
        <v>1</v>
      </c>
      <c r="K1544" s="78">
        <f>SUMIFS(VENTAS[Cantidad],VENTAS[Código del producto Vendido],STOCK[[#This Row],[Code]])</f>
        <v>1</v>
      </c>
      <c r="L1544" s="78">
        <f>STOCK[[#This Row],[Entradas]]-STOCK[[#This Row],[Salidas]]</f>
        <v>0</v>
      </c>
      <c r="M1544" s="76">
        <f>STOCK[[#This Row],[Precio Final]]*10%</f>
        <v>3</v>
      </c>
      <c r="N1544" s="54">
        <v>0</v>
      </c>
      <c r="O1544" s="76">
        <v>0</v>
      </c>
      <c r="P1544" s="53">
        <v>12</v>
      </c>
      <c r="Q1544" s="70">
        <v>0</v>
      </c>
      <c r="R1544" s="53">
        <v>0</v>
      </c>
      <c r="S1544" s="53">
        <v>0</v>
      </c>
      <c r="T1544" s="76">
        <f>STOCK[[#This Row],[Costo Unitario (USD)]]+STOCK[[#This Row],[Costo Envío (USD)]]+STOCK[[#This Row],[Comisión 10%]]</f>
        <v>15</v>
      </c>
      <c r="U1544" s="53">
        <f>STOCK[[#This Row],[Costo total]]*1.5</f>
        <v>22.5</v>
      </c>
      <c r="V1544" s="53">
        <v>30</v>
      </c>
      <c r="W1544" s="76">
        <f>STOCK[[#This Row],[Precio Final]]-STOCK[[#This Row],[Costo total]]</f>
        <v>15</v>
      </c>
      <c r="X1544" s="76">
        <f>STOCK[[#This Row],[Ganancia Unitaria]]*STOCK[[#This Row],[Salidas]]</f>
        <v>15</v>
      </c>
      <c r="Y1544" s="76"/>
      <c r="Z1544" s="76"/>
      <c r="AA1544" s="54">
        <f>STOCK[[#This Row],[Costo total]]*STOCK[[#This Row],[Entradas]]</f>
        <v>15</v>
      </c>
      <c r="AB1544" s="54">
        <f>STOCK[[#This Row],[Stock Actual]]*STOCK[[#This Row],[Costo total]]</f>
        <v>0</v>
      </c>
      <c r="AC1544" s="76"/>
      <c r="AD1544" s="82"/>
    </row>
    <row r="1545" s="53" customFormat="1" ht="50" customHeight="1" spans="1:30">
      <c r="A1545" s="53" t="s">
        <v>3069</v>
      </c>
      <c r="B1545" s="70" t="str">
        <f>_xlfn.DISPIMG("ID_236FDEE0D44C44AE9993C59484124512",1)</f>
        <v>=DISPIMG("ID_236FDEE0D44C44AE9993C59484124512",1)</v>
      </c>
      <c r="C1545" s="53" t="s">
        <v>32</v>
      </c>
      <c r="D1545" s="53" t="s">
        <v>1388</v>
      </c>
      <c r="E1545" s="53" t="s">
        <v>3070</v>
      </c>
      <c r="F1545" s="53" t="s">
        <v>49</v>
      </c>
      <c r="H1545" s="76">
        <f>STOCK[[#This Row],[Precio Final]]</f>
        <v>30</v>
      </c>
      <c r="I1545" s="80">
        <f>STOCK[[#This Row],[Precio Venta Ideal (x1.5)]]</f>
        <v>22.5</v>
      </c>
      <c r="J1545" s="70">
        <v>2</v>
      </c>
      <c r="K1545" s="78">
        <f>SUMIFS(VENTAS[Cantidad],VENTAS[Código del producto Vendido],STOCK[[#This Row],[Code]])</f>
        <v>0</v>
      </c>
      <c r="L1545" s="78">
        <f>STOCK[[#This Row],[Entradas]]-STOCK[[#This Row],[Salidas]]</f>
        <v>2</v>
      </c>
      <c r="M1545" s="76">
        <f>STOCK[[#This Row],[Precio Final]]*10%</f>
        <v>3</v>
      </c>
      <c r="N1545" s="54">
        <v>0</v>
      </c>
      <c r="O1545" s="76">
        <v>0</v>
      </c>
      <c r="P1545" s="53">
        <v>12</v>
      </c>
      <c r="Q1545" s="70">
        <v>0</v>
      </c>
      <c r="R1545" s="54">
        <v>0</v>
      </c>
      <c r="S1545" s="54">
        <v>0</v>
      </c>
      <c r="T1545" s="76">
        <f>STOCK[[#This Row],[Costo Unitario (USD)]]+STOCK[[#This Row],[Costo Envío (USD)]]+STOCK[[#This Row],[Comisión 10%]]</f>
        <v>15</v>
      </c>
      <c r="U1545" s="53">
        <f>STOCK[[#This Row],[Costo total]]*1.5</f>
        <v>22.5</v>
      </c>
      <c r="V1545" s="53">
        <v>30</v>
      </c>
      <c r="W1545" s="76">
        <f>STOCK[[#This Row],[Precio Final]]-STOCK[[#This Row],[Costo total]]</f>
        <v>15</v>
      </c>
      <c r="X1545" s="76">
        <f>STOCK[[#This Row],[Ganancia Unitaria]]*STOCK[[#This Row],[Salidas]]</f>
        <v>0</v>
      </c>
      <c r="Y1545" s="76"/>
      <c r="Z1545" s="76"/>
      <c r="AA1545" s="54">
        <f>STOCK[[#This Row],[Costo total]]*STOCK[[#This Row],[Entradas]]</f>
        <v>30</v>
      </c>
      <c r="AB1545" s="54">
        <f>STOCK[[#This Row],[Stock Actual]]*STOCK[[#This Row],[Costo total]]</f>
        <v>30</v>
      </c>
      <c r="AC1545" s="76"/>
      <c r="AD1545" s="82"/>
    </row>
    <row r="1546" s="53" customFormat="1" ht="50" customHeight="1" spans="1:30">
      <c r="A1546" s="53" t="s">
        <v>3071</v>
      </c>
      <c r="B1546" s="70" t="str">
        <f>_xlfn.DISPIMG("ID_C90935565D5E4AF5AC176886EF0D4DF7",1)</f>
        <v>=DISPIMG("ID_C90935565D5E4AF5AC176886EF0D4DF7",1)</v>
      </c>
      <c r="C1546" s="53" t="s">
        <v>32</v>
      </c>
      <c r="D1546" s="53" t="s">
        <v>735</v>
      </c>
      <c r="E1546" s="53" t="s">
        <v>3072</v>
      </c>
      <c r="F1546" s="53" t="s">
        <v>42</v>
      </c>
      <c r="H1546" s="76">
        <f>STOCK[[#This Row],[Precio Final]]</f>
        <v>28</v>
      </c>
      <c r="I1546" s="80">
        <f>STOCK[[#This Row],[Precio Venta Ideal (x1.5)]]</f>
        <v>26.7</v>
      </c>
      <c r="J1546" s="70">
        <v>1</v>
      </c>
      <c r="K1546" s="78">
        <f>SUMIFS(VENTAS[Cantidad],VENTAS[Código del producto Vendido],STOCK[[#This Row],[Code]])</f>
        <v>0</v>
      </c>
      <c r="L1546" s="78">
        <f>STOCK[[#This Row],[Entradas]]-STOCK[[#This Row],[Salidas]]</f>
        <v>1</v>
      </c>
      <c r="M1546" s="76">
        <f>STOCK[[#This Row],[Precio Final]]*10%</f>
        <v>2.8</v>
      </c>
      <c r="N1546" s="53">
        <v>0</v>
      </c>
      <c r="O1546" s="76">
        <v>0</v>
      </c>
      <c r="P1546" s="53">
        <v>15</v>
      </c>
      <c r="Q1546" s="71">
        <v>0</v>
      </c>
      <c r="R1546" s="53">
        <v>0</v>
      </c>
      <c r="S1546" s="54">
        <v>0</v>
      </c>
      <c r="T1546" s="76">
        <f>STOCK[[#This Row],[Costo Unitario (USD)]]+STOCK[[#This Row],[Costo Envío (USD)]]+STOCK[[#This Row],[Comisión 10%]]</f>
        <v>17.8</v>
      </c>
      <c r="U1546" s="53">
        <f>STOCK[[#This Row],[Costo total]]*1.5</f>
        <v>26.7</v>
      </c>
      <c r="V1546" s="53">
        <v>28</v>
      </c>
      <c r="W1546" s="76">
        <f>STOCK[[#This Row],[Precio Final]]-STOCK[[#This Row],[Costo total]]</f>
        <v>10.2</v>
      </c>
      <c r="X1546" s="76">
        <f>STOCK[[#This Row],[Ganancia Unitaria]]*STOCK[[#This Row],[Salidas]]</f>
        <v>0</v>
      </c>
      <c r="Y1546" s="76"/>
      <c r="Z1546" s="76"/>
      <c r="AA1546" s="54">
        <f>STOCK[[#This Row],[Costo total]]*STOCK[[#This Row],[Entradas]]</f>
        <v>17.8</v>
      </c>
      <c r="AB1546" s="54">
        <f>STOCK[[#This Row],[Stock Actual]]*STOCK[[#This Row],[Costo total]]</f>
        <v>17.8</v>
      </c>
      <c r="AC1546" s="76"/>
      <c r="AD1546" s="82"/>
    </row>
    <row r="1547" s="53" customFormat="1" ht="50" customHeight="1" spans="1:30">
      <c r="A1547" s="53" t="s">
        <v>3073</v>
      </c>
      <c r="B1547" s="53" t="s">
        <v>1345</v>
      </c>
      <c r="C1547" s="53" t="s">
        <v>32</v>
      </c>
      <c r="D1547" s="53" t="s">
        <v>1388</v>
      </c>
      <c r="E1547" s="53" t="s">
        <v>3074</v>
      </c>
      <c r="F1547" s="53" t="s">
        <v>49</v>
      </c>
      <c r="H1547" s="76">
        <f>STOCK[[#This Row],[Precio Final]]</f>
        <v>35</v>
      </c>
      <c r="I1547" s="80">
        <f>STOCK[[#This Row],[Precio Venta Ideal (x1.5)]]</f>
        <v>20.25</v>
      </c>
      <c r="J1547" s="70">
        <v>1</v>
      </c>
      <c r="K1547" s="78">
        <f>SUMIFS(VENTAS[Cantidad],VENTAS[Código del producto Vendido],STOCK[[#This Row],[Code]])</f>
        <v>0</v>
      </c>
      <c r="L1547" s="78">
        <f>STOCK[[#This Row],[Entradas]]-STOCK[[#This Row],[Salidas]]</f>
        <v>1</v>
      </c>
      <c r="M1547" s="76">
        <f>STOCK[[#This Row],[Precio Final]]*10%</f>
        <v>3.5</v>
      </c>
      <c r="N1547" s="54">
        <v>0</v>
      </c>
      <c r="O1547" s="76">
        <v>0</v>
      </c>
      <c r="P1547" s="53">
        <v>10</v>
      </c>
      <c r="Q1547" s="70">
        <v>0</v>
      </c>
      <c r="R1547" s="54">
        <v>0</v>
      </c>
      <c r="S1547" s="53">
        <v>0</v>
      </c>
      <c r="T1547" s="76">
        <f>STOCK[[#This Row],[Costo Unitario (USD)]]+STOCK[[#This Row],[Costo Envío (USD)]]+STOCK[[#This Row],[Comisión 10%]]</f>
        <v>13.5</v>
      </c>
      <c r="U1547" s="53">
        <f>STOCK[[#This Row],[Costo total]]*1.5</f>
        <v>20.25</v>
      </c>
      <c r="V1547" s="53">
        <v>35</v>
      </c>
      <c r="W1547" s="76">
        <f>STOCK[[#This Row],[Precio Final]]-STOCK[[#This Row],[Costo total]]</f>
        <v>21.5</v>
      </c>
      <c r="X1547" s="76">
        <f>STOCK[[#This Row],[Ganancia Unitaria]]*STOCK[[#This Row],[Salidas]]</f>
        <v>0</v>
      </c>
      <c r="Y1547" s="76"/>
      <c r="Z1547" s="76"/>
      <c r="AA1547" s="54">
        <f>STOCK[[#This Row],[Costo total]]*STOCK[[#This Row],[Entradas]]</f>
        <v>13.5</v>
      </c>
      <c r="AB1547" s="54">
        <f>STOCK[[#This Row],[Stock Actual]]*STOCK[[#This Row],[Costo total]]</f>
        <v>13.5</v>
      </c>
      <c r="AC1547" s="76"/>
      <c r="AD1547" s="82"/>
    </row>
    <row r="1548" s="53" customFormat="1" ht="50" customHeight="1" spans="8:30">
      <c r="H1548" s="76"/>
      <c r="I1548" s="80"/>
      <c r="J1548" s="70"/>
      <c r="K1548" s="78"/>
      <c r="L1548" s="78"/>
      <c r="M1548" s="76"/>
      <c r="O1548" s="76"/>
      <c r="Q1548" s="70"/>
      <c r="S1548" s="54"/>
      <c r="T1548" s="76"/>
      <c r="W1548" s="76"/>
      <c r="X1548" s="76"/>
      <c r="Y1548" s="76"/>
      <c r="Z1548" s="76"/>
      <c r="AA1548" s="54">
        <f>STOCK[[#This Row],[Costo total]]*STOCK[[#This Row],[Entradas]]</f>
        <v>0</v>
      </c>
      <c r="AB1548" s="54">
        <f>STOCK[[#This Row],[Stock Actual]]*STOCK[[#This Row],[Costo total]]</f>
        <v>0</v>
      </c>
      <c r="AC1548" s="76"/>
      <c r="AD1548" s="82"/>
    </row>
    <row r="1549" s="53" customFormat="1" ht="50" customHeight="1" spans="1:30">
      <c r="A1549" s="53" t="s">
        <v>3075</v>
      </c>
      <c r="B1549" s="70" t="str">
        <f>_xlfn.DISPIMG("ID_08DEA944CCB84E22963C11C45A954510",1)</f>
        <v>=DISPIMG("ID_08DEA944CCB84E22963C11C45A954510",1)</v>
      </c>
      <c r="C1549" s="53" t="s">
        <v>32</v>
      </c>
      <c r="D1549" s="53" t="s">
        <v>735</v>
      </c>
      <c r="E1549" s="53" t="s">
        <v>3076</v>
      </c>
      <c r="F1549" s="53" t="s">
        <v>46</v>
      </c>
      <c r="H1549" s="76">
        <f>STOCK[[#This Row],[Precio Final]]</f>
        <v>30</v>
      </c>
      <c r="I1549" s="80">
        <f>STOCK[[#This Row],[Precio Venta Ideal (x1.5)]]</f>
        <v>16.5</v>
      </c>
      <c r="J1549" s="70">
        <v>1</v>
      </c>
      <c r="K1549" s="78">
        <f>SUMIFS(VENTAS[Cantidad],VENTAS[Código del producto Vendido],STOCK[[#This Row],[Code]])</f>
        <v>1</v>
      </c>
      <c r="L1549" s="78">
        <f>STOCK[[#This Row],[Entradas]]-STOCK[[#This Row],[Salidas]]</f>
        <v>0</v>
      </c>
      <c r="M1549" s="76">
        <f>STOCK[[#This Row],[Precio Final]]*10%</f>
        <v>3</v>
      </c>
      <c r="N1549" s="54">
        <v>0</v>
      </c>
      <c r="O1549" s="76">
        <v>0</v>
      </c>
      <c r="P1549" s="53">
        <v>8</v>
      </c>
      <c r="Q1549" s="70">
        <v>0</v>
      </c>
      <c r="R1549" s="53">
        <v>0</v>
      </c>
      <c r="S1549" s="53">
        <v>0</v>
      </c>
      <c r="T1549" s="76">
        <f>STOCK[[#This Row],[Costo Unitario (USD)]]+STOCK[[#This Row],[Costo Envío (USD)]]+STOCK[[#This Row],[Comisión 10%]]</f>
        <v>11</v>
      </c>
      <c r="U1549" s="53">
        <f>STOCK[[#This Row],[Costo total]]*1.5</f>
        <v>16.5</v>
      </c>
      <c r="V1549" s="53">
        <v>30</v>
      </c>
      <c r="W1549" s="76">
        <f>STOCK[[#This Row],[Precio Final]]-STOCK[[#This Row],[Costo total]]</f>
        <v>19</v>
      </c>
      <c r="X1549" s="76">
        <f>STOCK[[#This Row],[Ganancia Unitaria]]*STOCK[[#This Row],[Salidas]]</f>
        <v>19</v>
      </c>
      <c r="Y1549" s="76"/>
      <c r="Z1549" s="76"/>
      <c r="AA1549" s="54">
        <f>STOCK[[#This Row],[Costo total]]*STOCK[[#This Row],[Entradas]]</f>
        <v>11</v>
      </c>
      <c r="AB1549" s="54">
        <f>STOCK[[#This Row],[Stock Actual]]*STOCK[[#This Row],[Costo total]]</f>
        <v>0</v>
      </c>
      <c r="AC1549" s="76"/>
      <c r="AD1549" s="82"/>
    </row>
    <row r="1550" s="53" customFormat="1" ht="50" customHeight="1" spans="1:30">
      <c r="A1550" s="53" t="s">
        <v>3077</v>
      </c>
      <c r="B1550" s="70" t="str">
        <f>_xlfn.DISPIMG("ID_A91DFB2CBB434112A64908E008E8E85E",1)</f>
        <v>=DISPIMG("ID_A91DFB2CBB434112A64908E008E8E85E",1)</v>
      </c>
      <c r="C1550" s="53" t="s">
        <v>32</v>
      </c>
      <c r="D1550" s="53" t="s">
        <v>735</v>
      </c>
      <c r="E1550" s="53" t="s">
        <v>3078</v>
      </c>
      <c r="F1550" s="53" t="s">
        <v>46</v>
      </c>
      <c r="H1550" s="76">
        <f>STOCK[[#This Row],[Precio Final]]</f>
        <v>35</v>
      </c>
      <c r="I1550" s="80">
        <f>STOCK[[#This Row],[Precio Venta Ideal (x1.5)]]</f>
        <v>17.25</v>
      </c>
      <c r="J1550" s="70">
        <v>1</v>
      </c>
      <c r="K1550" s="78">
        <f>SUMIFS(VENTAS[Cantidad],VENTAS[Código del producto Vendido],STOCK[[#This Row],[Code]])</f>
        <v>0</v>
      </c>
      <c r="L1550" s="78">
        <f>STOCK[[#This Row],[Entradas]]-STOCK[[#This Row],[Salidas]]</f>
        <v>1</v>
      </c>
      <c r="M1550" s="76">
        <f>STOCK[[#This Row],[Precio Final]]*10%</f>
        <v>3.5</v>
      </c>
      <c r="N1550" s="53">
        <v>0</v>
      </c>
      <c r="O1550" s="76">
        <v>0</v>
      </c>
      <c r="P1550" s="53">
        <v>8</v>
      </c>
      <c r="Q1550" s="70">
        <v>0</v>
      </c>
      <c r="R1550" s="54">
        <v>0</v>
      </c>
      <c r="S1550" s="54">
        <v>0</v>
      </c>
      <c r="T1550" s="76">
        <f>STOCK[[#This Row],[Costo Unitario (USD)]]+STOCK[[#This Row],[Costo Envío (USD)]]+STOCK[[#This Row],[Comisión 10%]]</f>
        <v>11.5</v>
      </c>
      <c r="U1550" s="53">
        <f>STOCK[[#This Row],[Costo total]]*1.5</f>
        <v>17.25</v>
      </c>
      <c r="V1550" s="53">
        <v>35</v>
      </c>
      <c r="W1550" s="76">
        <f>STOCK[[#This Row],[Precio Final]]-STOCK[[#This Row],[Costo total]]</f>
        <v>23.5</v>
      </c>
      <c r="X1550" s="76">
        <f>STOCK[[#This Row],[Ganancia Unitaria]]*STOCK[[#This Row],[Salidas]]</f>
        <v>0</v>
      </c>
      <c r="Y1550" s="76"/>
      <c r="Z1550" s="76"/>
      <c r="AA1550" s="54">
        <f>STOCK[[#This Row],[Costo total]]*STOCK[[#This Row],[Entradas]]</f>
        <v>11.5</v>
      </c>
      <c r="AB1550" s="54">
        <f>STOCK[[#This Row],[Stock Actual]]*STOCK[[#This Row],[Costo total]]</f>
        <v>11.5</v>
      </c>
      <c r="AC1550" s="76"/>
      <c r="AD1550" s="82"/>
    </row>
    <row r="1551" s="53" customFormat="1" ht="50" customHeight="1" spans="1:30">
      <c r="A1551" s="53" t="s">
        <v>3079</v>
      </c>
      <c r="B1551" s="70" t="str">
        <f>_xlfn.DISPIMG("ID_C05C05881E274DF5803BEC4F6C227727",1)</f>
        <v>=DISPIMG("ID_C05C05881E274DF5803BEC4F6C227727",1)</v>
      </c>
      <c r="C1551" s="53" t="s">
        <v>32</v>
      </c>
      <c r="D1551" s="53" t="s">
        <v>735</v>
      </c>
      <c r="E1551" s="53" t="s">
        <v>3080</v>
      </c>
      <c r="F1551" s="53" t="s">
        <v>49</v>
      </c>
      <c r="H1551" s="76">
        <f>STOCK[[#This Row],[Precio Final]]</f>
        <v>30</v>
      </c>
      <c r="I1551" s="80">
        <f>STOCK[[#This Row],[Precio Venta Ideal (x1.5)]]</f>
        <v>16.5</v>
      </c>
      <c r="J1551" s="70">
        <v>1</v>
      </c>
      <c r="K1551" s="78">
        <f>SUMIFS(VENTAS[Cantidad],VENTAS[Código del producto Vendido],STOCK[[#This Row],[Code]])</f>
        <v>0</v>
      </c>
      <c r="L1551" s="78">
        <f>STOCK[[#This Row],[Entradas]]-STOCK[[#This Row],[Salidas]]</f>
        <v>1</v>
      </c>
      <c r="M1551" s="76">
        <f>STOCK[[#This Row],[Precio Final]]*10%</f>
        <v>3</v>
      </c>
      <c r="N1551" s="54">
        <v>0</v>
      </c>
      <c r="O1551" s="76">
        <v>0</v>
      </c>
      <c r="P1551" s="53">
        <v>8</v>
      </c>
      <c r="Q1551" s="71">
        <v>0</v>
      </c>
      <c r="R1551" s="53">
        <v>0</v>
      </c>
      <c r="S1551" s="54">
        <v>0</v>
      </c>
      <c r="T1551" s="76">
        <f>STOCK[[#This Row],[Costo Unitario (USD)]]+STOCK[[#This Row],[Costo Envío (USD)]]+STOCK[[#This Row],[Comisión 10%]]</f>
        <v>11</v>
      </c>
      <c r="U1551" s="53">
        <f>STOCK[[#This Row],[Costo total]]*1.5</f>
        <v>16.5</v>
      </c>
      <c r="V1551" s="53">
        <v>30</v>
      </c>
      <c r="W1551" s="76">
        <f>STOCK[[#This Row],[Precio Final]]-STOCK[[#This Row],[Costo total]]</f>
        <v>19</v>
      </c>
      <c r="X1551" s="76">
        <f>STOCK[[#This Row],[Ganancia Unitaria]]*STOCK[[#This Row],[Salidas]]</f>
        <v>0</v>
      </c>
      <c r="Y1551" s="76"/>
      <c r="Z1551" s="76"/>
      <c r="AA1551" s="54">
        <f>STOCK[[#This Row],[Costo total]]*STOCK[[#This Row],[Entradas]]</f>
        <v>11</v>
      </c>
      <c r="AB1551" s="54">
        <f>STOCK[[#This Row],[Stock Actual]]*STOCK[[#This Row],[Costo total]]</f>
        <v>11</v>
      </c>
      <c r="AC1551" s="76"/>
      <c r="AD1551" s="82"/>
    </row>
    <row r="1552" s="53" customFormat="1" ht="50" customHeight="1" spans="1:30">
      <c r="A1552" s="53" t="s">
        <v>3081</v>
      </c>
      <c r="B1552" s="70" t="str">
        <f>_xlfn.DISPIMG("ID_6C1C0962176A4D4BB45C4944FB24CA50",1)</f>
        <v>=DISPIMG("ID_6C1C0962176A4D4BB45C4944FB24CA50",1)</v>
      </c>
      <c r="C1552" s="53" t="s">
        <v>32</v>
      </c>
      <c r="D1552" s="53" t="s">
        <v>735</v>
      </c>
      <c r="E1552" s="53" t="s">
        <v>3082</v>
      </c>
      <c r="F1552" s="53" t="s">
        <v>62</v>
      </c>
      <c r="H1552" s="76">
        <f>STOCK[[#This Row],[Precio Final]]</f>
        <v>20</v>
      </c>
      <c r="I1552" s="80">
        <f>STOCK[[#This Row],[Precio Venta Ideal (x1.5)]]</f>
        <v>15</v>
      </c>
      <c r="J1552" s="70">
        <v>1</v>
      </c>
      <c r="K1552" s="78">
        <f>SUMIFS(VENTAS[Cantidad],VENTAS[Código del producto Vendido],STOCK[[#This Row],[Code]])</f>
        <v>0</v>
      </c>
      <c r="L1552" s="78">
        <f>STOCK[[#This Row],[Entradas]]-STOCK[[#This Row],[Salidas]]</f>
        <v>1</v>
      </c>
      <c r="M1552" s="76">
        <f>STOCK[[#This Row],[Precio Final]]*10%</f>
        <v>2</v>
      </c>
      <c r="N1552" s="53">
        <v>0</v>
      </c>
      <c r="O1552" s="76">
        <v>0</v>
      </c>
      <c r="P1552" s="53">
        <v>8</v>
      </c>
      <c r="Q1552" s="70">
        <v>0</v>
      </c>
      <c r="R1552" s="54">
        <v>0</v>
      </c>
      <c r="S1552" s="53">
        <v>0</v>
      </c>
      <c r="T1552" s="76">
        <f>STOCK[[#This Row],[Costo Unitario (USD)]]+STOCK[[#This Row],[Costo Envío (USD)]]+STOCK[[#This Row],[Comisión 10%]]</f>
        <v>10</v>
      </c>
      <c r="U1552" s="53">
        <f>STOCK[[#This Row],[Costo total]]*1.5</f>
        <v>15</v>
      </c>
      <c r="V1552" s="53">
        <v>20</v>
      </c>
      <c r="W1552" s="76">
        <f>STOCK[[#This Row],[Precio Final]]-STOCK[[#This Row],[Costo total]]</f>
        <v>10</v>
      </c>
      <c r="X1552" s="76">
        <f>STOCK[[#This Row],[Ganancia Unitaria]]*STOCK[[#This Row],[Salidas]]</f>
        <v>0</v>
      </c>
      <c r="Y1552" s="76"/>
      <c r="Z1552" s="76"/>
      <c r="AA1552" s="54">
        <f>STOCK[[#This Row],[Costo total]]*STOCK[[#This Row],[Entradas]]</f>
        <v>10</v>
      </c>
      <c r="AB1552" s="54">
        <f>STOCK[[#This Row],[Stock Actual]]*STOCK[[#This Row],[Costo total]]</f>
        <v>10</v>
      </c>
      <c r="AC1552" s="76"/>
      <c r="AD1552" s="82"/>
    </row>
    <row r="1553" s="53" customFormat="1" ht="50" customHeight="1" spans="1:30">
      <c r="A1553" s="53" t="s">
        <v>3083</v>
      </c>
      <c r="B1553" s="70" t="str">
        <f>_xlfn.DISPIMG("ID_983CBCE8D4A04C1791520403A9BA8D8D",1)</f>
        <v>=DISPIMG("ID_983CBCE8D4A04C1791520403A9BA8D8D",1)</v>
      </c>
      <c r="C1553" s="53" t="s">
        <v>32</v>
      </c>
      <c r="D1553" s="53" t="s">
        <v>735</v>
      </c>
      <c r="E1553" s="53" t="s">
        <v>3084</v>
      </c>
      <c r="F1553" s="53" t="s">
        <v>62</v>
      </c>
      <c r="H1553" s="76">
        <f>STOCK[[#This Row],[Precio Final]]</f>
        <v>20</v>
      </c>
      <c r="I1553" s="80">
        <f>STOCK[[#This Row],[Precio Venta Ideal (x1.5)]]</f>
        <v>15</v>
      </c>
      <c r="J1553" s="70">
        <v>1</v>
      </c>
      <c r="K1553" s="78">
        <f>SUMIFS(VENTAS[Cantidad],VENTAS[Código del producto Vendido],STOCK[[#This Row],[Code]])</f>
        <v>0</v>
      </c>
      <c r="L1553" s="78">
        <f>STOCK[[#This Row],[Entradas]]-STOCK[[#This Row],[Salidas]]</f>
        <v>1</v>
      </c>
      <c r="M1553" s="76">
        <f>STOCK[[#This Row],[Precio Final]]*10%</f>
        <v>2</v>
      </c>
      <c r="N1553" s="53">
        <v>0</v>
      </c>
      <c r="O1553" s="76">
        <v>0</v>
      </c>
      <c r="P1553" s="53">
        <v>8</v>
      </c>
      <c r="Q1553" s="70">
        <v>0</v>
      </c>
      <c r="R1553" s="53">
        <v>0</v>
      </c>
      <c r="S1553" s="53">
        <v>0</v>
      </c>
      <c r="T1553" s="76">
        <f>STOCK[[#This Row],[Costo Unitario (USD)]]+STOCK[[#This Row],[Costo Envío (USD)]]+STOCK[[#This Row],[Comisión 10%]]</f>
        <v>10</v>
      </c>
      <c r="U1553" s="53">
        <f>STOCK[[#This Row],[Costo total]]*1.5</f>
        <v>15</v>
      </c>
      <c r="V1553" s="53">
        <v>20</v>
      </c>
      <c r="W1553" s="76">
        <f>STOCK[[#This Row],[Precio Final]]-STOCK[[#This Row],[Costo total]]</f>
        <v>10</v>
      </c>
      <c r="X1553" s="76">
        <f>STOCK[[#This Row],[Ganancia Unitaria]]*STOCK[[#This Row],[Salidas]]</f>
        <v>0</v>
      </c>
      <c r="Y1553" s="76"/>
      <c r="Z1553" s="76"/>
      <c r="AA1553" s="54">
        <f>STOCK[[#This Row],[Costo total]]*STOCK[[#This Row],[Entradas]]</f>
        <v>10</v>
      </c>
      <c r="AB1553" s="54">
        <f>STOCK[[#This Row],[Stock Actual]]*STOCK[[#This Row],[Costo total]]</f>
        <v>10</v>
      </c>
      <c r="AC1553" s="76"/>
      <c r="AD1553" s="82"/>
    </row>
    <row r="1554" s="53" customFormat="1" ht="50" customHeight="1" spans="1:30">
      <c r="A1554" s="53" t="s">
        <v>3085</v>
      </c>
      <c r="B1554" s="70" t="str">
        <f>_xlfn.DISPIMG("ID_A226EDE5909E4F87B1E614E6A87D6A8A",1)</f>
        <v>=DISPIMG("ID_A226EDE5909E4F87B1E614E6A87D6A8A",1)</v>
      </c>
      <c r="C1554" s="53" t="s">
        <v>32</v>
      </c>
      <c r="D1554" s="53" t="s">
        <v>735</v>
      </c>
      <c r="E1554" s="53" t="s">
        <v>3086</v>
      </c>
      <c r="F1554" s="53" t="s">
        <v>49</v>
      </c>
      <c r="H1554" s="76">
        <f>STOCK[[#This Row],[Precio Final]]</f>
        <v>25</v>
      </c>
      <c r="I1554" s="80">
        <f>STOCK[[#This Row],[Precio Venta Ideal (x1.5)]]</f>
        <v>15.75</v>
      </c>
      <c r="J1554" s="70">
        <v>1</v>
      </c>
      <c r="K1554" s="78">
        <f>SUMIFS(VENTAS[Cantidad],VENTAS[Código del producto Vendido],STOCK[[#This Row],[Code]])</f>
        <v>0</v>
      </c>
      <c r="L1554" s="78">
        <f>STOCK[[#This Row],[Entradas]]-STOCK[[#This Row],[Salidas]]</f>
        <v>1</v>
      </c>
      <c r="M1554" s="76">
        <f>STOCK[[#This Row],[Precio Final]]*10%</f>
        <v>2.5</v>
      </c>
      <c r="N1554" s="54">
        <v>0</v>
      </c>
      <c r="O1554" s="76">
        <v>0</v>
      </c>
      <c r="P1554" s="53">
        <v>8</v>
      </c>
      <c r="Q1554" s="70">
        <v>0</v>
      </c>
      <c r="R1554" s="54">
        <v>0</v>
      </c>
      <c r="S1554" s="54">
        <v>0</v>
      </c>
      <c r="T1554" s="76">
        <f>STOCK[[#This Row],[Costo Unitario (USD)]]+STOCK[[#This Row],[Costo Envío (USD)]]+STOCK[[#This Row],[Comisión 10%]]</f>
        <v>10.5</v>
      </c>
      <c r="U1554" s="53">
        <f>STOCK[[#This Row],[Costo total]]*1.5</f>
        <v>15.75</v>
      </c>
      <c r="V1554" s="53">
        <v>25</v>
      </c>
      <c r="W1554" s="76">
        <f>STOCK[[#This Row],[Precio Final]]-STOCK[[#This Row],[Costo total]]</f>
        <v>14.5</v>
      </c>
      <c r="X1554" s="76">
        <f>STOCK[[#This Row],[Ganancia Unitaria]]*STOCK[[#This Row],[Salidas]]</f>
        <v>0</v>
      </c>
      <c r="Y1554" s="76"/>
      <c r="Z1554" s="76"/>
      <c r="AA1554" s="54">
        <f>STOCK[[#This Row],[Costo total]]*STOCK[[#This Row],[Entradas]]</f>
        <v>10.5</v>
      </c>
      <c r="AB1554" s="54">
        <f>STOCK[[#This Row],[Stock Actual]]*STOCK[[#This Row],[Costo total]]</f>
        <v>10.5</v>
      </c>
      <c r="AC1554" s="76"/>
      <c r="AD1554" s="82"/>
    </row>
    <row r="1555" s="53" customFormat="1" ht="50" customHeight="1" spans="1:30">
      <c r="A1555" s="53" t="s">
        <v>3087</v>
      </c>
      <c r="B1555" s="70" t="str">
        <f>_xlfn.DISPIMG("ID_EED211429BA64BACA72B7F2FF9873304",1)</f>
        <v>=DISPIMG("ID_EED211429BA64BACA72B7F2FF9873304",1)</v>
      </c>
      <c r="C1555" s="53" t="s">
        <v>32</v>
      </c>
      <c r="D1555" s="53" t="s">
        <v>780</v>
      </c>
      <c r="E1555" s="53" t="s">
        <v>3088</v>
      </c>
      <c r="F1555" s="53" t="s">
        <v>46</v>
      </c>
      <c r="H1555" s="76">
        <f>STOCK[[#This Row],[Precio Final]]</f>
        <v>22</v>
      </c>
      <c r="I1555" s="80">
        <f>STOCK[[#This Row],[Precio Venta Ideal (x1.5)]]</f>
        <v>15.3</v>
      </c>
      <c r="J1555" s="70">
        <v>1</v>
      </c>
      <c r="K1555" s="78">
        <f>SUMIFS(VENTAS[Cantidad],VENTAS[Código del producto Vendido],STOCK[[#This Row],[Code]])</f>
        <v>0</v>
      </c>
      <c r="L1555" s="78">
        <f>STOCK[[#This Row],[Entradas]]-STOCK[[#This Row],[Salidas]]</f>
        <v>1</v>
      </c>
      <c r="M1555" s="76">
        <f>STOCK[[#This Row],[Precio Final]]*10%</f>
        <v>2.2</v>
      </c>
      <c r="N1555" s="53">
        <v>0</v>
      </c>
      <c r="O1555" s="76">
        <v>0</v>
      </c>
      <c r="P1555" s="53">
        <v>8</v>
      </c>
      <c r="Q1555" s="71">
        <v>0</v>
      </c>
      <c r="R1555" s="53">
        <v>0</v>
      </c>
      <c r="S1555" s="54">
        <v>0</v>
      </c>
      <c r="T1555" s="76">
        <f>STOCK[[#This Row],[Costo Unitario (USD)]]+STOCK[[#This Row],[Costo Envío (USD)]]+STOCK[[#This Row],[Comisión 10%]]</f>
        <v>10.2</v>
      </c>
      <c r="U1555" s="53">
        <f>STOCK[[#This Row],[Costo total]]*1.5</f>
        <v>15.3</v>
      </c>
      <c r="V1555" s="53">
        <v>22</v>
      </c>
      <c r="W1555" s="76">
        <f>STOCK[[#This Row],[Precio Final]]-STOCK[[#This Row],[Costo total]]</f>
        <v>11.8</v>
      </c>
      <c r="X1555" s="76">
        <f>STOCK[[#This Row],[Ganancia Unitaria]]*STOCK[[#This Row],[Salidas]]</f>
        <v>0</v>
      </c>
      <c r="Y1555" s="76"/>
      <c r="Z1555" s="76"/>
      <c r="AA1555" s="54">
        <f>STOCK[[#This Row],[Costo total]]*STOCK[[#This Row],[Entradas]]</f>
        <v>10.2</v>
      </c>
      <c r="AB1555" s="54">
        <f>STOCK[[#This Row],[Stock Actual]]*STOCK[[#This Row],[Costo total]]</f>
        <v>10.2</v>
      </c>
      <c r="AC1555" s="76"/>
      <c r="AD1555" s="82"/>
    </row>
    <row r="1556" s="53" customFormat="1" ht="50" customHeight="1" spans="1:30">
      <c r="A1556" s="53" t="s">
        <v>3089</v>
      </c>
      <c r="B1556" s="70" t="str">
        <f>_xlfn.DISPIMG("ID_D60116D6E0C0406A8C0F939D86334CF9",1)</f>
        <v>=DISPIMG("ID_D60116D6E0C0406A8C0F939D86334CF9",1)</v>
      </c>
      <c r="C1556" s="53" t="s">
        <v>32</v>
      </c>
      <c r="D1556" s="53" t="s">
        <v>780</v>
      </c>
      <c r="E1556" s="53" t="s">
        <v>3090</v>
      </c>
      <c r="F1556" s="53" t="s">
        <v>46</v>
      </c>
      <c r="H1556" s="76">
        <f>STOCK[[#This Row],[Precio Final]]</f>
        <v>22</v>
      </c>
      <c r="I1556" s="80">
        <f>STOCK[[#This Row],[Precio Venta Ideal (x1.5)]]</f>
        <v>15.3</v>
      </c>
      <c r="J1556" s="70">
        <v>1</v>
      </c>
      <c r="K1556" s="78">
        <f>SUMIFS(VENTAS[Cantidad],VENTAS[Código del producto Vendido],STOCK[[#This Row],[Code]])</f>
        <v>1</v>
      </c>
      <c r="L1556" s="78">
        <f>STOCK[[#This Row],[Entradas]]-STOCK[[#This Row],[Salidas]]</f>
        <v>0</v>
      </c>
      <c r="M1556" s="76">
        <f>STOCK[[#This Row],[Precio Final]]*10%</f>
        <v>2.2</v>
      </c>
      <c r="N1556" s="54">
        <v>0</v>
      </c>
      <c r="O1556" s="76">
        <v>0</v>
      </c>
      <c r="P1556" s="53">
        <v>8</v>
      </c>
      <c r="Q1556" s="70">
        <v>0</v>
      </c>
      <c r="R1556" s="54">
        <v>0</v>
      </c>
      <c r="S1556" s="53">
        <v>0</v>
      </c>
      <c r="T1556" s="76">
        <f>STOCK[[#This Row],[Costo Unitario (USD)]]+STOCK[[#This Row],[Costo Envío (USD)]]+STOCK[[#This Row],[Comisión 10%]]</f>
        <v>10.2</v>
      </c>
      <c r="U1556" s="53">
        <f>STOCK[[#This Row],[Costo total]]*1.5</f>
        <v>15.3</v>
      </c>
      <c r="V1556" s="53">
        <v>22</v>
      </c>
      <c r="W1556" s="76">
        <f>STOCK[[#This Row],[Precio Final]]-STOCK[[#This Row],[Costo total]]</f>
        <v>11.8</v>
      </c>
      <c r="X1556" s="76">
        <f>STOCK[[#This Row],[Ganancia Unitaria]]*STOCK[[#This Row],[Salidas]]</f>
        <v>11.8</v>
      </c>
      <c r="Y1556" s="76"/>
      <c r="Z1556" s="76"/>
      <c r="AA1556" s="54">
        <f>STOCK[[#This Row],[Costo total]]*STOCK[[#This Row],[Entradas]]</f>
        <v>10.2</v>
      </c>
      <c r="AB1556" s="54">
        <f>STOCK[[#This Row],[Stock Actual]]*STOCK[[#This Row],[Costo total]]</f>
        <v>0</v>
      </c>
      <c r="AC1556" s="76"/>
      <c r="AD1556" s="82"/>
    </row>
    <row r="1557" s="53" customFormat="1" ht="50" customHeight="1" spans="1:30">
      <c r="A1557" s="53" t="s">
        <v>3091</v>
      </c>
      <c r="B1557" s="70" t="str">
        <f>_xlfn.DISPIMG("ID_611E317D4601404D973F1AA71F19BB1B",1)</f>
        <v>=DISPIMG("ID_611E317D4601404D973F1AA71F19BB1B",1)</v>
      </c>
      <c r="C1557" s="53" t="s">
        <v>32</v>
      </c>
      <c r="D1557" s="53" t="s">
        <v>780</v>
      </c>
      <c r="E1557" s="53" t="s">
        <v>3090</v>
      </c>
      <c r="F1557" s="53" t="s">
        <v>42</v>
      </c>
      <c r="H1557" s="76">
        <f>STOCK[[#This Row],[Precio Final]]</f>
        <v>22</v>
      </c>
      <c r="I1557" s="80">
        <f>STOCK[[#This Row],[Precio Venta Ideal (x1.5)]]</f>
        <v>15.3</v>
      </c>
      <c r="J1557" s="70">
        <v>1</v>
      </c>
      <c r="K1557" s="78">
        <f>SUMIFS(VENTAS[Cantidad],VENTAS[Código del producto Vendido],STOCK[[#This Row],[Code]])</f>
        <v>0</v>
      </c>
      <c r="L1557" s="78">
        <f>STOCK[[#This Row],[Entradas]]-STOCK[[#This Row],[Salidas]]</f>
        <v>1</v>
      </c>
      <c r="M1557" s="76">
        <f>STOCK[[#This Row],[Precio Final]]*10%</f>
        <v>2.2</v>
      </c>
      <c r="N1557" s="54">
        <v>0</v>
      </c>
      <c r="O1557" s="76">
        <v>0</v>
      </c>
      <c r="P1557" s="53">
        <v>8</v>
      </c>
      <c r="Q1557" s="70">
        <v>0</v>
      </c>
      <c r="R1557" s="53">
        <v>0</v>
      </c>
      <c r="S1557" s="54">
        <v>0</v>
      </c>
      <c r="T1557" s="76">
        <f>STOCK[[#This Row],[Costo Unitario (USD)]]+STOCK[[#This Row],[Costo Envío (USD)]]+STOCK[[#This Row],[Comisión 10%]]</f>
        <v>10.2</v>
      </c>
      <c r="U1557" s="53">
        <f>STOCK[[#This Row],[Costo total]]*1.5</f>
        <v>15.3</v>
      </c>
      <c r="V1557" s="53">
        <v>22</v>
      </c>
      <c r="W1557" s="76">
        <f>STOCK[[#This Row],[Precio Final]]-STOCK[[#This Row],[Costo total]]</f>
        <v>11.8</v>
      </c>
      <c r="X1557" s="76">
        <f>STOCK[[#This Row],[Ganancia Unitaria]]*STOCK[[#This Row],[Salidas]]</f>
        <v>0</v>
      </c>
      <c r="Y1557" s="76"/>
      <c r="Z1557" s="76"/>
      <c r="AA1557" s="54">
        <f>STOCK[[#This Row],[Costo total]]*STOCK[[#This Row],[Entradas]]</f>
        <v>10.2</v>
      </c>
      <c r="AB1557" s="54">
        <f>STOCK[[#This Row],[Stock Actual]]*STOCK[[#This Row],[Costo total]]</f>
        <v>10.2</v>
      </c>
      <c r="AC1557" s="76"/>
      <c r="AD1557" s="82"/>
    </row>
    <row r="1558" s="53" customFormat="1" ht="50" customHeight="1" spans="1:30">
      <c r="A1558" s="53" t="s">
        <v>3092</v>
      </c>
      <c r="B1558" s="70" t="str">
        <f>_xlfn.DISPIMG("ID_2F46D2B8CA1649B9AE80B0FC68C14A3A",1)</f>
        <v>=DISPIMG("ID_2F46D2B8CA1649B9AE80B0FC68C14A3A",1)</v>
      </c>
      <c r="C1558" s="53" t="s">
        <v>32</v>
      </c>
      <c r="D1558" s="53" t="s">
        <v>780</v>
      </c>
      <c r="E1558" s="53" t="s">
        <v>3093</v>
      </c>
      <c r="F1558" s="53" t="s">
        <v>49</v>
      </c>
      <c r="H1558" s="76">
        <f>STOCK[[#This Row],[Precio Final]]</f>
        <v>22</v>
      </c>
      <c r="I1558" s="80">
        <f>STOCK[[#This Row],[Precio Venta Ideal (x1.5)]]</f>
        <v>15.3</v>
      </c>
      <c r="J1558" s="70">
        <v>1</v>
      </c>
      <c r="K1558" s="78">
        <f>SUMIFS(VENTAS[Cantidad],VENTAS[Código del producto Vendido],STOCK[[#This Row],[Code]])</f>
        <v>0</v>
      </c>
      <c r="L1558" s="78">
        <f>STOCK[[#This Row],[Entradas]]-STOCK[[#This Row],[Salidas]]</f>
        <v>1</v>
      </c>
      <c r="M1558" s="76">
        <f>STOCK[[#This Row],[Precio Final]]*10%</f>
        <v>2.2</v>
      </c>
      <c r="N1558" s="53">
        <v>0</v>
      </c>
      <c r="O1558" s="76">
        <v>0</v>
      </c>
      <c r="P1558" s="53">
        <v>8</v>
      </c>
      <c r="Q1558" s="71">
        <v>0</v>
      </c>
      <c r="R1558" s="54">
        <v>0</v>
      </c>
      <c r="S1558" s="54">
        <v>0</v>
      </c>
      <c r="T1558" s="76">
        <f>STOCK[[#This Row],[Costo Unitario (USD)]]+STOCK[[#This Row],[Costo Envío (USD)]]+STOCK[[#This Row],[Comisión 10%]]</f>
        <v>10.2</v>
      </c>
      <c r="U1558" s="53">
        <f>STOCK[[#This Row],[Costo total]]*1.5</f>
        <v>15.3</v>
      </c>
      <c r="V1558" s="53">
        <v>22</v>
      </c>
      <c r="W1558" s="76">
        <f>STOCK[[#This Row],[Precio Final]]-STOCK[[#This Row],[Costo total]]</f>
        <v>11.8</v>
      </c>
      <c r="X1558" s="76">
        <f>STOCK[[#This Row],[Ganancia Unitaria]]*STOCK[[#This Row],[Salidas]]</f>
        <v>0</v>
      </c>
      <c r="Y1558" s="76"/>
      <c r="Z1558" s="76"/>
      <c r="AA1558" s="54">
        <f>STOCK[[#This Row],[Costo total]]*STOCK[[#This Row],[Entradas]]</f>
        <v>10.2</v>
      </c>
      <c r="AB1558" s="54">
        <f>STOCK[[#This Row],[Stock Actual]]*STOCK[[#This Row],[Costo total]]</f>
        <v>10.2</v>
      </c>
      <c r="AC1558" s="76"/>
      <c r="AD1558" s="82"/>
    </row>
    <row r="1559" s="53" customFormat="1" ht="50" customHeight="1" spans="1:30">
      <c r="A1559" s="53" t="s">
        <v>3094</v>
      </c>
      <c r="B1559" s="70" t="str">
        <f>_xlfn.DISPIMG("ID_FBD24FC94EB94F35BE3094CDBAF42CDD",1)</f>
        <v>=DISPIMG("ID_FBD24FC94EB94F35BE3094CDBAF42CDD",1)</v>
      </c>
      <c r="C1559" s="53" t="s">
        <v>32</v>
      </c>
      <c r="D1559" s="53" t="s">
        <v>780</v>
      </c>
      <c r="E1559" s="53" t="s">
        <v>3095</v>
      </c>
      <c r="F1559" s="53" t="s">
        <v>46</v>
      </c>
      <c r="H1559" s="76">
        <f>STOCK[[#This Row],[Precio Final]]</f>
        <v>22</v>
      </c>
      <c r="I1559" s="80">
        <f>STOCK[[#This Row],[Precio Venta Ideal (x1.5)]]</f>
        <v>15.3</v>
      </c>
      <c r="J1559" s="70">
        <v>1</v>
      </c>
      <c r="K1559" s="78">
        <f>SUMIFS(VENTAS[Cantidad],VENTAS[Código del producto Vendido],STOCK[[#This Row],[Code]])</f>
        <v>0</v>
      </c>
      <c r="L1559" s="78">
        <f>STOCK[[#This Row],[Entradas]]-STOCK[[#This Row],[Salidas]]</f>
        <v>1</v>
      </c>
      <c r="M1559" s="76">
        <f>STOCK[[#This Row],[Precio Final]]*10%</f>
        <v>2.2</v>
      </c>
      <c r="N1559" s="54">
        <v>0</v>
      </c>
      <c r="O1559" s="76">
        <v>0</v>
      </c>
      <c r="P1559" s="53">
        <v>8</v>
      </c>
      <c r="Q1559" s="70">
        <v>0</v>
      </c>
      <c r="R1559" s="53">
        <v>0</v>
      </c>
      <c r="S1559" s="53">
        <v>0</v>
      </c>
      <c r="T1559" s="76">
        <f>STOCK[[#This Row],[Costo Unitario (USD)]]+STOCK[[#This Row],[Costo Envío (USD)]]+STOCK[[#This Row],[Comisión 10%]]</f>
        <v>10.2</v>
      </c>
      <c r="U1559" s="53">
        <f>STOCK[[#This Row],[Costo total]]*1.5</f>
        <v>15.3</v>
      </c>
      <c r="V1559" s="53">
        <v>22</v>
      </c>
      <c r="W1559" s="76">
        <f>STOCK[[#This Row],[Precio Final]]-STOCK[[#This Row],[Costo total]]</f>
        <v>11.8</v>
      </c>
      <c r="X1559" s="76">
        <f>STOCK[[#This Row],[Ganancia Unitaria]]*STOCK[[#This Row],[Salidas]]</f>
        <v>0</v>
      </c>
      <c r="Y1559" s="76"/>
      <c r="Z1559" s="76"/>
      <c r="AA1559" s="54">
        <f>STOCK[[#This Row],[Costo total]]*STOCK[[#This Row],[Entradas]]</f>
        <v>10.2</v>
      </c>
      <c r="AB1559" s="54">
        <f>STOCK[[#This Row],[Stock Actual]]*STOCK[[#This Row],[Costo total]]</f>
        <v>10.2</v>
      </c>
      <c r="AC1559" s="76"/>
      <c r="AD1559" s="82"/>
    </row>
    <row r="1560" s="53" customFormat="1" ht="50" customHeight="1" spans="1:30">
      <c r="A1560" s="53" t="s">
        <v>3096</v>
      </c>
      <c r="B1560" s="70" t="str">
        <f>_xlfn.DISPIMG("ID_07AD7DA15D69462BADBED3B2588A0DA3",1)</f>
        <v>=DISPIMG("ID_07AD7DA15D69462BADBED3B2588A0DA3",1)</v>
      </c>
      <c r="C1560" s="53" t="s">
        <v>32</v>
      </c>
      <c r="D1560" s="53" t="s">
        <v>780</v>
      </c>
      <c r="E1560" s="53" t="s">
        <v>3097</v>
      </c>
      <c r="F1560" s="53" t="s">
        <v>49</v>
      </c>
      <c r="H1560" s="76">
        <f>STOCK[[#This Row],[Precio Final]]</f>
        <v>22</v>
      </c>
      <c r="I1560" s="80">
        <f>STOCK[[#This Row],[Precio Venta Ideal (x1.5)]]</f>
        <v>15.3</v>
      </c>
      <c r="J1560" s="70">
        <v>1</v>
      </c>
      <c r="K1560" s="78">
        <f>SUMIFS(VENTAS[Cantidad],VENTAS[Código del producto Vendido],STOCK[[#This Row],[Code]])</f>
        <v>0</v>
      </c>
      <c r="L1560" s="78">
        <f>STOCK[[#This Row],[Entradas]]-STOCK[[#This Row],[Salidas]]</f>
        <v>1</v>
      </c>
      <c r="M1560" s="76">
        <f>STOCK[[#This Row],[Precio Final]]*10%</f>
        <v>2.2</v>
      </c>
      <c r="N1560" s="53">
        <v>0</v>
      </c>
      <c r="O1560" s="76">
        <v>0</v>
      </c>
      <c r="P1560" s="53">
        <v>8</v>
      </c>
      <c r="Q1560" s="70">
        <v>0</v>
      </c>
      <c r="R1560" s="53">
        <v>0</v>
      </c>
      <c r="S1560" s="53">
        <v>0</v>
      </c>
      <c r="T1560" s="76">
        <f>STOCK[[#This Row],[Costo Unitario (USD)]]+STOCK[[#This Row],[Costo Envío (USD)]]+STOCK[[#This Row],[Comisión 10%]]</f>
        <v>10.2</v>
      </c>
      <c r="U1560" s="53">
        <f>STOCK[[#This Row],[Costo total]]*1.5</f>
        <v>15.3</v>
      </c>
      <c r="V1560" s="53">
        <v>22</v>
      </c>
      <c r="W1560" s="76">
        <f>STOCK[[#This Row],[Precio Final]]-STOCK[[#This Row],[Costo total]]</f>
        <v>11.8</v>
      </c>
      <c r="X1560" s="76">
        <f>STOCK[[#This Row],[Ganancia Unitaria]]*STOCK[[#This Row],[Salidas]]</f>
        <v>0</v>
      </c>
      <c r="Y1560" s="76"/>
      <c r="Z1560" s="76"/>
      <c r="AA1560" s="54">
        <f>STOCK[[#This Row],[Costo total]]*STOCK[[#This Row],[Entradas]]</f>
        <v>10.2</v>
      </c>
      <c r="AB1560" s="54">
        <f>STOCK[[#This Row],[Stock Actual]]*STOCK[[#This Row],[Costo total]]</f>
        <v>10.2</v>
      </c>
      <c r="AC1560" s="76"/>
      <c r="AD1560" s="82"/>
    </row>
    <row r="1561" s="53" customFormat="1" ht="50" customHeight="1" spans="1:30">
      <c r="A1561" s="53" t="s">
        <v>3098</v>
      </c>
      <c r="C1561" s="53" t="s">
        <v>32</v>
      </c>
      <c r="D1561" s="53" t="s">
        <v>780</v>
      </c>
      <c r="E1561" s="53" t="s">
        <v>3099</v>
      </c>
      <c r="F1561" s="53" t="s">
        <v>62</v>
      </c>
      <c r="H1561" s="76">
        <f>STOCK[[#This Row],[Precio Final]]</f>
        <v>15</v>
      </c>
      <c r="I1561" s="80">
        <f>STOCK[[#This Row],[Precio Venta Ideal (x1.5)]]</f>
        <v>14.25</v>
      </c>
      <c r="J1561" s="70">
        <v>1</v>
      </c>
      <c r="K1561" s="78">
        <f>SUMIFS(VENTAS[Cantidad],VENTAS[Código del producto Vendido],STOCK[[#This Row],[Code]])</f>
        <v>1</v>
      </c>
      <c r="L1561" s="78">
        <f>STOCK[[#This Row],[Entradas]]-STOCK[[#This Row],[Salidas]]</f>
        <v>0</v>
      </c>
      <c r="M1561" s="76">
        <f>STOCK[[#This Row],[Precio Final]]*10%</f>
        <v>1.5</v>
      </c>
      <c r="N1561" s="53">
        <v>0</v>
      </c>
      <c r="O1561" s="76">
        <v>0</v>
      </c>
      <c r="P1561" s="53">
        <v>8</v>
      </c>
      <c r="Q1561" s="70">
        <v>0</v>
      </c>
      <c r="R1561" s="54">
        <v>0</v>
      </c>
      <c r="S1561" s="54">
        <v>0</v>
      </c>
      <c r="T1561" s="76">
        <f>STOCK[[#This Row],[Costo Unitario (USD)]]+STOCK[[#This Row],[Costo Envío (USD)]]+STOCK[[#This Row],[Comisión 10%]]</f>
        <v>9.5</v>
      </c>
      <c r="U1561" s="53">
        <f>STOCK[[#This Row],[Costo total]]*1.5</f>
        <v>14.25</v>
      </c>
      <c r="V1561" s="53">
        <v>15</v>
      </c>
      <c r="W1561" s="76">
        <f>STOCK[[#This Row],[Precio Final]]-STOCK[[#This Row],[Costo total]]</f>
        <v>5.5</v>
      </c>
      <c r="X1561" s="76">
        <f>STOCK[[#This Row],[Ganancia Unitaria]]*STOCK[[#This Row],[Salidas]]</f>
        <v>5.5</v>
      </c>
      <c r="Y1561" s="76"/>
      <c r="Z1561" s="76"/>
      <c r="AA1561" s="54">
        <f>STOCK[[#This Row],[Costo total]]*STOCK[[#This Row],[Entradas]]</f>
        <v>9.5</v>
      </c>
      <c r="AB1561" s="54">
        <f>STOCK[[#This Row],[Stock Actual]]*STOCK[[#This Row],[Costo total]]</f>
        <v>0</v>
      </c>
      <c r="AC1561" s="76"/>
      <c r="AD1561" s="82"/>
    </row>
    <row r="1562" s="53" customFormat="1" ht="50" customHeight="1" spans="1:30">
      <c r="A1562" s="53" t="s">
        <v>3100</v>
      </c>
      <c r="C1562" s="53" t="s">
        <v>32</v>
      </c>
      <c r="D1562" s="53" t="s">
        <v>3101</v>
      </c>
      <c r="E1562" s="53" t="s">
        <v>3102</v>
      </c>
      <c r="F1562" s="53" t="s">
        <v>49</v>
      </c>
      <c r="H1562" s="76">
        <f>STOCK[[#This Row],[Precio Final]]</f>
        <v>12</v>
      </c>
      <c r="I1562" s="80">
        <f>STOCK[[#This Row],[Precio Venta Ideal (x1.5)]]</f>
        <v>13.8</v>
      </c>
      <c r="J1562" s="70">
        <v>3</v>
      </c>
      <c r="K1562" s="78">
        <f>SUMIFS(VENTAS[Cantidad],VENTAS[Código del producto Vendido],STOCK[[#This Row],[Code]])</f>
        <v>0</v>
      </c>
      <c r="L1562" s="78">
        <f>STOCK[[#This Row],[Entradas]]-STOCK[[#This Row],[Salidas]]</f>
        <v>3</v>
      </c>
      <c r="M1562" s="76">
        <f>STOCK[[#This Row],[Precio Final]]*10%</f>
        <v>1.2</v>
      </c>
      <c r="N1562" s="54">
        <v>0</v>
      </c>
      <c r="O1562" s="76">
        <v>0</v>
      </c>
      <c r="P1562" s="53">
        <v>8</v>
      </c>
      <c r="Q1562" s="71">
        <v>0</v>
      </c>
      <c r="R1562" s="53">
        <v>0</v>
      </c>
      <c r="S1562" s="54">
        <v>0</v>
      </c>
      <c r="T1562" s="76">
        <f>STOCK[[#This Row],[Costo Unitario (USD)]]+STOCK[[#This Row],[Costo Envío (USD)]]+STOCK[[#This Row],[Comisión 10%]]</f>
        <v>9.2</v>
      </c>
      <c r="U1562" s="53">
        <f>STOCK[[#This Row],[Costo total]]*1.5</f>
        <v>13.8</v>
      </c>
      <c r="V1562" s="53">
        <v>12</v>
      </c>
      <c r="W1562" s="76">
        <f>STOCK[[#This Row],[Precio Final]]-STOCK[[#This Row],[Costo total]]</f>
        <v>2.8</v>
      </c>
      <c r="X1562" s="76">
        <f>STOCK[[#This Row],[Ganancia Unitaria]]*STOCK[[#This Row],[Salidas]]</f>
        <v>0</v>
      </c>
      <c r="Y1562" s="76"/>
      <c r="Z1562" s="76"/>
      <c r="AA1562" s="54">
        <f>STOCK[[#This Row],[Costo total]]*STOCK[[#This Row],[Entradas]]</f>
        <v>27.6</v>
      </c>
      <c r="AB1562" s="54">
        <f>STOCK[[#This Row],[Stock Actual]]*STOCK[[#This Row],[Costo total]]</f>
        <v>27.6</v>
      </c>
      <c r="AC1562" s="76"/>
      <c r="AD1562" s="82"/>
    </row>
    <row r="1563" s="53" customFormat="1" ht="50" customHeight="1" spans="1:30">
      <c r="A1563" s="53" t="s">
        <v>3103</v>
      </c>
      <c r="C1563" s="53" t="s">
        <v>32</v>
      </c>
      <c r="D1563" s="53" t="s">
        <v>3101</v>
      </c>
      <c r="E1563" s="53" t="s">
        <v>3104</v>
      </c>
      <c r="F1563" s="53" t="s">
        <v>62</v>
      </c>
      <c r="H1563" s="76">
        <f>STOCK[[#This Row],[Precio Final]]</f>
        <v>12</v>
      </c>
      <c r="I1563" s="80">
        <f>STOCK[[#This Row],[Precio Venta Ideal (x1.5)]]</f>
        <v>13.8</v>
      </c>
      <c r="J1563" s="70">
        <v>0</v>
      </c>
      <c r="K1563" s="78">
        <f>SUMIFS(VENTAS[Cantidad],VENTAS[Código del producto Vendido],STOCK[[#This Row],[Code]])</f>
        <v>0</v>
      </c>
      <c r="L1563" s="78">
        <f>STOCK[[#This Row],[Entradas]]-STOCK[[#This Row],[Salidas]]</f>
        <v>0</v>
      </c>
      <c r="M1563" s="76">
        <f>STOCK[[#This Row],[Precio Final]]*10%</f>
        <v>1.2</v>
      </c>
      <c r="N1563" s="54">
        <v>0</v>
      </c>
      <c r="O1563" s="76">
        <v>0</v>
      </c>
      <c r="P1563" s="53">
        <v>8</v>
      </c>
      <c r="Q1563" s="70">
        <v>0</v>
      </c>
      <c r="R1563" s="54">
        <v>0</v>
      </c>
      <c r="S1563" s="53">
        <v>0</v>
      </c>
      <c r="T1563" s="76">
        <f>STOCK[[#This Row],[Costo Unitario (USD)]]+STOCK[[#This Row],[Costo Envío (USD)]]+STOCK[[#This Row],[Comisión 10%]]</f>
        <v>9.2</v>
      </c>
      <c r="U1563" s="53">
        <f>STOCK[[#This Row],[Costo total]]*1.5</f>
        <v>13.8</v>
      </c>
      <c r="V1563" s="53">
        <v>12</v>
      </c>
      <c r="W1563" s="76">
        <f>STOCK[[#This Row],[Precio Final]]-STOCK[[#This Row],[Costo total]]</f>
        <v>2.8</v>
      </c>
      <c r="X1563" s="76">
        <f>STOCK[[#This Row],[Ganancia Unitaria]]*STOCK[[#This Row],[Salidas]]</f>
        <v>0</v>
      </c>
      <c r="Y1563" s="76"/>
      <c r="Z1563" s="76"/>
      <c r="AA1563" s="54">
        <f>STOCK[[#This Row],[Costo total]]*STOCK[[#This Row],[Entradas]]</f>
        <v>0</v>
      </c>
      <c r="AB1563" s="54">
        <f>STOCK[[#This Row],[Stock Actual]]*STOCK[[#This Row],[Costo total]]</f>
        <v>0</v>
      </c>
      <c r="AC1563" s="76"/>
      <c r="AD1563" s="82"/>
    </row>
    <row r="1564" s="53" customFormat="1" ht="50" customHeight="1" spans="1:30">
      <c r="A1564" s="53" t="s">
        <v>3105</v>
      </c>
      <c r="C1564" s="53" t="s">
        <v>32</v>
      </c>
      <c r="D1564" s="53" t="s">
        <v>780</v>
      </c>
      <c r="E1564" s="53" t="s">
        <v>3106</v>
      </c>
      <c r="F1564" s="53" t="s">
        <v>42</v>
      </c>
      <c r="H1564" s="76">
        <f>STOCK[[#This Row],[Precio Final]]</f>
        <v>15</v>
      </c>
      <c r="I1564" s="80">
        <f>STOCK[[#This Row],[Precio Venta Ideal (x1.5)]]</f>
        <v>14.25</v>
      </c>
      <c r="J1564" s="70">
        <v>1</v>
      </c>
      <c r="K1564" s="78">
        <f>SUMIFS(VENTAS[Cantidad],VENTAS[Código del producto Vendido],STOCK[[#This Row],[Code]])</f>
        <v>1</v>
      </c>
      <c r="L1564" s="78">
        <f>STOCK[[#This Row],[Entradas]]-STOCK[[#This Row],[Salidas]]</f>
        <v>0</v>
      </c>
      <c r="M1564" s="76">
        <f>STOCK[[#This Row],[Precio Final]]*10%</f>
        <v>1.5</v>
      </c>
      <c r="N1564" s="53">
        <v>0</v>
      </c>
      <c r="O1564" s="76">
        <v>0</v>
      </c>
      <c r="P1564" s="53">
        <v>8</v>
      </c>
      <c r="Q1564" s="70">
        <v>0</v>
      </c>
      <c r="R1564" s="53">
        <v>0</v>
      </c>
      <c r="S1564" s="54">
        <v>0</v>
      </c>
      <c r="T1564" s="76">
        <f>STOCK[[#This Row],[Costo Unitario (USD)]]+STOCK[[#This Row],[Costo Envío (USD)]]+STOCK[[#This Row],[Comisión 10%]]</f>
        <v>9.5</v>
      </c>
      <c r="U1564" s="53">
        <f>STOCK[[#This Row],[Costo total]]*1.5</f>
        <v>14.25</v>
      </c>
      <c r="V1564" s="53">
        <v>15</v>
      </c>
      <c r="W1564" s="76">
        <f>STOCK[[#This Row],[Precio Final]]-STOCK[[#This Row],[Costo total]]</f>
        <v>5.5</v>
      </c>
      <c r="X1564" s="76">
        <f>STOCK[[#This Row],[Ganancia Unitaria]]*STOCK[[#This Row],[Salidas]]</f>
        <v>5.5</v>
      </c>
      <c r="Y1564" s="76"/>
      <c r="Z1564" s="76"/>
      <c r="AA1564" s="54">
        <f>STOCK[[#This Row],[Costo total]]*STOCK[[#This Row],[Entradas]]</f>
        <v>9.5</v>
      </c>
      <c r="AB1564" s="54">
        <f>STOCK[[#This Row],[Stock Actual]]*STOCK[[#This Row],[Costo total]]</f>
        <v>0</v>
      </c>
      <c r="AC1564" s="76"/>
      <c r="AD1564" s="82"/>
    </row>
    <row r="1565" s="53" customFormat="1" ht="50" customHeight="1" spans="1:30">
      <c r="A1565" s="53" t="s">
        <v>3107</v>
      </c>
      <c r="C1565" s="53" t="s">
        <v>32</v>
      </c>
      <c r="D1565" s="53" t="s">
        <v>780</v>
      </c>
      <c r="E1565" s="53" t="s">
        <v>3108</v>
      </c>
      <c r="F1565" s="53" t="s">
        <v>62</v>
      </c>
      <c r="H1565" s="76">
        <f>STOCK[[#This Row],[Precio Final]]</f>
        <v>15</v>
      </c>
      <c r="I1565" s="80">
        <f>STOCK[[#This Row],[Precio Venta Ideal (x1.5)]]</f>
        <v>14.25</v>
      </c>
      <c r="J1565" s="70">
        <v>1</v>
      </c>
      <c r="K1565" s="78">
        <f>SUMIFS(VENTAS[Cantidad],VENTAS[Código del producto Vendido],STOCK[[#This Row],[Code]])</f>
        <v>0</v>
      </c>
      <c r="L1565" s="78">
        <f>STOCK[[#This Row],[Entradas]]-STOCK[[#This Row],[Salidas]]</f>
        <v>1</v>
      </c>
      <c r="M1565" s="76">
        <f>STOCK[[#This Row],[Precio Final]]*10%</f>
        <v>1.5</v>
      </c>
      <c r="N1565" s="54">
        <v>0</v>
      </c>
      <c r="O1565" s="76">
        <v>0</v>
      </c>
      <c r="P1565" s="53">
        <v>8</v>
      </c>
      <c r="Q1565" s="71">
        <v>0</v>
      </c>
      <c r="R1565" s="54">
        <v>0</v>
      </c>
      <c r="S1565" s="54">
        <v>0</v>
      </c>
      <c r="T1565" s="76">
        <f>STOCK[[#This Row],[Costo Unitario (USD)]]+STOCK[[#This Row],[Costo Envío (USD)]]+STOCK[[#This Row],[Comisión 10%]]</f>
        <v>9.5</v>
      </c>
      <c r="U1565" s="53">
        <f>STOCK[[#This Row],[Costo total]]*1.5</f>
        <v>14.25</v>
      </c>
      <c r="V1565" s="53">
        <v>15</v>
      </c>
      <c r="W1565" s="76">
        <f>STOCK[[#This Row],[Precio Final]]-STOCK[[#This Row],[Costo total]]</f>
        <v>5.5</v>
      </c>
      <c r="X1565" s="76">
        <f>STOCK[[#This Row],[Ganancia Unitaria]]*STOCK[[#This Row],[Salidas]]</f>
        <v>0</v>
      </c>
      <c r="Y1565" s="76"/>
      <c r="Z1565" s="76"/>
      <c r="AA1565" s="54">
        <f>STOCK[[#This Row],[Costo total]]*STOCK[[#This Row],[Entradas]]</f>
        <v>9.5</v>
      </c>
      <c r="AB1565" s="54">
        <f>STOCK[[#This Row],[Stock Actual]]*STOCK[[#This Row],[Costo total]]</f>
        <v>9.5</v>
      </c>
      <c r="AC1565" s="76"/>
      <c r="AD1565" s="82"/>
    </row>
    <row r="1566" s="53" customFormat="1" ht="50" customHeight="1" spans="1:30">
      <c r="A1566" s="53" t="s">
        <v>3109</v>
      </c>
      <c r="C1566" s="53" t="s">
        <v>32</v>
      </c>
      <c r="D1566" s="53" t="s">
        <v>780</v>
      </c>
      <c r="E1566" s="53" t="s">
        <v>3110</v>
      </c>
      <c r="F1566" s="53" t="s">
        <v>49</v>
      </c>
      <c r="H1566" s="76">
        <f>STOCK[[#This Row],[Precio Final]]</f>
        <v>15</v>
      </c>
      <c r="I1566" s="80">
        <f>STOCK[[#This Row],[Precio Venta Ideal (x1.5)]]</f>
        <v>14.25</v>
      </c>
      <c r="J1566" s="70">
        <v>1</v>
      </c>
      <c r="K1566" s="78">
        <f>SUMIFS(VENTAS[Cantidad],VENTAS[Código del producto Vendido],STOCK[[#This Row],[Code]])</f>
        <v>0</v>
      </c>
      <c r="L1566" s="78">
        <f>STOCK[[#This Row],[Entradas]]-STOCK[[#This Row],[Salidas]]</f>
        <v>1</v>
      </c>
      <c r="M1566" s="76">
        <f>STOCK[[#This Row],[Precio Final]]*10%</f>
        <v>1.5</v>
      </c>
      <c r="N1566" s="53">
        <v>0</v>
      </c>
      <c r="O1566" s="76">
        <v>0</v>
      </c>
      <c r="P1566" s="53">
        <v>8</v>
      </c>
      <c r="Q1566" s="70">
        <v>0</v>
      </c>
      <c r="R1566" s="53">
        <v>0</v>
      </c>
      <c r="S1566" s="53">
        <v>0</v>
      </c>
      <c r="T1566" s="76">
        <f>STOCK[[#This Row],[Costo Unitario (USD)]]+STOCK[[#This Row],[Costo Envío (USD)]]+STOCK[[#This Row],[Comisión 10%]]</f>
        <v>9.5</v>
      </c>
      <c r="U1566" s="53">
        <f>STOCK[[#This Row],[Costo total]]*1.5</f>
        <v>14.25</v>
      </c>
      <c r="V1566" s="53">
        <v>15</v>
      </c>
      <c r="W1566" s="76">
        <f>STOCK[[#This Row],[Precio Final]]-STOCK[[#This Row],[Costo total]]</f>
        <v>5.5</v>
      </c>
      <c r="X1566" s="76">
        <f>STOCK[[#This Row],[Ganancia Unitaria]]*STOCK[[#This Row],[Salidas]]</f>
        <v>0</v>
      </c>
      <c r="Y1566" s="76"/>
      <c r="Z1566" s="76"/>
      <c r="AA1566" s="54">
        <f>STOCK[[#This Row],[Costo total]]*STOCK[[#This Row],[Entradas]]</f>
        <v>9.5</v>
      </c>
      <c r="AB1566" s="54">
        <f>STOCK[[#This Row],[Stock Actual]]*STOCK[[#This Row],[Costo total]]</f>
        <v>9.5</v>
      </c>
      <c r="AC1566" s="76"/>
      <c r="AD1566" s="82"/>
    </row>
    <row r="1567" s="53" customFormat="1" ht="50" customHeight="1" spans="1:30">
      <c r="A1567" s="53" t="s">
        <v>3111</v>
      </c>
      <c r="C1567" s="53" t="s">
        <v>32</v>
      </c>
      <c r="D1567" s="53" t="s">
        <v>780</v>
      </c>
      <c r="E1567" s="53" t="s">
        <v>3112</v>
      </c>
      <c r="F1567" s="53" t="s">
        <v>46</v>
      </c>
      <c r="H1567" s="76">
        <f>STOCK[[#This Row],[Precio Final]]</f>
        <v>15</v>
      </c>
      <c r="I1567" s="80">
        <f>STOCK[[#This Row],[Precio Venta Ideal (x1.5)]]</f>
        <v>14.25</v>
      </c>
      <c r="J1567" s="70">
        <v>2</v>
      </c>
      <c r="K1567" s="78">
        <f>SUMIFS(VENTAS[Cantidad],VENTAS[Código del producto Vendido],STOCK[[#This Row],[Code]])</f>
        <v>2</v>
      </c>
      <c r="L1567" s="78">
        <f>STOCK[[#This Row],[Entradas]]-STOCK[[#This Row],[Salidas]]</f>
        <v>0</v>
      </c>
      <c r="M1567" s="76">
        <f>STOCK[[#This Row],[Precio Final]]*10%</f>
        <v>1.5</v>
      </c>
      <c r="N1567" s="54">
        <v>0</v>
      </c>
      <c r="O1567" s="76">
        <v>0</v>
      </c>
      <c r="P1567" s="53">
        <v>8</v>
      </c>
      <c r="Q1567" s="70">
        <v>0</v>
      </c>
      <c r="R1567" s="54">
        <v>0</v>
      </c>
      <c r="S1567" s="54">
        <v>0</v>
      </c>
      <c r="T1567" s="76">
        <f>STOCK[[#This Row],[Costo Unitario (USD)]]+STOCK[[#This Row],[Costo Envío (USD)]]+STOCK[[#This Row],[Comisión 10%]]</f>
        <v>9.5</v>
      </c>
      <c r="U1567" s="53">
        <f>STOCK[[#This Row],[Costo total]]*1.5</f>
        <v>14.25</v>
      </c>
      <c r="V1567" s="53">
        <v>15</v>
      </c>
      <c r="W1567" s="76">
        <f>STOCK[[#This Row],[Precio Final]]-STOCK[[#This Row],[Costo total]]</f>
        <v>5.5</v>
      </c>
      <c r="X1567" s="76">
        <f>STOCK[[#This Row],[Ganancia Unitaria]]*STOCK[[#This Row],[Salidas]]</f>
        <v>11</v>
      </c>
      <c r="Y1567" s="76"/>
      <c r="Z1567" s="76"/>
      <c r="AA1567" s="54">
        <f>STOCK[[#This Row],[Costo total]]*STOCK[[#This Row],[Entradas]]</f>
        <v>19</v>
      </c>
      <c r="AB1567" s="54">
        <f>STOCK[[#This Row],[Stock Actual]]*STOCK[[#This Row],[Costo total]]</f>
        <v>0</v>
      </c>
      <c r="AC1567" s="76"/>
      <c r="AD1567" s="82"/>
    </row>
    <row r="1568" s="53" customFormat="1" ht="50" customHeight="1" spans="1:30">
      <c r="A1568" s="53" t="s">
        <v>3113</v>
      </c>
      <c r="C1568" s="53" t="s">
        <v>32</v>
      </c>
      <c r="D1568" s="53" t="s">
        <v>780</v>
      </c>
      <c r="E1568" s="53" t="s">
        <v>3114</v>
      </c>
      <c r="F1568" s="53" t="s">
        <v>49</v>
      </c>
      <c r="H1568" s="76">
        <f>STOCK[[#This Row],[Precio Final]]</f>
        <v>15</v>
      </c>
      <c r="I1568" s="80">
        <f>STOCK[[#This Row],[Precio Venta Ideal (x1.5)]]</f>
        <v>14.25</v>
      </c>
      <c r="J1568" s="70">
        <v>1</v>
      </c>
      <c r="K1568" s="78">
        <f>SUMIFS(VENTAS[Cantidad],VENTAS[Código del producto Vendido],STOCK[[#This Row],[Code]])</f>
        <v>0</v>
      </c>
      <c r="L1568" s="78">
        <f>STOCK[[#This Row],[Entradas]]-STOCK[[#This Row],[Salidas]]</f>
        <v>1</v>
      </c>
      <c r="M1568" s="76">
        <f>STOCK[[#This Row],[Precio Final]]*10%</f>
        <v>1.5</v>
      </c>
      <c r="N1568" s="54">
        <v>0</v>
      </c>
      <c r="O1568" s="76">
        <v>0</v>
      </c>
      <c r="P1568" s="53">
        <v>8</v>
      </c>
      <c r="Q1568" s="71">
        <v>0</v>
      </c>
      <c r="R1568" s="53">
        <v>0</v>
      </c>
      <c r="S1568" s="54">
        <v>0</v>
      </c>
      <c r="T1568" s="76">
        <f>STOCK[[#This Row],[Costo Unitario (USD)]]+STOCK[[#This Row],[Costo Envío (USD)]]+STOCK[[#This Row],[Comisión 10%]]</f>
        <v>9.5</v>
      </c>
      <c r="U1568" s="53">
        <f>STOCK[[#This Row],[Costo total]]*1.5</f>
        <v>14.25</v>
      </c>
      <c r="V1568" s="53">
        <v>15</v>
      </c>
      <c r="W1568" s="76">
        <f>STOCK[[#This Row],[Precio Final]]-STOCK[[#This Row],[Costo total]]</f>
        <v>5.5</v>
      </c>
      <c r="X1568" s="76">
        <f>STOCK[[#This Row],[Ganancia Unitaria]]*STOCK[[#This Row],[Salidas]]</f>
        <v>0</v>
      </c>
      <c r="Y1568" s="76"/>
      <c r="Z1568" s="76"/>
      <c r="AA1568" s="54">
        <f>STOCK[[#This Row],[Costo total]]*STOCK[[#This Row],[Entradas]]</f>
        <v>9.5</v>
      </c>
      <c r="AB1568" s="54">
        <f>STOCK[[#This Row],[Stock Actual]]*STOCK[[#This Row],[Costo total]]</f>
        <v>9.5</v>
      </c>
      <c r="AC1568" s="76"/>
      <c r="AD1568" s="82"/>
    </row>
    <row r="1569" s="53" customFormat="1" ht="50" customHeight="1" spans="1:30">
      <c r="A1569" s="53" t="s">
        <v>3115</v>
      </c>
      <c r="C1569" s="53" t="s">
        <v>32</v>
      </c>
      <c r="D1569" s="53" t="s">
        <v>780</v>
      </c>
      <c r="E1569" s="53" t="s">
        <v>3116</v>
      </c>
      <c r="F1569" s="53" t="s">
        <v>62</v>
      </c>
      <c r="H1569" s="76">
        <f>STOCK[[#This Row],[Precio Final]]</f>
        <v>15</v>
      </c>
      <c r="I1569" s="80">
        <f>STOCK[[#This Row],[Precio Venta Ideal (x1.5)]]</f>
        <v>14.25</v>
      </c>
      <c r="J1569" s="70">
        <v>1</v>
      </c>
      <c r="K1569" s="78">
        <f>SUMIFS(VENTAS[Cantidad],VENTAS[Código del producto Vendido],STOCK[[#This Row],[Code]])</f>
        <v>0</v>
      </c>
      <c r="L1569" s="78">
        <f>STOCK[[#This Row],[Entradas]]-STOCK[[#This Row],[Salidas]]</f>
        <v>1</v>
      </c>
      <c r="M1569" s="76">
        <f>STOCK[[#This Row],[Precio Final]]*10%</f>
        <v>1.5</v>
      </c>
      <c r="N1569" s="53">
        <v>0</v>
      </c>
      <c r="O1569" s="76">
        <v>0</v>
      </c>
      <c r="P1569" s="53">
        <v>8</v>
      </c>
      <c r="Q1569" s="70">
        <v>0</v>
      </c>
      <c r="R1569" s="54">
        <v>0</v>
      </c>
      <c r="S1569" s="53">
        <v>0</v>
      </c>
      <c r="T1569" s="76">
        <f>STOCK[[#This Row],[Costo Unitario (USD)]]+STOCK[[#This Row],[Costo Envío (USD)]]+STOCK[[#This Row],[Comisión 10%]]</f>
        <v>9.5</v>
      </c>
      <c r="U1569" s="53">
        <f>STOCK[[#This Row],[Costo total]]*1.5</f>
        <v>14.25</v>
      </c>
      <c r="V1569" s="53">
        <v>15</v>
      </c>
      <c r="W1569" s="76">
        <f>STOCK[[#This Row],[Precio Final]]-STOCK[[#This Row],[Costo total]]</f>
        <v>5.5</v>
      </c>
      <c r="X1569" s="76">
        <f>STOCK[[#This Row],[Ganancia Unitaria]]*STOCK[[#This Row],[Salidas]]</f>
        <v>0</v>
      </c>
      <c r="Y1569" s="76"/>
      <c r="Z1569" s="76"/>
      <c r="AA1569" s="54">
        <f>STOCK[[#This Row],[Costo total]]*STOCK[[#This Row],[Entradas]]</f>
        <v>9.5</v>
      </c>
      <c r="AB1569" s="54">
        <f>STOCK[[#This Row],[Stock Actual]]*STOCK[[#This Row],[Costo total]]</f>
        <v>9.5</v>
      </c>
      <c r="AC1569" s="76"/>
      <c r="AD1569" s="82"/>
    </row>
    <row r="1570" s="53" customFormat="1" ht="50" customHeight="1" spans="1:30">
      <c r="A1570" s="53" t="s">
        <v>3117</v>
      </c>
      <c r="C1570" s="53" t="s">
        <v>32</v>
      </c>
      <c r="D1570" s="53" t="s">
        <v>780</v>
      </c>
      <c r="E1570" s="53" t="s">
        <v>3116</v>
      </c>
      <c r="F1570" s="53" t="s">
        <v>49</v>
      </c>
      <c r="H1570" s="76">
        <f>STOCK[[#This Row],[Precio Final]]</f>
        <v>15</v>
      </c>
      <c r="I1570" s="80">
        <f>STOCK[[#This Row],[Precio Venta Ideal (x1.5)]]</f>
        <v>14.25</v>
      </c>
      <c r="J1570" s="70">
        <v>1</v>
      </c>
      <c r="K1570" s="78">
        <f>SUMIFS(VENTAS[Cantidad],VENTAS[Código del producto Vendido],STOCK[[#This Row],[Code]])</f>
        <v>1</v>
      </c>
      <c r="L1570" s="78">
        <f>STOCK[[#This Row],[Entradas]]-STOCK[[#This Row],[Salidas]]</f>
        <v>0</v>
      </c>
      <c r="M1570" s="76">
        <f>STOCK[[#This Row],[Precio Final]]*10%</f>
        <v>1.5</v>
      </c>
      <c r="N1570" s="54">
        <v>0</v>
      </c>
      <c r="O1570" s="76">
        <v>0</v>
      </c>
      <c r="P1570" s="53">
        <v>8</v>
      </c>
      <c r="Q1570" s="70">
        <v>0</v>
      </c>
      <c r="R1570" s="53">
        <v>0</v>
      </c>
      <c r="S1570" s="54">
        <v>0</v>
      </c>
      <c r="T1570" s="76">
        <f>STOCK[[#This Row],[Costo Unitario (USD)]]+STOCK[[#This Row],[Costo Envío (USD)]]+STOCK[[#This Row],[Comisión 10%]]</f>
        <v>9.5</v>
      </c>
      <c r="U1570" s="53">
        <f>STOCK[[#This Row],[Costo total]]*1.5</f>
        <v>14.25</v>
      </c>
      <c r="V1570" s="53">
        <v>15</v>
      </c>
      <c r="W1570" s="76">
        <f>STOCK[[#This Row],[Precio Final]]-STOCK[[#This Row],[Costo total]]</f>
        <v>5.5</v>
      </c>
      <c r="X1570" s="76">
        <f>STOCK[[#This Row],[Ganancia Unitaria]]*STOCK[[#This Row],[Salidas]]</f>
        <v>5.5</v>
      </c>
      <c r="Y1570" s="76"/>
      <c r="Z1570" s="76"/>
      <c r="AA1570" s="54">
        <f>STOCK[[#This Row],[Costo total]]*STOCK[[#This Row],[Entradas]]</f>
        <v>9.5</v>
      </c>
      <c r="AB1570" s="54">
        <f>STOCK[[#This Row],[Stock Actual]]*STOCK[[#This Row],[Costo total]]</f>
        <v>0</v>
      </c>
      <c r="AC1570" s="76"/>
      <c r="AD1570" s="82"/>
    </row>
    <row r="1571" s="53" customFormat="1" ht="50" customHeight="1" spans="1:30">
      <c r="A1571" s="53" t="s">
        <v>3118</v>
      </c>
      <c r="B1571" s="53" t="s">
        <v>1345</v>
      </c>
      <c r="C1571" s="53" t="s">
        <v>32</v>
      </c>
      <c r="D1571" s="53" t="s">
        <v>780</v>
      </c>
      <c r="E1571" s="53" t="s">
        <v>3119</v>
      </c>
      <c r="F1571" s="53" t="s">
        <v>46</v>
      </c>
      <c r="H1571" s="76">
        <f>STOCK[[#This Row],[Precio Final]]</f>
        <v>15</v>
      </c>
      <c r="I1571" s="80">
        <f>STOCK[[#This Row],[Precio Venta Ideal (x1.5)]]</f>
        <v>14.25</v>
      </c>
      <c r="J1571" s="70">
        <v>1</v>
      </c>
      <c r="K1571" s="78">
        <f>SUMIFS(VENTAS[Cantidad],VENTAS[Código del producto Vendido],STOCK[[#This Row],[Code]])</f>
        <v>0</v>
      </c>
      <c r="L1571" s="78">
        <f>STOCK[[#This Row],[Entradas]]-STOCK[[#This Row],[Salidas]]</f>
        <v>1</v>
      </c>
      <c r="M1571" s="76">
        <f>STOCK[[#This Row],[Precio Final]]*10%</f>
        <v>1.5</v>
      </c>
      <c r="N1571" s="53">
        <v>0</v>
      </c>
      <c r="O1571" s="76">
        <v>0</v>
      </c>
      <c r="P1571" s="53">
        <v>8</v>
      </c>
      <c r="Q1571" s="71">
        <v>0</v>
      </c>
      <c r="R1571" s="54">
        <v>0</v>
      </c>
      <c r="S1571" s="54">
        <v>0</v>
      </c>
      <c r="T1571" s="76">
        <f>STOCK[[#This Row],[Costo Unitario (USD)]]+STOCK[[#This Row],[Costo Envío (USD)]]+STOCK[[#This Row],[Comisión 10%]]</f>
        <v>9.5</v>
      </c>
      <c r="U1571" s="53">
        <f>STOCK[[#This Row],[Costo total]]*1.5</f>
        <v>14.25</v>
      </c>
      <c r="V1571" s="53">
        <v>15</v>
      </c>
      <c r="W1571" s="76">
        <f>STOCK[[#This Row],[Precio Final]]-STOCK[[#This Row],[Costo total]]</f>
        <v>5.5</v>
      </c>
      <c r="X1571" s="76">
        <f>STOCK[[#This Row],[Ganancia Unitaria]]*STOCK[[#This Row],[Salidas]]</f>
        <v>0</v>
      </c>
      <c r="Y1571" s="76"/>
      <c r="Z1571" s="76"/>
      <c r="AA1571" s="54">
        <f>STOCK[[#This Row],[Costo total]]*STOCK[[#This Row],[Entradas]]</f>
        <v>9.5</v>
      </c>
      <c r="AB1571" s="54">
        <f>STOCK[[#This Row],[Stock Actual]]*STOCK[[#This Row],[Costo total]]</f>
        <v>9.5</v>
      </c>
      <c r="AC1571" s="76"/>
      <c r="AD1571" s="82"/>
    </row>
    <row r="1572" s="53" customFormat="1" ht="50" customHeight="1" spans="1:30">
      <c r="A1572" s="53" t="s">
        <v>3120</v>
      </c>
      <c r="B1572" s="53" t="s">
        <v>1345</v>
      </c>
      <c r="C1572" s="53" t="s">
        <v>32</v>
      </c>
      <c r="D1572" s="53" t="s">
        <v>780</v>
      </c>
      <c r="E1572" s="53" t="s">
        <v>3121</v>
      </c>
      <c r="F1572" s="53" t="s">
        <v>49</v>
      </c>
      <c r="H1572" s="76">
        <f>STOCK[[#This Row],[Precio Final]]</f>
        <v>15</v>
      </c>
      <c r="I1572" s="80">
        <f>STOCK[[#This Row],[Precio Venta Ideal (x1.5)]]</f>
        <v>14.25</v>
      </c>
      <c r="J1572" s="70">
        <v>2</v>
      </c>
      <c r="K1572" s="78">
        <f>SUMIFS(VENTAS[Cantidad],VENTAS[Código del producto Vendido],STOCK[[#This Row],[Code]])</f>
        <v>0</v>
      </c>
      <c r="L1572" s="78">
        <f>STOCK[[#This Row],[Entradas]]-STOCK[[#This Row],[Salidas]]</f>
        <v>2</v>
      </c>
      <c r="M1572" s="76">
        <f>STOCK[[#This Row],[Precio Final]]*10%</f>
        <v>1.5</v>
      </c>
      <c r="N1572" s="54">
        <v>0</v>
      </c>
      <c r="O1572" s="76">
        <v>0</v>
      </c>
      <c r="P1572" s="53">
        <v>8</v>
      </c>
      <c r="Q1572" s="70">
        <v>0</v>
      </c>
      <c r="R1572" s="53">
        <v>0</v>
      </c>
      <c r="S1572" s="53">
        <v>0</v>
      </c>
      <c r="T1572" s="76">
        <f>STOCK[[#This Row],[Costo Unitario (USD)]]+STOCK[[#This Row],[Costo Envío (USD)]]+STOCK[[#This Row],[Comisión 10%]]</f>
        <v>9.5</v>
      </c>
      <c r="U1572" s="53">
        <f>STOCK[[#This Row],[Costo total]]*1.5</f>
        <v>14.25</v>
      </c>
      <c r="V1572" s="53">
        <v>15</v>
      </c>
      <c r="W1572" s="76">
        <f>STOCK[[#This Row],[Precio Final]]-STOCK[[#This Row],[Costo total]]</f>
        <v>5.5</v>
      </c>
      <c r="X1572" s="76">
        <f>STOCK[[#This Row],[Ganancia Unitaria]]*STOCK[[#This Row],[Salidas]]</f>
        <v>0</v>
      </c>
      <c r="Y1572" s="76"/>
      <c r="Z1572" s="76"/>
      <c r="AA1572" s="54">
        <f>STOCK[[#This Row],[Costo total]]*STOCK[[#This Row],[Entradas]]</f>
        <v>19</v>
      </c>
      <c r="AB1572" s="54">
        <f>STOCK[[#This Row],[Stock Actual]]*STOCK[[#This Row],[Costo total]]</f>
        <v>19</v>
      </c>
      <c r="AC1572" s="76"/>
      <c r="AD1572" s="82"/>
    </row>
    <row r="1573" s="53" customFormat="1" ht="50" customHeight="1" spans="1:30">
      <c r="A1573" s="53" t="s">
        <v>3122</v>
      </c>
      <c r="B1573" s="53" t="s">
        <v>1345</v>
      </c>
      <c r="C1573" s="53" t="s">
        <v>32</v>
      </c>
      <c r="D1573" s="53" t="s">
        <v>780</v>
      </c>
      <c r="E1573" s="53" t="s">
        <v>3121</v>
      </c>
      <c r="F1573" s="53" t="s">
        <v>62</v>
      </c>
      <c r="H1573" s="76">
        <f>STOCK[[#This Row],[Precio Final]]</f>
        <v>15</v>
      </c>
      <c r="I1573" s="80">
        <f>STOCK[[#This Row],[Precio Venta Ideal (x1.5)]]</f>
        <v>14.25</v>
      </c>
      <c r="J1573" s="70">
        <v>1</v>
      </c>
      <c r="K1573" s="78">
        <f>SUMIFS(VENTAS[Cantidad],VENTAS[Código del producto Vendido],STOCK[[#This Row],[Code]])</f>
        <v>0</v>
      </c>
      <c r="L1573" s="78">
        <f>STOCK[[#This Row],[Entradas]]-STOCK[[#This Row],[Salidas]]</f>
        <v>1</v>
      </c>
      <c r="M1573" s="76">
        <f>STOCK[[#This Row],[Precio Final]]*10%</f>
        <v>1.5</v>
      </c>
      <c r="N1573" s="54">
        <v>0</v>
      </c>
      <c r="O1573" s="76">
        <v>0</v>
      </c>
      <c r="P1573" s="53">
        <v>8</v>
      </c>
      <c r="Q1573" s="70">
        <v>0</v>
      </c>
      <c r="R1573" s="54">
        <v>0</v>
      </c>
      <c r="S1573" s="54">
        <v>0</v>
      </c>
      <c r="T1573" s="76">
        <f>STOCK[[#This Row],[Costo Unitario (USD)]]+STOCK[[#This Row],[Costo Envío (USD)]]+STOCK[[#This Row],[Comisión 10%]]</f>
        <v>9.5</v>
      </c>
      <c r="U1573" s="53">
        <f>STOCK[[#This Row],[Costo total]]*1.5</f>
        <v>14.25</v>
      </c>
      <c r="V1573" s="53">
        <v>15</v>
      </c>
      <c r="W1573" s="76">
        <f>STOCK[[#This Row],[Precio Final]]-STOCK[[#This Row],[Costo total]]</f>
        <v>5.5</v>
      </c>
      <c r="X1573" s="76">
        <f>STOCK[[#This Row],[Ganancia Unitaria]]*STOCK[[#This Row],[Salidas]]</f>
        <v>0</v>
      </c>
      <c r="Y1573" s="76"/>
      <c r="Z1573" s="76"/>
      <c r="AA1573" s="54">
        <f>STOCK[[#This Row],[Costo total]]*STOCK[[#This Row],[Entradas]]</f>
        <v>9.5</v>
      </c>
      <c r="AB1573" s="54">
        <f>STOCK[[#This Row],[Stock Actual]]*STOCK[[#This Row],[Costo total]]</f>
        <v>9.5</v>
      </c>
      <c r="AC1573" s="76"/>
      <c r="AD1573" s="82"/>
    </row>
    <row r="1574" s="53" customFormat="1" ht="50" customHeight="1" spans="1:30">
      <c r="A1574" s="53" t="s">
        <v>3123</v>
      </c>
      <c r="B1574" s="53" t="s">
        <v>1345</v>
      </c>
      <c r="C1574" s="53" t="s">
        <v>32</v>
      </c>
      <c r="D1574" s="53" t="s">
        <v>780</v>
      </c>
      <c r="E1574" s="53" t="s">
        <v>3124</v>
      </c>
      <c r="F1574" s="53" t="s">
        <v>46</v>
      </c>
      <c r="H1574" s="76">
        <f>STOCK[[#This Row],[Precio Final]]</f>
        <v>15</v>
      </c>
      <c r="I1574" s="80">
        <f>STOCK[[#This Row],[Precio Venta Ideal (x1.5)]]</f>
        <v>14.25</v>
      </c>
      <c r="J1574" s="70">
        <v>1</v>
      </c>
      <c r="K1574" s="78">
        <f>SUMIFS(VENTAS[Cantidad],VENTAS[Código del producto Vendido],STOCK[[#This Row],[Code]])</f>
        <v>0</v>
      </c>
      <c r="L1574" s="78">
        <f>STOCK[[#This Row],[Entradas]]-STOCK[[#This Row],[Salidas]]</f>
        <v>1</v>
      </c>
      <c r="M1574" s="76">
        <f>STOCK[[#This Row],[Precio Final]]*10%</f>
        <v>1.5</v>
      </c>
      <c r="N1574" s="53">
        <v>0</v>
      </c>
      <c r="O1574" s="76">
        <v>0</v>
      </c>
      <c r="P1574" s="53">
        <v>8</v>
      </c>
      <c r="Q1574" s="71">
        <v>0</v>
      </c>
      <c r="R1574" s="53">
        <v>0</v>
      </c>
      <c r="S1574" s="54">
        <v>0</v>
      </c>
      <c r="T1574" s="76">
        <f>STOCK[[#This Row],[Costo Unitario (USD)]]+STOCK[[#This Row],[Costo Envío (USD)]]+STOCK[[#This Row],[Comisión 10%]]</f>
        <v>9.5</v>
      </c>
      <c r="U1574" s="53">
        <f>STOCK[[#This Row],[Costo total]]*1.5</f>
        <v>14.25</v>
      </c>
      <c r="V1574" s="53">
        <v>15</v>
      </c>
      <c r="W1574" s="76">
        <f>STOCK[[#This Row],[Precio Final]]-STOCK[[#This Row],[Costo total]]</f>
        <v>5.5</v>
      </c>
      <c r="X1574" s="76">
        <f>STOCK[[#This Row],[Ganancia Unitaria]]*STOCK[[#This Row],[Salidas]]</f>
        <v>0</v>
      </c>
      <c r="Y1574" s="76"/>
      <c r="Z1574" s="76"/>
      <c r="AA1574" s="54">
        <f>STOCK[[#This Row],[Costo total]]*STOCK[[#This Row],[Entradas]]</f>
        <v>9.5</v>
      </c>
      <c r="AB1574" s="54">
        <f>STOCK[[#This Row],[Stock Actual]]*STOCK[[#This Row],[Costo total]]</f>
        <v>9.5</v>
      </c>
      <c r="AC1574" s="76"/>
      <c r="AD1574" s="82"/>
    </row>
    <row r="1575" s="53" customFormat="1" ht="50" customHeight="1" spans="1:30">
      <c r="A1575" s="53" t="s">
        <v>3125</v>
      </c>
      <c r="B1575" s="53" t="s">
        <v>1345</v>
      </c>
      <c r="C1575" s="53" t="s">
        <v>32</v>
      </c>
      <c r="D1575" s="53" t="s">
        <v>780</v>
      </c>
      <c r="E1575" s="53" t="s">
        <v>3126</v>
      </c>
      <c r="F1575" s="53" t="s">
        <v>49</v>
      </c>
      <c r="H1575" s="76">
        <f>STOCK[[#This Row],[Precio Final]]</f>
        <v>15</v>
      </c>
      <c r="I1575" s="80">
        <f>STOCK[[#This Row],[Precio Venta Ideal (x1.5)]]</f>
        <v>14.25</v>
      </c>
      <c r="J1575" s="70">
        <v>1</v>
      </c>
      <c r="K1575" s="78">
        <f>SUMIFS(VENTAS[Cantidad],VENTAS[Código del producto Vendido],STOCK[[#This Row],[Code]])</f>
        <v>0</v>
      </c>
      <c r="L1575" s="78">
        <f>STOCK[[#This Row],[Entradas]]-STOCK[[#This Row],[Salidas]]</f>
        <v>1</v>
      </c>
      <c r="M1575" s="76">
        <f>STOCK[[#This Row],[Precio Final]]*10%</f>
        <v>1.5</v>
      </c>
      <c r="N1575" s="54">
        <v>0</v>
      </c>
      <c r="O1575" s="76">
        <v>0</v>
      </c>
      <c r="P1575" s="53">
        <v>8</v>
      </c>
      <c r="Q1575" s="70">
        <v>0</v>
      </c>
      <c r="R1575" s="54">
        <v>0</v>
      </c>
      <c r="S1575" s="53">
        <v>0</v>
      </c>
      <c r="T1575" s="76">
        <f>STOCK[[#This Row],[Costo Unitario (USD)]]+STOCK[[#This Row],[Costo Envío (USD)]]+STOCK[[#This Row],[Comisión 10%]]</f>
        <v>9.5</v>
      </c>
      <c r="U1575" s="53">
        <f>STOCK[[#This Row],[Costo total]]*1.5</f>
        <v>14.25</v>
      </c>
      <c r="V1575" s="53">
        <v>15</v>
      </c>
      <c r="W1575" s="76">
        <f>STOCK[[#This Row],[Precio Final]]-STOCK[[#This Row],[Costo total]]</f>
        <v>5.5</v>
      </c>
      <c r="X1575" s="76">
        <f>STOCK[[#This Row],[Ganancia Unitaria]]*STOCK[[#This Row],[Salidas]]</f>
        <v>0</v>
      </c>
      <c r="Y1575" s="76"/>
      <c r="Z1575" s="76"/>
      <c r="AA1575" s="54">
        <f>STOCK[[#This Row],[Costo total]]*STOCK[[#This Row],[Entradas]]</f>
        <v>9.5</v>
      </c>
      <c r="AB1575" s="54">
        <f>STOCK[[#This Row],[Stock Actual]]*STOCK[[#This Row],[Costo total]]</f>
        <v>9.5</v>
      </c>
      <c r="AC1575" s="76"/>
      <c r="AD1575" s="82"/>
    </row>
    <row r="1576" s="53" customFormat="1" ht="50" customHeight="1" spans="1:30">
      <c r="A1576" s="53" t="s">
        <v>3127</v>
      </c>
      <c r="B1576" s="53" t="s">
        <v>1345</v>
      </c>
      <c r="C1576" s="53" t="s">
        <v>32</v>
      </c>
      <c r="D1576" s="53" t="s">
        <v>780</v>
      </c>
      <c r="E1576" s="53" t="s">
        <v>3128</v>
      </c>
      <c r="F1576" s="53" t="s">
        <v>49</v>
      </c>
      <c r="H1576" s="76">
        <f>STOCK[[#This Row],[Precio Final]]</f>
        <v>15</v>
      </c>
      <c r="I1576" s="80">
        <f>STOCK[[#This Row],[Precio Venta Ideal (x1.5)]]</f>
        <v>14.25</v>
      </c>
      <c r="J1576" s="70">
        <v>1</v>
      </c>
      <c r="K1576" s="78">
        <f>SUMIFS(VENTAS[Cantidad],VENTAS[Código del producto Vendido],STOCK[[#This Row],[Code]])</f>
        <v>0</v>
      </c>
      <c r="L1576" s="78">
        <f>STOCK[[#This Row],[Entradas]]-STOCK[[#This Row],[Salidas]]</f>
        <v>1</v>
      </c>
      <c r="M1576" s="76">
        <f>STOCK[[#This Row],[Precio Final]]*10%</f>
        <v>1.5</v>
      </c>
      <c r="N1576" s="54">
        <v>0</v>
      </c>
      <c r="O1576" s="76">
        <v>0</v>
      </c>
      <c r="P1576" s="53">
        <v>8</v>
      </c>
      <c r="Q1576" s="70">
        <v>0</v>
      </c>
      <c r="R1576" s="53">
        <v>0</v>
      </c>
      <c r="S1576" s="54">
        <v>0</v>
      </c>
      <c r="T1576" s="76">
        <f>STOCK[[#This Row],[Costo Unitario (USD)]]+STOCK[[#This Row],[Costo Envío (USD)]]+STOCK[[#This Row],[Comisión 10%]]</f>
        <v>9.5</v>
      </c>
      <c r="U1576" s="53">
        <f>STOCK[[#This Row],[Costo total]]*1.5</f>
        <v>14.25</v>
      </c>
      <c r="V1576" s="53">
        <v>15</v>
      </c>
      <c r="W1576" s="76">
        <f>STOCK[[#This Row],[Precio Final]]-STOCK[[#This Row],[Costo total]]</f>
        <v>5.5</v>
      </c>
      <c r="X1576" s="76">
        <f>STOCK[[#This Row],[Ganancia Unitaria]]*STOCK[[#This Row],[Salidas]]</f>
        <v>0</v>
      </c>
      <c r="Y1576" s="76"/>
      <c r="Z1576" s="76"/>
      <c r="AA1576" s="54">
        <f>STOCK[[#This Row],[Costo total]]*STOCK[[#This Row],[Entradas]]</f>
        <v>9.5</v>
      </c>
      <c r="AB1576" s="54">
        <f>STOCK[[#This Row],[Stock Actual]]*STOCK[[#This Row],[Costo total]]</f>
        <v>9.5</v>
      </c>
      <c r="AC1576" s="76"/>
      <c r="AD1576" s="82"/>
    </row>
    <row r="1577" s="53" customFormat="1" ht="50" customHeight="1" spans="1:30">
      <c r="A1577" s="53" t="s">
        <v>3129</v>
      </c>
      <c r="B1577" s="70" t="str">
        <f>_xlfn.DISPIMG("ID_B2F0DA59D3134DF5852A0AA32494D198",1)</f>
        <v>=DISPIMG("ID_B2F0DA59D3134DF5852A0AA32494D198",1)</v>
      </c>
      <c r="C1577" s="53" t="s">
        <v>32</v>
      </c>
      <c r="D1577" s="53" t="s">
        <v>780</v>
      </c>
      <c r="E1577" s="53" t="s">
        <v>3130</v>
      </c>
      <c r="F1577" s="53" t="s">
        <v>49</v>
      </c>
      <c r="H1577" s="76">
        <f>STOCK[[#This Row],[Precio Final]]</f>
        <v>15</v>
      </c>
      <c r="I1577" s="80">
        <f>STOCK[[#This Row],[Precio Venta Ideal (x1.5)]]</f>
        <v>14.25</v>
      </c>
      <c r="J1577" s="70">
        <v>1</v>
      </c>
      <c r="K1577" s="78">
        <f>SUMIFS(VENTAS[Cantidad],VENTAS[Código del producto Vendido],STOCK[[#This Row],[Code]])</f>
        <v>0</v>
      </c>
      <c r="L1577" s="78">
        <f>STOCK[[#This Row],[Entradas]]-STOCK[[#This Row],[Salidas]]</f>
        <v>1</v>
      </c>
      <c r="M1577" s="76">
        <f>STOCK[[#This Row],[Precio Final]]*10%</f>
        <v>1.5</v>
      </c>
      <c r="N1577" s="53">
        <v>0</v>
      </c>
      <c r="O1577" s="76">
        <v>0</v>
      </c>
      <c r="P1577" s="53">
        <v>8</v>
      </c>
      <c r="Q1577" s="71">
        <v>0</v>
      </c>
      <c r="R1577" s="54">
        <v>0</v>
      </c>
      <c r="S1577" s="54">
        <v>0</v>
      </c>
      <c r="T1577" s="76">
        <f>STOCK[[#This Row],[Costo Unitario (USD)]]+STOCK[[#This Row],[Costo Envío (USD)]]+STOCK[[#This Row],[Comisión 10%]]</f>
        <v>9.5</v>
      </c>
      <c r="U1577" s="53">
        <f>STOCK[[#This Row],[Costo total]]*1.5</f>
        <v>14.25</v>
      </c>
      <c r="V1577" s="53">
        <v>15</v>
      </c>
      <c r="W1577" s="76">
        <f>STOCK[[#This Row],[Precio Final]]-STOCK[[#This Row],[Costo total]]</f>
        <v>5.5</v>
      </c>
      <c r="X1577" s="76">
        <f>STOCK[[#This Row],[Ganancia Unitaria]]*STOCK[[#This Row],[Salidas]]</f>
        <v>0</v>
      </c>
      <c r="Y1577" s="76"/>
      <c r="Z1577" s="76"/>
      <c r="AA1577" s="54">
        <f>STOCK[[#This Row],[Costo total]]*STOCK[[#This Row],[Entradas]]</f>
        <v>9.5</v>
      </c>
      <c r="AB1577" s="54">
        <f>STOCK[[#This Row],[Stock Actual]]*STOCK[[#This Row],[Costo total]]</f>
        <v>9.5</v>
      </c>
      <c r="AC1577" s="76"/>
      <c r="AD1577" s="82"/>
    </row>
    <row r="1578" s="53" customFormat="1" ht="50" customHeight="1" spans="1:30">
      <c r="A1578" s="53" t="s">
        <v>3131</v>
      </c>
      <c r="B1578" s="70" t="str">
        <f>_xlfn.DISPIMG("ID_31956D4F45564DECB64E4FB538B7E2E8",1)</f>
        <v>=DISPIMG("ID_31956D4F45564DECB64E4FB538B7E2E8",1)</v>
      </c>
      <c r="C1578" s="53" t="s">
        <v>32</v>
      </c>
      <c r="D1578" s="53" t="s">
        <v>780</v>
      </c>
      <c r="E1578" s="53" t="s">
        <v>3132</v>
      </c>
      <c r="F1578" s="53" t="s">
        <v>46</v>
      </c>
      <c r="H1578" s="76">
        <f>STOCK[[#This Row],[Precio Final]]</f>
        <v>15</v>
      </c>
      <c r="I1578" s="80">
        <f>STOCK[[#This Row],[Precio Venta Ideal (x1.5)]]</f>
        <v>14.25</v>
      </c>
      <c r="J1578" s="70">
        <v>1</v>
      </c>
      <c r="K1578" s="78">
        <f>SUMIFS(VENTAS[Cantidad],VENTAS[Código del producto Vendido],STOCK[[#This Row],[Code]])</f>
        <v>1</v>
      </c>
      <c r="L1578" s="78">
        <f>STOCK[[#This Row],[Entradas]]-STOCK[[#This Row],[Salidas]]</f>
        <v>0</v>
      </c>
      <c r="M1578" s="76">
        <f>STOCK[[#This Row],[Precio Final]]*10%</f>
        <v>1.5</v>
      </c>
      <c r="N1578" s="54">
        <v>0</v>
      </c>
      <c r="O1578" s="76">
        <v>0</v>
      </c>
      <c r="P1578" s="53">
        <v>8</v>
      </c>
      <c r="Q1578" s="70">
        <v>0</v>
      </c>
      <c r="R1578" s="53">
        <v>0</v>
      </c>
      <c r="S1578" s="53">
        <v>0</v>
      </c>
      <c r="T1578" s="76">
        <f>STOCK[[#This Row],[Costo Unitario (USD)]]+STOCK[[#This Row],[Costo Envío (USD)]]+STOCK[[#This Row],[Comisión 10%]]</f>
        <v>9.5</v>
      </c>
      <c r="U1578" s="53">
        <f>STOCK[[#This Row],[Costo total]]*1.5</f>
        <v>14.25</v>
      </c>
      <c r="V1578" s="53">
        <v>15</v>
      </c>
      <c r="W1578" s="76">
        <f>STOCK[[#This Row],[Precio Final]]-STOCK[[#This Row],[Costo total]]</f>
        <v>5.5</v>
      </c>
      <c r="X1578" s="76">
        <f>STOCK[[#This Row],[Ganancia Unitaria]]*STOCK[[#This Row],[Salidas]]</f>
        <v>5.5</v>
      </c>
      <c r="Y1578" s="76"/>
      <c r="Z1578" s="76"/>
      <c r="AA1578" s="54">
        <f>STOCK[[#This Row],[Costo total]]*STOCK[[#This Row],[Entradas]]</f>
        <v>9.5</v>
      </c>
      <c r="AB1578" s="54">
        <f>STOCK[[#This Row],[Stock Actual]]*STOCK[[#This Row],[Costo total]]</f>
        <v>0</v>
      </c>
      <c r="AC1578" s="76"/>
      <c r="AD1578" s="82"/>
    </row>
    <row r="1579" s="53" customFormat="1" ht="50" customHeight="1" spans="1:30">
      <c r="A1579" s="53" t="s">
        <v>3133</v>
      </c>
      <c r="B1579" s="53" t="s">
        <v>1345</v>
      </c>
      <c r="C1579" s="53" t="s">
        <v>32</v>
      </c>
      <c r="D1579" s="53" t="s">
        <v>780</v>
      </c>
      <c r="E1579" s="53" t="s">
        <v>3134</v>
      </c>
      <c r="F1579" s="53" t="s">
        <v>46</v>
      </c>
      <c r="H1579" s="76">
        <f>STOCK[[#This Row],[Precio Final]]</f>
        <v>15</v>
      </c>
      <c r="I1579" s="80">
        <f>STOCK[[#This Row],[Precio Venta Ideal (x1.5)]]</f>
        <v>14.25</v>
      </c>
      <c r="J1579" s="70">
        <v>1</v>
      </c>
      <c r="K1579" s="78">
        <f>SUMIFS(VENTAS[Cantidad],VENTAS[Código del producto Vendido],STOCK[[#This Row],[Code]])</f>
        <v>0</v>
      </c>
      <c r="L1579" s="78">
        <f>STOCK[[#This Row],[Entradas]]-STOCK[[#This Row],[Salidas]]</f>
        <v>1</v>
      </c>
      <c r="M1579" s="76">
        <f>STOCK[[#This Row],[Precio Final]]*10%</f>
        <v>1.5</v>
      </c>
      <c r="N1579" s="54">
        <v>0</v>
      </c>
      <c r="O1579" s="76">
        <v>0</v>
      </c>
      <c r="P1579" s="53">
        <v>8</v>
      </c>
      <c r="Q1579" s="70">
        <v>0</v>
      </c>
      <c r="R1579" s="54">
        <v>0</v>
      </c>
      <c r="S1579" s="54">
        <v>0</v>
      </c>
      <c r="T1579" s="76">
        <f>STOCK[[#This Row],[Costo Unitario (USD)]]+STOCK[[#This Row],[Costo Envío (USD)]]+STOCK[[#This Row],[Comisión 10%]]</f>
        <v>9.5</v>
      </c>
      <c r="U1579" s="53">
        <f>STOCK[[#This Row],[Costo total]]*1.5</f>
        <v>14.25</v>
      </c>
      <c r="V1579" s="53">
        <v>15</v>
      </c>
      <c r="W1579" s="76">
        <f>STOCK[[#This Row],[Precio Final]]-STOCK[[#This Row],[Costo total]]</f>
        <v>5.5</v>
      </c>
      <c r="X1579" s="76">
        <f>STOCK[[#This Row],[Ganancia Unitaria]]*STOCK[[#This Row],[Salidas]]</f>
        <v>0</v>
      </c>
      <c r="Y1579" s="76"/>
      <c r="Z1579" s="76"/>
      <c r="AA1579" s="54">
        <f>STOCK[[#This Row],[Costo total]]*STOCK[[#This Row],[Entradas]]</f>
        <v>9.5</v>
      </c>
      <c r="AB1579" s="54">
        <f>STOCK[[#This Row],[Stock Actual]]*STOCK[[#This Row],[Costo total]]</f>
        <v>9.5</v>
      </c>
      <c r="AC1579" s="76"/>
      <c r="AD1579" s="82"/>
    </row>
    <row r="1580" s="53" customFormat="1" ht="50" customHeight="1" spans="1:30">
      <c r="A1580" s="53" t="s">
        <v>3135</v>
      </c>
      <c r="B1580" s="70" t="str">
        <f>_xlfn.DISPIMG("ID_DEAF5ABB441341CA9DA766385E1F6670",1)</f>
        <v>=DISPIMG("ID_DEAF5ABB441341CA9DA766385E1F6670",1)</v>
      </c>
      <c r="C1580" s="53" t="s">
        <v>32</v>
      </c>
      <c r="D1580" s="53" t="s">
        <v>780</v>
      </c>
      <c r="E1580" s="53" t="s">
        <v>3136</v>
      </c>
      <c r="F1580" s="53" t="s">
        <v>46</v>
      </c>
      <c r="H1580" s="76">
        <f>STOCK[[#This Row],[Precio Final]]</f>
        <v>15</v>
      </c>
      <c r="I1580" s="80">
        <f>STOCK[[#This Row],[Precio Venta Ideal (x1.5)]]</f>
        <v>14.25</v>
      </c>
      <c r="J1580" s="70">
        <v>1</v>
      </c>
      <c r="K1580" s="78">
        <f>SUMIFS(VENTAS[Cantidad],VENTAS[Código del producto Vendido],STOCK[[#This Row],[Code]])</f>
        <v>0</v>
      </c>
      <c r="L1580" s="78">
        <f>STOCK[[#This Row],[Entradas]]-STOCK[[#This Row],[Salidas]]</f>
        <v>1</v>
      </c>
      <c r="M1580" s="76">
        <f>STOCK[[#This Row],[Precio Final]]*10%</f>
        <v>1.5</v>
      </c>
      <c r="N1580" s="53">
        <v>0</v>
      </c>
      <c r="O1580" s="76">
        <v>0</v>
      </c>
      <c r="P1580" s="53">
        <v>8</v>
      </c>
      <c r="Q1580" s="71">
        <v>0</v>
      </c>
      <c r="R1580" s="53">
        <v>0</v>
      </c>
      <c r="S1580" s="54">
        <v>0</v>
      </c>
      <c r="T1580" s="76">
        <f>STOCK[[#This Row],[Costo Unitario (USD)]]+STOCK[[#This Row],[Costo Envío (USD)]]+STOCK[[#This Row],[Comisión 10%]]</f>
        <v>9.5</v>
      </c>
      <c r="U1580" s="53">
        <f>STOCK[[#This Row],[Costo total]]*1.5</f>
        <v>14.25</v>
      </c>
      <c r="V1580" s="53">
        <v>15</v>
      </c>
      <c r="W1580" s="76">
        <f>STOCK[[#This Row],[Precio Final]]-STOCK[[#This Row],[Costo total]]</f>
        <v>5.5</v>
      </c>
      <c r="X1580" s="76">
        <f>STOCK[[#This Row],[Ganancia Unitaria]]*STOCK[[#This Row],[Salidas]]</f>
        <v>0</v>
      </c>
      <c r="Y1580" s="76"/>
      <c r="Z1580" s="76"/>
      <c r="AA1580" s="54">
        <f>STOCK[[#This Row],[Costo total]]*STOCK[[#This Row],[Entradas]]</f>
        <v>9.5</v>
      </c>
      <c r="AB1580" s="54">
        <f>STOCK[[#This Row],[Stock Actual]]*STOCK[[#This Row],[Costo total]]</f>
        <v>9.5</v>
      </c>
      <c r="AC1580" s="76"/>
      <c r="AD1580" s="82"/>
    </row>
    <row r="1581" s="53" customFormat="1" ht="50" customHeight="1" spans="1:30">
      <c r="A1581" s="53" t="s">
        <v>3137</v>
      </c>
      <c r="B1581" s="70" t="str">
        <f>_xlfn.DISPIMG("ID_A13CCF7F3F7A4E1CAD293BF92EEFFC56",1)</f>
        <v>=DISPIMG("ID_A13CCF7F3F7A4E1CAD293BF92EEFFC56",1)</v>
      </c>
      <c r="C1581" s="53" t="s">
        <v>32</v>
      </c>
      <c r="D1581" s="53" t="s">
        <v>780</v>
      </c>
      <c r="E1581" s="53" t="s">
        <v>3138</v>
      </c>
      <c r="F1581" s="53" t="s">
        <v>40</v>
      </c>
      <c r="H1581" s="76">
        <f>STOCK[[#This Row],[Precio Final]]</f>
        <v>15</v>
      </c>
      <c r="I1581" s="80">
        <f>STOCK[[#This Row],[Precio Venta Ideal (x1.5)]]</f>
        <v>14.25</v>
      </c>
      <c r="J1581" s="70">
        <v>1</v>
      </c>
      <c r="K1581" s="78">
        <f>SUMIFS(VENTAS[Cantidad],VENTAS[Código del producto Vendido],STOCK[[#This Row],[Code]])</f>
        <v>0</v>
      </c>
      <c r="L1581" s="78">
        <f>STOCK[[#This Row],[Entradas]]-STOCK[[#This Row],[Salidas]]</f>
        <v>1</v>
      </c>
      <c r="M1581" s="76">
        <f>STOCK[[#This Row],[Precio Final]]*10%</f>
        <v>1.5</v>
      </c>
      <c r="N1581" s="54">
        <v>0</v>
      </c>
      <c r="O1581" s="76">
        <v>0</v>
      </c>
      <c r="P1581" s="53">
        <v>8</v>
      </c>
      <c r="Q1581" s="70">
        <v>0</v>
      </c>
      <c r="R1581" s="54">
        <v>0</v>
      </c>
      <c r="S1581" s="53">
        <v>0</v>
      </c>
      <c r="T1581" s="76">
        <f>STOCK[[#This Row],[Costo Unitario (USD)]]+STOCK[[#This Row],[Costo Envío (USD)]]+STOCK[[#This Row],[Comisión 10%]]</f>
        <v>9.5</v>
      </c>
      <c r="U1581" s="53">
        <f>STOCK[[#This Row],[Costo total]]*1.5</f>
        <v>14.25</v>
      </c>
      <c r="V1581" s="53">
        <v>15</v>
      </c>
      <c r="W1581" s="76">
        <f>STOCK[[#This Row],[Precio Final]]-STOCK[[#This Row],[Costo total]]</f>
        <v>5.5</v>
      </c>
      <c r="X1581" s="76">
        <f>STOCK[[#This Row],[Ganancia Unitaria]]*STOCK[[#This Row],[Salidas]]</f>
        <v>0</v>
      </c>
      <c r="Y1581" s="76"/>
      <c r="Z1581" s="76"/>
      <c r="AA1581" s="54">
        <f>STOCK[[#This Row],[Costo total]]*STOCK[[#This Row],[Entradas]]</f>
        <v>9.5</v>
      </c>
      <c r="AB1581" s="54">
        <f>STOCK[[#This Row],[Stock Actual]]*STOCK[[#This Row],[Costo total]]</f>
        <v>9.5</v>
      </c>
      <c r="AC1581" s="76"/>
      <c r="AD1581" s="82"/>
    </row>
    <row r="1582" s="53" customFormat="1" ht="50" customHeight="1" spans="1:30">
      <c r="A1582" s="53" t="s">
        <v>3139</v>
      </c>
      <c r="B1582" s="70" t="str">
        <f>_xlfn.DISPIMG("ID_F6391F3813FA4E8FA4EC1E07ADF257DE",1)</f>
        <v>=DISPIMG("ID_F6391F3813FA4E8FA4EC1E07ADF257DE",1)</v>
      </c>
      <c r="C1582" s="53" t="s">
        <v>32</v>
      </c>
      <c r="D1582" s="53" t="s">
        <v>780</v>
      </c>
      <c r="E1582" s="53" t="s">
        <v>3140</v>
      </c>
      <c r="F1582" s="53" t="s">
        <v>49</v>
      </c>
      <c r="H1582" s="76">
        <f>STOCK[[#This Row],[Precio Final]]</f>
        <v>22</v>
      </c>
      <c r="I1582" s="80">
        <f>STOCK[[#This Row],[Precio Venta Ideal (x1.5)]]</f>
        <v>21.3</v>
      </c>
      <c r="J1582" s="70">
        <v>1</v>
      </c>
      <c r="K1582" s="78">
        <f>SUMIFS(VENTAS[Cantidad],VENTAS[Código del producto Vendido],STOCK[[#This Row],[Code]])</f>
        <v>1</v>
      </c>
      <c r="L1582" s="78">
        <f>STOCK[[#This Row],[Entradas]]-STOCK[[#This Row],[Salidas]]</f>
        <v>0</v>
      </c>
      <c r="M1582" s="76">
        <f>STOCK[[#This Row],[Precio Final]]*10%</f>
        <v>2.2</v>
      </c>
      <c r="N1582" s="54">
        <v>0</v>
      </c>
      <c r="O1582" s="76">
        <v>0</v>
      </c>
      <c r="P1582" s="53">
        <v>12</v>
      </c>
      <c r="Q1582" s="70">
        <v>0</v>
      </c>
      <c r="R1582" s="53">
        <v>0</v>
      </c>
      <c r="S1582" s="54">
        <v>0</v>
      </c>
      <c r="T1582" s="76">
        <f>STOCK[[#This Row],[Costo Unitario (USD)]]+STOCK[[#This Row],[Costo Envío (USD)]]+STOCK[[#This Row],[Comisión 10%]]</f>
        <v>14.2</v>
      </c>
      <c r="U1582" s="53">
        <f>STOCK[[#This Row],[Costo total]]*1.5</f>
        <v>21.3</v>
      </c>
      <c r="V1582" s="53">
        <v>22</v>
      </c>
      <c r="W1582" s="76">
        <f>STOCK[[#This Row],[Precio Final]]-STOCK[[#This Row],[Costo total]]</f>
        <v>7.8</v>
      </c>
      <c r="X1582" s="76">
        <f>STOCK[[#This Row],[Ganancia Unitaria]]*STOCK[[#This Row],[Salidas]]</f>
        <v>7.8</v>
      </c>
      <c r="Y1582" s="76"/>
      <c r="Z1582" s="76"/>
      <c r="AA1582" s="54">
        <f>STOCK[[#This Row],[Costo total]]*STOCK[[#This Row],[Entradas]]</f>
        <v>14.2</v>
      </c>
      <c r="AB1582" s="54">
        <f>STOCK[[#This Row],[Stock Actual]]*STOCK[[#This Row],[Costo total]]</f>
        <v>0</v>
      </c>
      <c r="AC1582" s="76"/>
      <c r="AD1582" s="82"/>
    </row>
    <row r="1583" s="53" customFormat="1" ht="50" customHeight="1" spans="1:30">
      <c r="A1583" s="53" t="s">
        <v>3141</v>
      </c>
      <c r="C1583" s="53" t="s">
        <v>32</v>
      </c>
      <c r="D1583" s="53" t="s">
        <v>780</v>
      </c>
      <c r="E1583" s="53" t="s">
        <v>3142</v>
      </c>
      <c r="F1583" s="53" t="s">
        <v>62</v>
      </c>
      <c r="H1583" s="76">
        <f>STOCK[[#This Row],[Precio Final]]</f>
        <v>25</v>
      </c>
      <c r="I1583" s="80">
        <f>STOCK[[#This Row],[Precio Venta Ideal (x1.5)]]</f>
        <v>21.75</v>
      </c>
      <c r="J1583" s="70">
        <v>1</v>
      </c>
      <c r="K1583" s="78">
        <f>SUMIFS(VENTAS[Cantidad],VENTAS[Código del producto Vendido],STOCK[[#This Row],[Code]])</f>
        <v>1</v>
      </c>
      <c r="L1583" s="78">
        <f>STOCK[[#This Row],[Entradas]]-STOCK[[#This Row],[Salidas]]</f>
        <v>0</v>
      </c>
      <c r="M1583" s="76">
        <f>STOCK[[#This Row],[Precio Final]]*10%</f>
        <v>2.5</v>
      </c>
      <c r="N1583" s="53">
        <v>0</v>
      </c>
      <c r="O1583" s="76">
        <v>0</v>
      </c>
      <c r="P1583" s="53">
        <v>12</v>
      </c>
      <c r="Q1583" s="71">
        <v>0</v>
      </c>
      <c r="R1583" s="54">
        <v>0</v>
      </c>
      <c r="S1583" s="54">
        <v>0</v>
      </c>
      <c r="T1583" s="76">
        <f>STOCK[[#This Row],[Costo Unitario (USD)]]+STOCK[[#This Row],[Costo Envío (USD)]]+STOCK[[#This Row],[Comisión 10%]]</f>
        <v>14.5</v>
      </c>
      <c r="U1583" s="53">
        <f>STOCK[[#This Row],[Costo total]]*1.5</f>
        <v>21.75</v>
      </c>
      <c r="V1583" s="53">
        <v>25</v>
      </c>
      <c r="W1583" s="76">
        <f>STOCK[[#This Row],[Precio Final]]-STOCK[[#This Row],[Costo total]]</f>
        <v>10.5</v>
      </c>
      <c r="X1583" s="76">
        <f>STOCK[[#This Row],[Ganancia Unitaria]]*STOCK[[#This Row],[Salidas]]</f>
        <v>10.5</v>
      </c>
      <c r="Y1583" s="76"/>
      <c r="Z1583" s="76"/>
      <c r="AA1583" s="54">
        <f>STOCK[[#This Row],[Costo total]]*STOCK[[#This Row],[Entradas]]</f>
        <v>14.5</v>
      </c>
      <c r="AB1583" s="54">
        <f>STOCK[[#This Row],[Stock Actual]]*STOCK[[#This Row],[Costo total]]</f>
        <v>0</v>
      </c>
      <c r="AC1583" s="76"/>
      <c r="AD1583" s="82"/>
    </row>
    <row r="1584" s="53" customFormat="1" ht="50" customHeight="1" spans="1:30">
      <c r="A1584" s="53" t="s">
        <v>3143</v>
      </c>
      <c r="B1584" s="70" t="str">
        <f>_xlfn.DISPIMG("ID_315F63E0D5474F3D9FF9A5DDC0C4A126",1)</f>
        <v>=DISPIMG("ID_315F63E0D5474F3D9FF9A5DDC0C4A126",1)</v>
      </c>
      <c r="C1584" s="53" t="s">
        <v>32</v>
      </c>
      <c r="D1584" s="53" t="s">
        <v>780</v>
      </c>
      <c r="E1584" s="53" t="s">
        <v>3144</v>
      </c>
      <c r="F1584" s="53" t="s">
        <v>40</v>
      </c>
      <c r="H1584" s="76">
        <f>STOCK[[#This Row],[Precio Final]]</f>
        <v>25</v>
      </c>
      <c r="I1584" s="80">
        <f>STOCK[[#This Row],[Precio Venta Ideal (x1.5)]]</f>
        <v>21.75</v>
      </c>
      <c r="J1584" s="70">
        <v>1</v>
      </c>
      <c r="K1584" s="78">
        <f>SUMIFS(VENTAS[Cantidad],VENTAS[Código del producto Vendido],STOCK[[#This Row],[Code]])</f>
        <v>0</v>
      </c>
      <c r="L1584" s="78">
        <f>STOCK[[#This Row],[Entradas]]-STOCK[[#This Row],[Salidas]]</f>
        <v>1</v>
      </c>
      <c r="M1584" s="76">
        <f>STOCK[[#This Row],[Precio Final]]*10%</f>
        <v>2.5</v>
      </c>
      <c r="N1584" s="54">
        <v>0</v>
      </c>
      <c r="O1584" s="76">
        <v>0</v>
      </c>
      <c r="P1584" s="53">
        <v>12</v>
      </c>
      <c r="Q1584" s="70">
        <v>0</v>
      </c>
      <c r="R1584" s="53">
        <v>0</v>
      </c>
      <c r="S1584" s="53">
        <v>0</v>
      </c>
      <c r="T1584" s="76">
        <f>STOCK[[#This Row],[Costo Unitario (USD)]]+STOCK[[#This Row],[Costo Envío (USD)]]+STOCK[[#This Row],[Comisión 10%]]</f>
        <v>14.5</v>
      </c>
      <c r="U1584" s="53">
        <f>STOCK[[#This Row],[Costo total]]*1.5</f>
        <v>21.75</v>
      </c>
      <c r="V1584" s="53">
        <v>25</v>
      </c>
      <c r="W1584" s="76">
        <f>STOCK[[#This Row],[Precio Final]]-STOCK[[#This Row],[Costo total]]</f>
        <v>10.5</v>
      </c>
      <c r="X1584" s="76">
        <f>STOCK[[#This Row],[Ganancia Unitaria]]*STOCK[[#This Row],[Salidas]]</f>
        <v>0</v>
      </c>
      <c r="Y1584" s="76"/>
      <c r="Z1584" s="76"/>
      <c r="AA1584" s="54">
        <f>STOCK[[#This Row],[Costo total]]*STOCK[[#This Row],[Entradas]]</f>
        <v>14.5</v>
      </c>
      <c r="AB1584" s="54">
        <f>STOCK[[#This Row],[Stock Actual]]*STOCK[[#This Row],[Costo total]]</f>
        <v>14.5</v>
      </c>
      <c r="AC1584" s="76"/>
      <c r="AD1584" s="82"/>
    </row>
    <row r="1585" s="53" customFormat="1" ht="50" customHeight="1" spans="1:30">
      <c r="A1585" s="53" t="s">
        <v>3145</v>
      </c>
      <c r="B1585" s="70" t="str">
        <f>_xlfn.DISPIMG("ID_677C6FEC13954461A125BE698441BF2E",1)</f>
        <v>=DISPIMG("ID_677C6FEC13954461A125BE698441BF2E",1)</v>
      </c>
      <c r="C1585" s="53" t="s">
        <v>32</v>
      </c>
      <c r="D1585" s="53" t="s">
        <v>780</v>
      </c>
      <c r="E1585" s="53" t="s">
        <v>3146</v>
      </c>
      <c r="F1585" s="53" t="s">
        <v>62</v>
      </c>
      <c r="H1585" s="76">
        <f>STOCK[[#This Row],[Precio Final]]</f>
        <v>25</v>
      </c>
      <c r="I1585" s="80">
        <f>STOCK[[#This Row],[Precio Venta Ideal (x1.5)]]</f>
        <v>21.75</v>
      </c>
      <c r="J1585" s="70">
        <v>1</v>
      </c>
      <c r="K1585" s="78">
        <f>SUMIFS(VENTAS[Cantidad],VENTAS[Código del producto Vendido],STOCK[[#This Row],[Code]])</f>
        <v>1</v>
      </c>
      <c r="L1585" s="78">
        <f>STOCK[[#This Row],[Entradas]]-STOCK[[#This Row],[Salidas]]</f>
        <v>0</v>
      </c>
      <c r="M1585" s="76">
        <f>STOCK[[#This Row],[Precio Final]]*10%</f>
        <v>2.5</v>
      </c>
      <c r="N1585" s="54">
        <v>0</v>
      </c>
      <c r="O1585" s="76">
        <v>0</v>
      </c>
      <c r="P1585" s="53">
        <v>12</v>
      </c>
      <c r="Q1585" s="70">
        <v>0</v>
      </c>
      <c r="R1585" s="54">
        <v>0</v>
      </c>
      <c r="S1585" s="54">
        <v>0</v>
      </c>
      <c r="T1585" s="76">
        <f>STOCK[[#This Row],[Costo Unitario (USD)]]+STOCK[[#This Row],[Costo Envío (USD)]]+STOCK[[#This Row],[Comisión 10%]]</f>
        <v>14.5</v>
      </c>
      <c r="U1585" s="53">
        <f>STOCK[[#This Row],[Costo total]]*1.5</f>
        <v>21.75</v>
      </c>
      <c r="V1585" s="53">
        <v>25</v>
      </c>
      <c r="W1585" s="76">
        <f>STOCK[[#This Row],[Precio Final]]-STOCK[[#This Row],[Costo total]]</f>
        <v>10.5</v>
      </c>
      <c r="X1585" s="76">
        <f>STOCK[[#This Row],[Ganancia Unitaria]]*STOCK[[#This Row],[Salidas]]</f>
        <v>10.5</v>
      </c>
      <c r="Y1585" s="76"/>
      <c r="Z1585" s="76"/>
      <c r="AA1585" s="54">
        <f>STOCK[[#This Row],[Costo total]]*STOCK[[#This Row],[Entradas]]</f>
        <v>14.5</v>
      </c>
      <c r="AB1585" s="54">
        <f>STOCK[[#This Row],[Stock Actual]]*STOCK[[#This Row],[Costo total]]</f>
        <v>0</v>
      </c>
      <c r="AC1585" s="76"/>
      <c r="AD1585" s="82"/>
    </row>
    <row r="1586" s="53" customFormat="1" ht="50" customHeight="1" spans="1:30">
      <c r="A1586" s="53" t="s">
        <v>3147</v>
      </c>
      <c r="B1586" s="70" t="str">
        <f>_xlfn.DISPIMG("ID_889E5EDE8DBF42C6AEB0EA24F37D82AF",1)</f>
        <v>=DISPIMG("ID_889E5EDE8DBF42C6AEB0EA24F37D82AF",1)</v>
      </c>
      <c r="C1586" s="53" t="s">
        <v>32</v>
      </c>
      <c r="D1586" s="53" t="s">
        <v>780</v>
      </c>
      <c r="E1586" s="53" t="s">
        <v>3148</v>
      </c>
      <c r="F1586" s="53" t="s">
        <v>62</v>
      </c>
      <c r="H1586" s="76">
        <f>STOCK[[#This Row],[Precio Final]]</f>
        <v>25</v>
      </c>
      <c r="I1586" s="80">
        <f>STOCK[[#This Row],[Precio Venta Ideal (x1.5)]]</f>
        <v>21.75</v>
      </c>
      <c r="J1586" s="70">
        <v>1</v>
      </c>
      <c r="K1586" s="78">
        <f>SUMIFS(VENTAS[Cantidad],VENTAS[Código del producto Vendido],STOCK[[#This Row],[Code]])</f>
        <v>1</v>
      </c>
      <c r="L1586" s="78">
        <f>STOCK[[#This Row],[Entradas]]-STOCK[[#This Row],[Salidas]]</f>
        <v>0</v>
      </c>
      <c r="M1586" s="76">
        <f>STOCK[[#This Row],[Precio Final]]*10%</f>
        <v>2.5</v>
      </c>
      <c r="N1586" s="53">
        <v>0</v>
      </c>
      <c r="O1586" s="76">
        <v>0</v>
      </c>
      <c r="P1586" s="53">
        <v>12</v>
      </c>
      <c r="Q1586" s="71">
        <v>0</v>
      </c>
      <c r="R1586" s="53">
        <v>0</v>
      </c>
      <c r="S1586" s="54">
        <v>0</v>
      </c>
      <c r="T1586" s="76">
        <f>STOCK[[#This Row],[Costo Unitario (USD)]]+STOCK[[#This Row],[Costo Envío (USD)]]+STOCK[[#This Row],[Comisión 10%]]</f>
        <v>14.5</v>
      </c>
      <c r="U1586" s="53">
        <f>STOCK[[#This Row],[Costo total]]*1.5</f>
        <v>21.75</v>
      </c>
      <c r="V1586" s="53">
        <v>25</v>
      </c>
      <c r="W1586" s="76">
        <f>STOCK[[#This Row],[Precio Final]]-STOCK[[#This Row],[Costo total]]</f>
        <v>10.5</v>
      </c>
      <c r="X1586" s="76">
        <f>STOCK[[#This Row],[Ganancia Unitaria]]*STOCK[[#This Row],[Salidas]]</f>
        <v>10.5</v>
      </c>
      <c r="Y1586" s="76"/>
      <c r="Z1586" s="76"/>
      <c r="AA1586" s="54">
        <f>STOCK[[#This Row],[Costo total]]*STOCK[[#This Row],[Entradas]]</f>
        <v>14.5</v>
      </c>
      <c r="AB1586" s="54">
        <f>STOCK[[#This Row],[Stock Actual]]*STOCK[[#This Row],[Costo total]]</f>
        <v>0</v>
      </c>
      <c r="AC1586" s="76"/>
      <c r="AD1586" s="82"/>
    </row>
    <row r="1587" s="53" customFormat="1" ht="50" customHeight="1" spans="1:30">
      <c r="A1587" s="53" t="s">
        <v>3149</v>
      </c>
      <c r="B1587" s="70" t="str">
        <f>_xlfn.DISPIMG("ID_C124F5B9512D4E3CA04E0645BE99C60D",1)</f>
        <v>=DISPIMG("ID_C124F5B9512D4E3CA04E0645BE99C60D",1)</v>
      </c>
      <c r="C1587" s="53" t="s">
        <v>32</v>
      </c>
      <c r="D1587" s="53" t="s">
        <v>780</v>
      </c>
      <c r="E1587" s="53" t="s">
        <v>3150</v>
      </c>
      <c r="F1587" s="53" t="s">
        <v>49</v>
      </c>
      <c r="H1587" s="76">
        <f>STOCK[[#This Row],[Precio Final]]</f>
        <v>25</v>
      </c>
      <c r="I1587" s="80">
        <f>STOCK[[#This Row],[Precio Venta Ideal (x1.5)]]</f>
        <v>21.75</v>
      </c>
      <c r="J1587" s="70">
        <v>1</v>
      </c>
      <c r="K1587" s="78">
        <f>SUMIFS(VENTAS[Cantidad],VENTAS[Código del producto Vendido],STOCK[[#This Row],[Code]])</f>
        <v>1</v>
      </c>
      <c r="L1587" s="78">
        <f>STOCK[[#This Row],[Entradas]]-STOCK[[#This Row],[Salidas]]</f>
        <v>0</v>
      </c>
      <c r="M1587" s="76">
        <f>STOCK[[#This Row],[Precio Final]]*10%</f>
        <v>2.5</v>
      </c>
      <c r="N1587" s="54">
        <v>0</v>
      </c>
      <c r="O1587" s="76">
        <v>0</v>
      </c>
      <c r="P1587" s="53">
        <v>12</v>
      </c>
      <c r="Q1587" s="70">
        <v>0</v>
      </c>
      <c r="R1587" s="54">
        <v>0</v>
      </c>
      <c r="S1587" s="53">
        <v>0</v>
      </c>
      <c r="T1587" s="76">
        <f>STOCK[[#This Row],[Costo Unitario (USD)]]+STOCK[[#This Row],[Costo Envío (USD)]]+STOCK[[#This Row],[Comisión 10%]]</f>
        <v>14.5</v>
      </c>
      <c r="U1587" s="53">
        <f>STOCK[[#This Row],[Costo total]]*1.5</f>
        <v>21.75</v>
      </c>
      <c r="V1587" s="53">
        <v>25</v>
      </c>
      <c r="W1587" s="76">
        <f>STOCK[[#This Row],[Precio Final]]-STOCK[[#This Row],[Costo total]]</f>
        <v>10.5</v>
      </c>
      <c r="X1587" s="76">
        <f>STOCK[[#This Row],[Ganancia Unitaria]]*STOCK[[#This Row],[Salidas]]</f>
        <v>10.5</v>
      </c>
      <c r="Y1587" s="76"/>
      <c r="Z1587" s="76"/>
      <c r="AA1587" s="54">
        <f>STOCK[[#This Row],[Costo total]]*STOCK[[#This Row],[Entradas]]</f>
        <v>14.5</v>
      </c>
      <c r="AB1587" s="54">
        <f>STOCK[[#This Row],[Stock Actual]]*STOCK[[#This Row],[Costo total]]</f>
        <v>0</v>
      </c>
      <c r="AC1587" s="76"/>
      <c r="AD1587" s="82"/>
    </row>
    <row r="1588" s="53" customFormat="1" ht="50" customHeight="1" spans="1:30">
      <c r="A1588" s="53" t="s">
        <v>3151</v>
      </c>
      <c r="B1588" s="70" t="str">
        <f>_xlfn.DISPIMG("ID_894A73110135420E8DEE306F1483BDB8",1)</f>
        <v>=DISPIMG("ID_894A73110135420E8DEE306F1483BDB8",1)</v>
      </c>
      <c r="C1588" s="53" t="s">
        <v>32</v>
      </c>
      <c r="D1588" s="53" t="s">
        <v>780</v>
      </c>
      <c r="E1588" s="53" t="s">
        <v>3152</v>
      </c>
      <c r="F1588" s="53" t="s">
        <v>62</v>
      </c>
      <c r="H1588" s="76">
        <f>STOCK[[#This Row],[Precio Final]]</f>
        <v>20</v>
      </c>
      <c r="I1588" s="80">
        <f>STOCK[[#This Row],[Precio Venta Ideal (x1.5)]]</f>
        <v>21</v>
      </c>
      <c r="J1588" s="70">
        <v>1</v>
      </c>
      <c r="K1588" s="78">
        <f>SUMIFS(VENTAS[Cantidad],VENTAS[Código del producto Vendido],STOCK[[#This Row],[Code]])</f>
        <v>1</v>
      </c>
      <c r="L1588" s="78">
        <f>STOCK[[#This Row],[Entradas]]-STOCK[[#This Row],[Salidas]]</f>
        <v>0</v>
      </c>
      <c r="M1588" s="76">
        <f>STOCK[[#This Row],[Precio Final]]*10%</f>
        <v>2</v>
      </c>
      <c r="N1588" s="54">
        <v>0</v>
      </c>
      <c r="O1588" s="76">
        <v>0</v>
      </c>
      <c r="P1588" s="53">
        <v>12</v>
      </c>
      <c r="Q1588" s="70">
        <v>0</v>
      </c>
      <c r="R1588" s="53">
        <v>0</v>
      </c>
      <c r="S1588" s="54">
        <v>0</v>
      </c>
      <c r="T1588" s="76">
        <f>STOCK[[#This Row],[Costo Unitario (USD)]]+STOCK[[#This Row],[Costo Envío (USD)]]+STOCK[[#This Row],[Comisión 10%]]</f>
        <v>14</v>
      </c>
      <c r="U1588" s="53">
        <f>STOCK[[#This Row],[Costo total]]*1.5</f>
        <v>21</v>
      </c>
      <c r="V1588" s="53">
        <v>20</v>
      </c>
      <c r="W1588" s="76">
        <f>STOCK[[#This Row],[Precio Final]]-STOCK[[#This Row],[Costo total]]</f>
        <v>6</v>
      </c>
      <c r="X1588" s="76">
        <f>STOCK[[#This Row],[Ganancia Unitaria]]*STOCK[[#This Row],[Salidas]]</f>
        <v>6</v>
      </c>
      <c r="Y1588" s="76"/>
      <c r="Z1588" s="76"/>
      <c r="AA1588" s="54">
        <f>STOCK[[#This Row],[Costo total]]*STOCK[[#This Row],[Entradas]]</f>
        <v>14</v>
      </c>
      <c r="AB1588" s="54">
        <f>STOCK[[#This Row],[Stock Actual]]*STOCK[[#This Row],[Costo total]]</f>
        <v>0</v>
      </c>
      <c r="AC1588" s="76"/>
      <c r="AD1588" s="82"/>
    </row>
    <row r="1589" s="53" customFormat="1" ht="50" customHeight="1" spans="1:30">
      <c r="A1589" s="53" t="s">
        <v>3153</v>
      </c>
      <c r="B1589" s="70" t="str">
        <f>_xlfn.DISPIMG("ID_8C79A6110A4E40D1B23FEFB3281A788B",1)</f>
        <v>=DISPIMG("ID_8C79A6110A4E40D1B23FEFB3281A788B",1)</v>
      </c>
      <c r="C1589" s="53" t="s">
        <v>32</v>
      </c>
      <c r="D1589" s="53" t="s">
        <v>780</v>
      </c>
      <c r="E1589" s="53" t="s">
        <v>3154</v>
      </c>
      <c r="F1589" s="53" t="s">
        <v>46</v>
      </c>
      <c r="H1589" s="76">
        <f>STOCK[[#This Row],[Precio Final]]</f>
        <v>20</v>
      </c>
      <c r="I1589" s="80">
        <f>STOCK[[#This Row],[Precio Venta Ideal (x1.5)]]</f>
        <v>15</v>
      </c>
      <c r="J1589" s="70">
        <v>1</v>
      </c>
      <c r="K1589" s="78">
        <f>SUMIFS(VENTAS[Cantidad],VENTAS[Código del producto Vendido],STOCK[[#This Row],[Code]])</f>
        <v>0</v>
      </c>
      <c r="L1589" s="78">
        <f>STOCK[[#This Row],[Entradas]]-STOCK[[#This Row],[Salidas]]</f>
        <v>1</v>
      </c>
      <c r="M1589" s="76">
        <f>STOCK[[#This Row],[Precio Final]]*10%</f>
        <v>2</v>
      </c>
      <c r="N1589" s="53">
        <v>0</v>
      </c>
      <c r="O1589" s="76">
        <v>0</v>
      </c>
      <c r="P1589" s="53">
        <v>8</v>
      </c>
      <c r="Q1589" s="71">
        <v>0</v>
      </c>
      <c r="R1589" s="54">
        <v>0</v>
      </c>
      <c r="S1589" s="54">
        <v>0</v>
      </c>
      <c r="T1589" s="76">
        <f>STOCK[[#This Row],[Costo Unitario (USD)]]+STOCK[[#This Row],[Costo Envío (USD)]]+STOCK[[#This Row],[Comisión 10%]]</f>
        <v>10</v>
      </c>
      <c r="U1589" s="53">
        <f>STOCK[[#This Row],[Costo total]]*1.5</f>
        <v>15</v>
      </c>
      <c r="V1589" s="53">
        <v>20</v>
      </c>
      <c r="W1589" s="76">
        <f>STOCK[[#This Row],[Precio Final]]-STOCK[[#This Row],[Costo total]]</f>
        <v>10</v>
      </c>
      <c r="X1589" s="76">
        <f>STOCK[[#This Row],[Ganancia Unitaria]]*STOCK[[#This Row],[Salidas]]</f>
        <v>0</v>
      </c>
      <c r="Y1589" s="76"/>
      <c r="Z1589" s="76"/>
      <c r="AA1589" s="54">
        <f>STOCK[[#This Row],[Costo total]]*STOCK[[#This Row],[Entradas]]</f>
        <v>10</v>
      </c>
      <c r="AB1589" s="54">
        <f>STOCK[[#This Row],[Stock Actual]]*STOCK[[#This Row],[Costo total]]</f>
        <v>10</v>
      </c>
      <c r="AC1589" s="76"/>
      <c r="AD1589" s="82"/>
    </row>
    <row r="1590" s="53" customFormat="1" ht="50" customHeight="1" spans="1:30">
      <c r="A1590" s="53" t="s">
        <v>3155</v>
      </c>
      <c r="B1590" s="70" t="str">
        <f>_xlfn.DISPIMG("ID_4D2FA45FDD8342C79F793CEA60F59338",1)</f>
        <v>=DISPIMG("ID_4D2FA45FDD8342C79F793CEA60F59338",1)</v>
      </c>
      <c r="C1590" s="53" t="s">
        <v>32</v>
      </c>
      <c r="D1590" s="53" t="s">
        <v>780</v>
      </c>
      <c r="E1590" s="53" t="s">
        <v>3156</v>
      </c>
      <c r="F1590" s="53" t="s">
        <v>42</v>
      </c>
      <c r="H1590" s="76">
        <f>STOCK[[#This Row],[Precio Final]]</f>
        <v>20</v>
      </c>
      <c r="I1590" s="80">
        <f>STOCK[[#This Row],[Precio Venta Ideal (x1.5)]]</f>
        <v>15</v>
      </c>
      <c r="J1590" s="70">
        <v>1</v>
      </c>
      <c r="K1590" s="78">
        <f>SUMIFS(VENTAS[Cantidad],VENTAS[Código del producto Vendido],STOCK[[#This Row],[Code]])</f>
        <v>0</v>
      </c>
      <c r="L1590" s="78">
        <f>STOCK[[#This Row],[Entradas]]-STOCK[[#This Row],[Salidas]]</f>
        <v>1</v>
      </c>
      <c r="M1590" s="76">
        <f>STOCK[[#This Row],[Precio Final]]*10%</f>
        <v>2</v>
      </c>
      <c r="N1590" s="54">
        <v>0</v>
      </c>
      <c r="O1590" s="76">
        <v>0</v>
      </c>
      <c r="P1590" s="53">
        <v>8</v>
      </c>
      <c r="Q1590" s="70">
        <v>0</v>
      </c>
      <c r="R1590" s="53">
        <v>0</v>
      </c>
      <c r="S1590" s="53">
        <v>0</v>
      </c>
      <c r="T1590" s="76">
        <f>STOCK[[#This Row],[Costo Unitario (USD)]]+STOCK[[#This Row],[Costo Envío (USD)]]+STOCK[[#This Row],[Comisión 10%]]</f>
        <v>10</v>
      </c>
      <c r="U1590" s="53">
        <f>STOCK[[#This Row],[Costo total]]*1.5</f>
        <v>15</v>
      </c>
      <c r="V1590" s="53">
        <v>20</v>
      </c>
      <c r="W1590" s="76">
        <f>STOCK[[#This Row],[Precio Final]]-STOCK[[#This Row],[Costo total]]</f>
        <v>10</v>
      </c>
      <c r="X1590" s="76">
        <f>STOCK[[#This Row],[Ganancia Unitaria]]*STOCK[[#This Row],[Salidas]]</f>
        <v>0</v>
      </c>
      <c r="Y1590" s="76"/>
      <c r="Z1590" s="76"/>
      <c r="AA1590" s="54">
        <f>STOCK[[#This Row],[Costo total]]*STOCK[[#This Row],[Entradas]]</f>
        <v>10</v>
      </c>
      <c r="AB1590" s="54">
        <f>STOCK[[#This Row],[Stock Actual]]*STOCK[[#This Row],[Costo total]]</f>
        <v>10</v>
      </c>
      <c r="AC1590" s="76"/>
      <c r="AD1590" s="82"/>
    </row>
    <row r="1591" s="53" customFormat="1" ht="50" customHeight="1" spans="1:30">
      <c r="A1591" s="53" t="s">
        <v>3157</v>
      </c>
      <c r="B1591" s="70" t="str">
        <f>_xlfn.DISPIMG("ID_4D2FA45FDD8342C79F793CEA60F59338",1)</f>
        <v>=DISPIMG("ID_4D2FA45FDD8342C79F793CEA60F59338",1)</v>
      </c>
      <c r="C1591" s="53" t="s">
        <v>32</v>
      </c>
      <c r="D1591" s="53" t="s">
        <v>780</v>
      </c>
      <c r="E1591" s="53" t="s">
        <v>3156</v>
      </c>
      <c r="F1591" s="53" t="s">
        <v>281</v>
      </c>
      <c r="H1591" s="76">
        <f>STOCK[[#This Row],[Precio Final]]</f>
        <v>20</v>
      </c>
      <c r="I1591" s="80">
        <f>STOCK[[#This Row],[Precio Venta Ideal (x1.5)]]</f>
        <v>15</v>
      </c>
      <c r="J1591" s="70">
        <v>1</v>
      </c>
      <c r="K1591" s="78">
        <f>SUMIFS(VENTAS[Cantidad],VENTAS[Código del producto Vendido],STOCK[[#This Row],[Code]])</f>
        <v>0</v>
      </c>
      <c r="L1591" s="78">
        <f>STOCK[[#This Row],[Entradas]]-STOCK[[#This Row],[Salidas]]</f>
        <v>1</v>
      </c>
      <c r="M1591" s="76">
        <f>STOCK[[#This Row],[Precio Final]]*10%</f>
        <v>2</v>
      </c>
      <c r="N1591" s="54">
        <v>0</v>
      </c>
      <c r="O1591" s="76">
        <v>0</v>
      </c>
      <c r="P1591" s="53">
        <v>8</v>
      </c>
      <c r="Q1591" s="70">
        <v>0</v>
      </c>
      <c r="R1591" s="54">
        <v>0</v>
      </c>
      <c r="S1591" s="54">
        <v>0</v>
      </c>
      <c r="T1591" s="76">
        <f>STOCK[[#This Row],[Costo Unitario (USD)]]+STOCK[[#This Row],[Costo Envío (USD)]]+STOCK[[#This Row],[Comisión 10%]]</f>
        <v>10</v>
      </c>
      <c r="U1591" s="53">
        <f>STOCK[[#This Row],[Costo total]]*1.5</f>
        <v>15</v>
      </c>
      <c r="V1591" s="53">
        <v>20</v>
      </c>
      <c r="W1591" s="76">
        <f>STOCK[[#This Row],[Precio Final]]-STOCK[[#This Row],[Costo total]]</f>
        <v>10</v>
      </c>
      <c r="X1591" s="76">
        <f>STOCK[[#This Row],[Ganancia Unitaria]]*STOCK[[#This Row],[Salidas]]</f>
        <v>0</v>
      </c>
      <c r="Y1591" s="76"/>
      <c r="Z1591" s="76"/>
      <c r="AA1591" s="54">
        <f>STOCK[[#This Row],[Costo total]]*STOCK[[#This Row],[Entradas]]</f>
        <v>10</v>
      </c>
      <c r="AB1591" s="54">
        <f>STOCK[[#This Row],[Stock Actual]]*STOCK[[#This Row],[Costo total]]</f>
        <v>10</v>
      </c>
      <c r="AC1591" s="76"/>
      <c r="AD1591" s="82"/>
    </row>
    <row r="1592" s="53" customFormat="1" ht="50" customHeight="1" spans="1:30">
      <c r="A1592" s="53" t="s">
        <v>3158</v>
      </c>
      <c r="B1592" s="70" t="str">
        <f>_xlfn.DISPIMG("ID_7AEEF701FAF24EDD84CFF723A4E24DAF",1)</f>
        <v>=DISPIMG("ID_7AEEF701FAF24EDD84CFF723A4E24DAF",1)</v>
      </c>
      <c r="C1592" s="53" t="s">
        <v>32</v>
      </c>
      <c r="D1592" s="53" t="s">
        <v>780</v>
      </c>
      <c r="E1592" s="53" t="s">
        <v>3159</v>
      </c>
      <c r="F1592" s="53" t="s">
        <v>46</v>
      </c>
      <c r="H1592" s="76">
        <f>STOCK[[#This Row],[Precio Final]]</f>
        <v>20</v>
      </c>
      <c r="I1592" s="80">
        <f>STOCK[[#This Row],[Precio Venta Ideal (x1.5)]]</f>
        <v>15</v>
      </c>
      <c r="J1592" s="70">
        <v>1</v>
      </c>
      <c r="K1592" s="78">
        <f>SUMIFS(VENTAS[Cantidad],VENTAS[Código del producto Vendido],STOCK[[#This Row],[Code]])</f>
        <v>0</v>
      </c>
      <c r="L1592" s="78">
        <f>STOCK[[#This Row],[Entradas]]-STOCK[[#This Row],[Salidas]]</f>
        <v>1</v>
      </c>
      <c r="M1592" s="76">
        <f>STOCK[[#This Row],[Precio Final]]*10%</f>
        <v>2</v>
      </c>
      <c r="N1592" s="53">
        <v>0</v>
      </c>
      <c r="O1592" s="76">
        <v>0</v>
      </c>
      <c r="P1592" s="53">
        <v>8</v>
      </c>
      <c r="Q1592" s="71">
        <v>0</v>
      </c>
      <c r="R1592" s="53">
        <v>0</v>
      </c>
      <c r="S1592" s="54">
        <v>0</v>
      </c>
      <c r="T1592" s="76">
        <f>STOCK[[#This Row],[Costo Unitario (USD)]]+STOCK[[#This Row],[Costo Envío (USD)]]+STOCK[[#This Row],[Comisión 10%]]</f>
        <v>10</v>
      </c>
      <c r="U1592" s="53">
        <f>STOCK[[#This Row],[Costo total]]*1.5</f>
        <v>15</v>
      </c>
      <c r="V1592" s="53">
        <v>20</v>
      </c>
      <c r="W1592" s="76">
        <f>STOCK[[#This Row],[Precio Final]]-STOCK[[#This Row],[Costo total]]</f>
        <v>10</v>
      </c>
      <c r="X1592" s="76">
        <f>STOCK[[#This Row],[Ganancia Unitaria]]*STOCK[[#This Row],[Salidas]]</f>
        <v>0</v>
      </c>
      <c r="Y1592" s="76"/>
      <c r="Z1592" s="76"/>
      <c r="AA1592" s="54">
        <f>STOCK[[#This Row],[Costo total]]*STOCK[[#This Row],[Entradas]]</f>
        <v>10</v>
      </c>
      <c r="AB1592" s="54">
        <f>STOCK[[#This Row],[Stock Actual]]*STOCK[[#This Row],[Costo total]]</f>
        <v>10</v>
      </c>
      <c r="AC1592" s="76"/>
      <c r="AD1592" s="82"/>
    </row>
    <row r="1593" s="53" customFormat="1" ht="50" customHeight="1" spans="1:30">
      <c r="A1593" s="53" t="s">
        <v>3160</v>
      </c>
      <c r="B1593" s="53" t="s">
        <v>1345</v>
      </c>
      <c r="C1593" s="53" t="s">
        <v>32</v>
      </c>
      <c r="D1593" s="53" t="s">
        <v>546</v>
      </c>
      <c r="E1593" s="53" t="s">
        <v>3161</v>
      </c>
      <c r="F1593" s="53" t="s">
        <v>62</v>
      </c>
      <c r="H1593" s="76">
        <f>STOCK[[#This Row],[Precio Final]]</f>
        <v>2.5</v>
      </c>
      <c r="I1593" s="80">
        <f>STOCK[[#This Row],[Precio Venta Ideal (x1.5)]]</f>
        <v>1.665</v>
      </c>
      <c r="J1593" s="70">
        <v>9</v>
      </c>
      <c r="K1593" s="78">
        <f>SUMIFS(VENTAS[Cantidad],VENTAS[Código del producto Vendido],STOCK[[#This Row],[Code]])</f>
        <v>6</v>
      </c>
      <c r="L1593" s="78">
        <f>STOCK[[#This Row],[Entradas]]-STOCK[[#This Row],[Salidas]]</f>
        <v>3</v>
      </c>
      <c r="M1593" s="76">
        <f>STOCK[[#This Row],[Precio Final]]*10%</f>
        <v>0.25</v>
      </c>
      <c r="N1593" s="54">
        <v>0</v>
      </c>
      <c r="O1593" s="76">
        <v>0</v>
      </c>
      <c r="P1593" s="53">
        <v>0.86</v>
      </c>
      <c r="Q1593" s="70">
        <v>0</v>
      </c>
      <c r="R1593" s="54">
        <v>0</v>
      </c>
      <c r="S1593" s="53">
        <v>0</v>
      </c>
      <c r="T1593" s="76">
        <f>STOCK[[#This Row],[Costo Unitario (USD)]]+STOCK[[#This Row],[Costo Envío (USD)]]+STOCK[[#This Row],[Comisión 10%]]</f>
        <v>1.11</v>
      </c>
      <c r="U1593" s="53">
        <f>STOCK[[#This Row],[Costo total]]*1.5</f>
        <v>1.665</v>
      </c>
      <c r="V1593" s="53">
        <v>2.5</v>
      </c>
      <c r="W1593" s="76">
        <f>STOCK[[#This Row],[Precio Final]]-STOCK[[#This Row],[Costo total]]</f>
        <v>1.39</v>
      </c>
      <c r="X1593" s="76">
        <f>STOCK[[#This Row],[Ganancia Unitaria]]*STOCK[[#This Row],[Salidas]]</f>
        <v>8.34</v>
      </c>
      <c r="Y1593" s="76"/>
      <c r="Z1593" s="76"/>
      <c r="AA1593" s="54">
        <f>STOCK[[#This Row],[Costo total]]*STOCK[[#This Row],[Entradas]]</f>
        <v>9.99</v>
      </c>
      <c r="AB1593" s="54">
        <f>STOCK[[#This Row],[Stock Actual]]*STOCK[[#This Row],[Costo total]]</f>
        <v>3.33</v>
      </c>
      <c r="AC1593" s="76"/>
      <c r="AD1593" s="82"/>
    </row>
    <row r="1594" s="53" customFormat="1" ht="50" customHeight="1" spans="1:30">
      <c r="A1594" s="53" t="s">
        <v>3162</v>
      </c>
      <c r="B1594" s="53" t="s">
        <v>1345</v>
      </c>
      <c r="C1594" s="53" t="s">
        <v>32</v>
      </c>
      <c r="D1594" s="53" t="s">
        <v>1388</v>
      </c>
      <c r="E1594" s="53" t="s">
        <v>3163</v>
      </c>
      <c r="F1594" s="53" t="s">
        <v>49</v>
      </c>
      <c r="H1594" s="76">
        <f>STOCK[[#This Row],[Precio Final]]</f>
        <v>18</v>
      </c>
      <c r="I1594" s="80">
        <f>STOCK[[#This Row],[Precio Venta Ideal (x1.5)]]</f>
        <v>11.7</v>
      </c>
      <c r="J1594" s="70">
        <v>1</v>
      </c>
      <c r="K1594" s="78">
        <f>SUMIFS(VENTAS[Cantidad],VENTAS[Código del producto Vendido],STOCK[[#This Row],[Code]])</f>
        <v>0</v>
      </c>
      <c r="L1594" s="78">
        <f>STOCK[[#This Row],[Entradas]]-STOCK[[#This Row],[Salidas]]</f>
        <v>1</v>
      </c>
      <c r="M1594" s="76">
        <f>STOCK[[#This Row],[Precio Final]]*10%</f>
        <v>1.8</v>
      </c>
      <c r="N1594" s="54">
        <v>0</v>
      </c>
      <c r="O1594" s="76">
        <v>0</v>
      </c>
      <c r="P1594" s="53">
        <v>6</v>
      </c>
      <c r="Q1594" s="70">
        <v>0</v>
      </c>
      <c r="R1594" s="53">
        <v>0</v>
      </c>
      <c r="S1594" s="54">
        <v>0</v>
      </c>
      <c r="T1594" s="76">
        <f>STOCK[[#This Row],[Costo Unitario (USD)]]+STOCK[[#This Row],[Costo Envío (USD)]]+STOCK[[#This Row],[Comisión 10%]]</f>
        <v>7.8</v>
      </c>
      <c r="U1594" s="53">
        <f>STOCK[[#This Row],[Costo total]]*1.5</f>
        <v>11.7</v>
      </c>
      <c r="V1594" s="53">
        <v>18</v>
      </c>
      <c r="W1594" s="76">
        <f>STOCK[[#This Row],[Precio Final]]-STOCK[[#This Row],[Costo total]]</f>
        <v>10.2</v>
      </c>
      <c r="X1594" s="76">
        <f>STOCK[[#This Row],[Ganancia Unitaria]]*STOCK[[#This Row],[Salidas]]</f>
        <v>0</v>
      </c>
      <c r="Y1594" s="76"/>
      <c r="Z1594" s="76"/>
      <c r="AA1594" s="54">
        <f>STOCK[[#This Row],[Costo total]]*STOCK[[#This Row],[Entradas]]</f>
        <v>7.8</v>
      </c>
      <c r="AB1594" s="54">
        <f>STOCK[[#This Row],[Stock Actual]]*STOCK[[#This Row],[Costo total]]</f>
        <v>7.8</v>
      </c>
      <c r="AC1594" s="76"/>
      <c r="AD1594" s="82"/>
    </row>
    <row r="1595" s="53" customFormat="1" ht="50" customHeight="1" spans="1:30">
      <c r="A1595" s="53" t="s">
        <v>3164</v>
      </c>
      <c r="B1595" s="53" t="s">
        <v>1345</v>
      </c>
      <c r="C1595" s="53" t="s">
        <v>32</v>
      </c>
      <c r="D1595" s="53" t="s">
        <v>1388</v>
      </c>
      <c r="E1595" s="53" t="s">
        <v>3165</v>
      </c>
      <c r="F1595" s="53" t="s">
        <v>62</v>
      </c>
      <c r="H1595" s="76">
        <f>STOCK[[#This Row],[Precio Final]]</f>
        <v>20</v>
      </c>
      <c r="I1595" s="80">
        <f>STOCK[[#This Row],[Precio Venta Ideal (x1.5)]]</f>
        <v>12</v>
      </c>
      <c r="J1595" s="70">
        <v>1</v>
      </c>
      <c r="K1595" s="78">
        <f>SUMIFS(VENTAS[Cantidad],VENTAS[Código del producto Vendido],STOCK[[#This Row],[Code]])</f>
        <v>0</v>
      </c>
      <c r="L1595" s="78">
        <f>STOCK[[#This Row],[Entradas]]-STOCK[[#This Row],[Salidas]]</f>
        <v>1</v>
      </c>
      <c r="M1595" s="76">
        <f>STOCK[[#This Row],[Precio Final]]*10%</f>
        <v>2</v>
      </c>
      <c r="N1595" s="53">
        <v>0</v>
      </c>
      <c r="O1595" s="76">
        <v>0</v>
      </c>
      <c r="P1595" s="53">
        <v>6</v>
      </c>
      <c r="Q1595" s="71">
        <v>0</v>
      </c>
      <c r="R1595" s="54">
        <v>0</v>
      </c>
      <c r="S1595" s="54">
        <v>0</v>
      </c>
      <c r="T1595" s="76">
        <f>STOCK[[#This Row],[Costo Unitario (USD)]]+STOCK[[#This Row],[Costo Envío (USD)]]+STOCK[[#This Row],[Comisión 10%]]</f>
        <v>8</v>
      </c>
      <c r="U1595" s="53">
        <f>STOCK[[#This Row],[Costo total]]*1.5</f>
        <v>12</v>
      </c>
      <c r="V1595" s="53">
        <v>20</v>
      </c>
      <c r="W1595" s="76">
        <f>STOCK[[#This Row],[Precio Final]]-STOCK[[#This Row],[Costo total]]</f>
        <v>12</v>
      </c>
      <c r="X1595" s="76">
        <f>STOCK[[#This Row],[Ganancia Unitaria]]*STOCK[[#This Row],[Salidas]]</f>
        <v>0</v>
      </c>
      <c r="Y1595" s="76"/>
      <c r="Z1595" s="76"/>
      <c r="AA1595" s="54">
        <f>STOCK[[#This Row],[Costo total]]*STOCK[[#This Row],[Entradas]]</f>
        <v>8</v>
      </c>
      <c r="AB1595" s="54">
        <f>STOCK[[#This Row],[Stock Actual]]*STOCK[[#This Row],[Costo total]]</f>
        <v>8</v>
      </c>
      <c r="AC1595" s="76"/>
      <c r="AD1595" s="82"/>
    </row>
    <row r="1596" s="53" customFormat="1" ht="50" customHeight="1" spans="1:30">
      <c r="A1596" s="53" t="s">
        <v>3166</v>
      </c>
      <c r="C1596" s="53" t="s">
        <v>32</v>
      </c>
      <c r="D1596" s="53" t="s">
        <v>1388</v>
      </c>
      <c r="E1596" s="53" t="s">
        <v>3167</v>
      </c>
      <c r="H1596" s="76">
        <f>STOCK[[#This Row],[Precio Final]]</f>
        <v>15</v>
      </c>
      <c r="I1596" s="80">
        <f>STOCK[[#This Row],[Precio Venta Ideal (x1.5)]]</f>
        <v>11.25</v>
      </c>
      <c r="J1596" s="70">
        <v>1</v>
      </c>
      <c r="K1596" s="78">
        <f>SUMIFS(VENTAS[Cantidad],VENTAS[Código del producto Vendido],STOCK[[#This Row],[Code]])</f>
        <v>1</v>
      </c>
      <c r="L1596" s="78">
        <f>STOCK[[#This Row],[Entradas]]-STOCK[[#This Row],[Salidas]]</f>
        <v>0</v>
      </c>
      <c r="M1596" s="76">
        <f>STOCK[[#This Row],[Precio Final]]*10%</f>
        <v>1.5</v>
      </c>
      <c r="N1596" s="54">
        <v>0</v>
      </c>
      <c r="O1596" s="76">
        <v>0</v>
      </c>
      <c r="P1596" s="53">
        <v>6</v>
      </c>
      <c r="Q1596" s="70">
        <v>0</v>
      </c>
      <c r="R1596" s="53">
        <v>0</v>
      </c>
      <c r="S1596" s="53">
        <v>0</v>
      </c>
      <c r="T1596" s="76">
        <f>STOCK[[#This Row],[Costo Unitario (USD)]]+STOCK[[#This Row],[Costo Envío (USD)]]+STOCK[[#This Row],[Comisión 10%]]</f>
        <v>7.5</v>
      </c>
      <c r="U1596" s="53">
        <f>STOCK[[#This Row],[Costo total]]*1.5</f>
        <v>11.25</v>
      </c>
      <c r="V1596" s="53">
        <v>15</v>
      </c>
      <c r="W1596" s="76">
        <f>STOCK[[#This Row],[Precio Final]]-STOCK[[#This Row],[Costo total]]</f>
        <v>7.5</v>
      </c>
      <c r="X1596" s="76">
        <f>STOCK[[#This Row],[Ganancia Unitaria]]*STOCK[[#This Row],[Salidas]]</f>
        <v>7.5</v>
      </c>
      <c r="Y1596" s="76"/>
      <c r="Z1596" s="76"/>
      <c r="AA1596" s="54">
        <f>STOCK[[#This Row],[Costo total]]*STOCK[[#This Row],[Entradas]]</f>
        <v>7.5</v>
      </c>
      <c r="AB1596" s="54">
        <f>STOCK[[#This Row],[Stock Actual]]*STOCK[[#This Row],[Costo total]]</f>
        <v>0</v>
      </c>
      <c r="AC1596" s="76"/>
      <c r="AD1596" s="82"/>
    </row>
    <row r="1597" s="53" customFormat="1" ht="50" customHeight="1" spans="1:30">
      <c r="A1597" s="53" t="s">
        <v>3168</v>
      </c>
      <c r="B1597" s="53" t="s">
        <v>1345</v>
      </c>
      <c r="C1597" s="53" t="s">
        <v>32</v>
      </c>
      <c r="D1597" s="53" t="s">
        <v>1388</v>
      </c>
      <c r="E1597" s="53" t="s">
        <v>3169</v>
      </c>
      <c r="F1597" s="53" t="s">
        <v>40</v>
      </c>
      <c r="H1597" s="76">
        <f>STOCK[[#This Row],[Precio Final]]</f>
        <v>15</v>
      </c>
      <c r="I1597" s="80">
        <f>STOCK[[#This Row],[Precio Venta Ideal (x1.5)]]</f>
        <v>11.25</v>
      </c>
      <c r="J1597" s="70">
        <v>2</v>
      </c>
      <c r="K1597" s="78">
        <f>SUMIFS(VENTAS[Cantidad],VENTAS[Código del producto Vendido],STOCK[[#This Row],[Code]])</f>
        <v>0</v>
      </c>
      <c r="L1597" s="78">
        <f>STOCK[[#This Row],[Entradas]]-STOCK[[#This Row],[Salidas]]</f>
        <v>2</v>
      </c>
      <c r="M1597" s="76">
        <f>STOCK[[#This Row],[Precio Final]]*10%</f>
        <v>1.5</v>
      </c>
      <c r="N1597" s="54">
        <v>0</v>
      </c>
      <c r="O1597" s="76">
        <v>0</v>
      </c>
      <c r="P1597" s="53">
        <v>6</v>
      </c>
      <c r="Q1597" s="70">
        <v>0</v>
      </c>
      <c r="R1597" s="54">
        <v>0</v>
      </c>
      <c r="S1597" s="54">
        <v>0</v>
      </c>
      <c r="T1597" s="76">
        <f>STOCK[[#This Row],[Costo Unitario (USD)]]+STOCK[[#This Row],[Costo Envío (USD)]]+STOCK[[#This Row],[Comisión 10%]]</f>
        <v>7.5</v>
      </c>
      <c r="U1597" s="53">
        <f>STOCK[[#This Row],[Costo total]]*1.5</f>
        <v>11.25</v>
      </c>
      <c r="V1597" s="53">
        <v>15</v>
      </c>
      <c r="W1597" s="76">
        <f>STOCK[[#This Row],[Precio Final]]-STOCK[[#This Row],[Costo total]]</f>
        <v>7.5</v>
      </c>
      <c r="X1597" s="76">
        <f>STOCK[[#This Row],[Ganancia Unitaria]]*STOCK[[#This Row],[Salidas]]</f>
        <v>0</v>
      </c>
      <c r="Y1597" s="76"/>
      <c r="Z1597" s="76"/>
      <c r="AA1597" s="54">
        <f>STOCK[[#This Row],[Costo total]]*STOCK[[#This Row],[Entradas]]</f>
        <v>15</v>
      </c>
      <c r="AB1597" s="54">
        <f>STOCK[[#This Row],[Stock Actual]]*STOCK[[#This Row],[Costo total]]</f>
        <v>15</v>
      </c>
      <c r="AC1597" s="76"/>
      <c r="AD1597" s="82"/>
    </row>
    <row r="1598" s="53" customFormat="1" ht="50" customHeight="1" spans="1:30">
      <c r="A1598" s="53" t="s">
        <v>3170</v>
      </c>
      <c r="B1598" s="70" t="str">
        <f>_xlfn.DISPIMG("ID_EFB0578B518248C1B857153ADB5E7172",1)</f>
        <v>=DISPIMG("ID_EFB0578B518248C1B857153ADB5E7172",1)</v>
      </c>
      <c r="C1598" s="53" t="s">
        <v>32</v>
      </c>
      <c r="D1598" s="53" t="s">
        <v>1388</v>
      </c>
      <c r="E1598" s="53" t="s">
        <v>3171</v>
      </c>
      <c r="F1598" s="53" t="s">
        <v>525</v>
      </c>
      <c r="H1598" s="76">
        <f>STOCK[[#This Row],[Precio Final]]</f>
        <v>12</v>
      </c>
      <c r="I1598" s="80">
        <f>STOCK[[#This Row],[Precio Venta Ideal (x1.5)]]</f>
        <v>9.3</v>
      </c>
      <c r="J1598" s="70">
        <v>2</v>
      </c>
      <c r="K1598" s="78">
        <f>SUMIFS(VENTAS[Cantidad],VENTAS[Código del producto Vendido],STOCK[[#This Row],[Code]])</f>
        <v>1</v>
      </c>
      <c r="L1598" s="78">
        <f>STOCK[[#This Row],[Entradas]]-STOCK[[#This Row],[Salidas]]</f>
        <v>1</v>
      </c>
      <c r="M1598" s="76">
        <f>STOCK[[#This Row],[Precio Final]]*10%</f>
        <v>1.2</v>
      </c>
      <c r="N1598" s="53">
        <v>0</v>
      </c>
      <c r="O1598" s="76">
        <v>0</v>
      </c>
      <c r="P1598" s="53">
        <v>5</v>
      </c>
      <c r="Q1598" s="71">
        <v>0</v>
      </c>
      <c r="R1598" s="53">
        <v>0</v>
      </c>
      <c r="S1598" s="54">
        <v>0</v>
      </c>
      <c r="T1598" s="76">
        <f>STOCK[[#This Row],[Costo Unitario (USD)]]+STOCK[[#This Row],[Costo Envío (USD)]]+STOCK[[#This Row],[Comisión 10%]]</f>
        <v>6.2</v>
      </c>
      <c r="U1598" s="53">
        <f>STOCK[[#This Row],[Costo total]]*1.5</f>
        <v>9.3</v>
      </c>
      <c r="V1598" s="53">
        <v>12</v>
      </c>
      <c r="W1598" s="76">
        <f>STOCK[[#This Row],[Precio Final]]-STOCK[[#This Row],[Costo total]]</f>
        <v>5.8</v>
      </c>
      <c r="X1598" s="76">
        <f>STOCK[[#This Row],[Ganancia Unitaria]]*STOCK[[#This Row],[Salidas]]</f>
        <v>5.8</v>
      </c>
      <c r="Y1598" s="76"/>
      <c r="Z1598" s="76"/>
      <c r="AA1598" s="54">
        <f>STOCK[[#This Row],[Costo total]]*STOCK[[#This Row],[Entradas]]</f>
        <v>12.4</v>
      </c>
      <c r="AB1598" s="54">
        <f>STOCK[[#This Row],[Stock Actual]]*STOCK[[#This Row],[Costo total]]</f>
        <v>6.2</v>
      </c>
      <c r="AC1598" s="76"/>
      <c r="AD1598" s="82"/>
    </row>
    <row r="1599" s="53" customFormat="1" ht="50" customHeight="1" spans="1:30">
      <c r="A1599" s="53" t="s">
        <v>3172</v>
      </c>
      <c r="B1599" s="70" t="str">
        <f>_xlfn.DISPIMG("ID_08EB29356B4D4141A7357EF1ABF5545E",1)</f>
        <v>=DISPIMG("ID_08EB29356B4D4141A7357EF1ABF5545E",1)</v>
      </c>
      <c r="C1599" s="53" t="s">
        <v>32</v>
      </c>
      <c r="D1599" s="53" t="s">
        <v>749</v>
      </c>
      <c r="E1599" s="53" t="s">
        <v>3173</v>
      </c>
      <c r="F1599" s="53" t="s">
        <v>46</v>
      </c>
      <c r="H1599" s="76">
        <f>STOCK[[#This Row],[Precio Final]]</f>
        <v>25</v>
      </c>
      <c r="I1599" s="80">
        <f>STOCK[[#This Row],[Precio Venta Ideal (x1.5)]]</f>
        <v>18.75</v>
      </c>
      <c r="J1599" s="70">
        <v>1</v>
      </c>
      <c r="K1599" s="78">
        <f>SUMIFS(VENTAS[Cantidad],VENTAS[Código del producto Vendido],STOCK[[#This Row],[Code]])</f>
        <v>1</v>
      </c>
      <c r="L1599" s="78">
        <f>STOCK[[#This Row],[Entradas]]-STOCK[[#This Row],[Salidas]]</f>
        <v>0</v>
      </c>
      <c r="M1599" s="76">
        <f>STOCK[[#This Row],[Precio Final]]*10%</f>
        <v>2.5</v>
      </c>
      <c r="N1599" s="54">
        <v>0</v>
      </c>
      <c r="O1599" s="76">
        <v>0</v>
      </c>
      <c r="P1599" s="53">
        <v>10</v>
      </c>
      <c r="Q1599" s="70">
        <v>0</v>
      </c>
      <c r="R1599" s="54">
        <v>0</v>
      </c>
      <c r="S1599" s="53">
        <v>0</v>
      </c>
      <c r="T1599" s="76">
        <f>STOCK[[#This Row],[Costo Unitario (USD)]]+STOCK[[#This Row],[Costo Envío (USD)]]+STOCK[[#This Row],[Comisión 10%]]</f>
        <v>12.5</v>
      </c>
      <c r="U1599" s="53">
        <f>STOCK[[#This Row],[Costo total]]*1.5</f>
        <v>18.75</v>
      </c>
      <c r="V1599" s="53">
        <v>25</v>
      </c>
      <c r="W1599" s="76">
        <f>STOCK[[#This Row],[Precio Final]]-STOCK[[#This Row],[Costo total]]</f>
        <v>12.5</v>
      </c>
      <c r="X1599" s="76">
        <f>STOCK[[#This Row],[Ganancia Unitaria]]*STOCK[[#This Row],[Salidas]]</f>
        <v>12.5</v>
      </c>
      <c r="Y1599" s="76"/>
      <c r="Z1599" s="76"/>
      <c r="AA1599" s="54">
        <f>STOCK[[#This Row],[Costo total]]*STOCK[[#This Row],[Entradas]]</f>
        <v>12.5</v>
      </c>
      <c r="AB1599" s="54">
        <f>STOCK[[#This Row],[Stock Actual]]*STOCK[[#This Row],[Costo total]]</f>
        <v>0</v>
      </c>
      <c r="AC1599" s="76"/>
      <c r="AD1599" s="82"/>
    </row>
    <row r="1600" s="53" customFormat="1" ht="50" customHeight="1" spans="1:30">
      <c r="A1600" s="53" t="s">
        <v>3174</v>
      </c>
      <c r="B1600" s="70" t="str">
        <f>_xlfn.DISPIMG("ID_97E71C483F3C4CBC88BA1DD756B0EB14",1)</f>
        <v>=DISPIMG("ID_97E71C483F3C4CBC88BA1DD756B0EB14",1)</v>
      </c>
      <c r="C1600" s="53" t="s">
        <v>32</v>
      </c>
      <c r="D1600" s="53" t="s">
        <v>749</v>
      </c>
      <c r="E1600" s="53" t="s">
        <v>3175</v>
      </c>
      <c r="F1600" s="53" t="s">
        <v>46</v>
      </c>
      <c r="H1600" s="76">
        <f>STOCK[[#This Row],[Precio Final]]</f>
        <v>25</v>
      </c>
      <c r="I1600" s="80">
        <f>STOCK[[#This Row],[Precio Venta Ideal (x1.5)]]</f>
        <v>18.75</v>
      </c>
      <c r="J1600" s="70">
        <v>1</v>
      </c>
      <c r="K1600" s="78">
        <f>SUMIFS(VENTAS[Cantidad],VENTAS[Código del producto Vendido],STOCK[[#This Row],[Code]])</f>
        <v>0</v>
      </c>
      <c r="L1600" s="78">
        <f>STOCK[[#This Row],[Entradas]]-STOCK[[#This Row],[Salidas]]</f>
        <v>1</v>
      </c>
      <c r="M1600" s="76">
        <f>STOCK[[#This Row],[Precio Final]]*10%</f>
        <v>2.5</v>
      </c>
      <c r="N1600" s="54">
        <v>0</v>
      </c>
      <c r="O1600" s="76">
        <v>0</v>
      </c>
      <c r="P1600" s="53">
        <v>10</v>
      </c>
      <c r="Q1600" s="70">
        <v>0</v>
      </c>
      <c r="R1600" s="53">
        <v>0</v>
      </c>
      <c r="S1600" s="54">
        <v>0</v>
      </c>
      <c r="T1600" s="76">
        <f>STOCK[[#This Row],[Costo Unitario (USD)]]+STOCK[[#This Row],[Costo Envío (USD)]]+STOCK[[#This Row],[Comisión 10%]]</f>
        <v>12.5</v>
      </c>
      <c r="U1600" s="53">
        <f>STOCK[[#This Row],[Costo total]]*1.5</f>
        <v>18.75</v>
      </c>
      <c r="V1600" s="53">
        <v>25</v>
      </c>
      <c r="W1600" s="76">
        <f>STOCK[[#This Row],[Precio Final]]-STOCK[[#This Row],[Costo total]]</f>
        <v>12.5</v>
      </c>
      <c r="X1600" s="76">
        <f>STOCK[[#This Row],[Ganancia Unitaria]]*STOCK[[#This Row],[Salidas]]</f>
        <v>0</v>
      </c>
      <c r="Y1600" s="76"/>
      <c r="Z1600" s="76"/>
      <c r="AA1600" s="54">
        <f>STOCK[[#This Row],[Costo total]]*STOCK[[#This Row],[Entradas]]</f>
        <v>12.5</v>
      </c>
      <c r="AB1600" s="54">
        <f>STOCK[[#This Row],[Stock Actual]]*STOCK[[#This Row],[Costo total]]</f>
        <v>12.5</v>
      </c>
      <c r="AC1600" s="76"/>
      <c r="AD1600" s="82"/>
    </row>
    <row r="1601" s="53" customFormat="1" ht="50" customHeight="1" spans="1:30">
      <c r="A1601" s="53" t="s">
        <v>3176</v>
      </c>
      <c r="B1601" s="70" t="str">
        <f>_xlfn.DISPIMG("ID_6FB794C641B84A03B4564E8FDD724AD0",1)</f>
        <v>=DISPIMG("ID_6FB794C641B84A03B4564E8FDD724AD0",1)</v>
      </c>
      <c r="C1601" s="53" t="s">
        <v>32</v>
      </c>
      <c r="D1601" s="53" t="s">
        <v>749</v>
      </c>
      <c r="E1601" s="53" t="s">
        <v>3177</v>
      </c>
      <c r="F1601" s="53" t="s">
        <v>46</v>
      </c>
      <c r="H1601" s="76">
        <f>STOCK[[#This Row],[Precio Final]]</f>
        <v>25</v>
      </c>
      <c r="I1601" s="80">
        <f>STOCK[[#This Row],[Precio Venta Ideal (x1.5)]]</f>
        <v>18.75</v>
      </c>
      <c r="J1601" s="70">
        <v>1</v>
      </c>
      <c r="K1601" s="78">
        <f>SUMIFS(VENTAS[Cantidad],VENTAS[Código del producto Vendido],STOCK[[#This Row],[Code]])</f>
        <v>1</v>
      </c>
      <c r="L1601" s="78">
        <f>STOCK[[#This Row],[Entradas]]-STOCK[[#This Row],[Salidas]]</f>
        <v>0</v>
      </c>
      <c r="M1601" s="76">
        <f>STOCK[[#This Row],[Precio Final]]*10%</f>
        <v>2.5</v>
      </c>
      <c r="N1601" s="53">
        <v>0</v>
      </c>
      <c r="O1601" s="76">
        <v>0</v>
      </c>
      <c r="P1601" s="53">
        <v>10</v>
      </c>
      <c r="Q1601" s="71">
        <v>0</v>
      </c>
      <c r="R1601" s="54">
        <v>0</v>
      </c>
      <c r="S1601" s="54">
        <v>0</v>
      </c>
      <c r="T1601" s="76">
        <f>STOCK[[#This Row],[Costo Unitario (USD)]]+STOCK[[#This Row],[Costo Envío (USD)]]+STOCK[[#This Row],[Comisión 10%]]</f>
        <v>12.5</v>
      </c>
      <c r="U1601" s="53">
        <f>STOCK[[#This Row],[Costo total]]*1.5</f>
        <v>18.75</v>
      </c>
      <c r="V1601" s="53">
        <v>25</v>
      </c>
      <c r="W1601" s="76">
        <f>STOCK[[#This Row],[Precio Final]]-STOCK[[#This Row],[Costo total]]</f>
        <v>12.5</v>
      </c>
      <c r="X1601" s="76">
        <f>STOCK[[#This Row],[Ganancia Unitaria]]*STOCK[[#This Row],[Salidas]]</f>
        <v>12.5</v>
      </c>
      <c r="Y1601" s="76"/>
      <c r="Z1601" s="76"/>
      <c r="AA1601" s="54">
        <f>STOCK[[#This Row],[Costo total]]*STOCK[[#This Row],[Entradas]]</f>
        <v>12.5</v>
      </c>
      <c r="AB1601" s="54">
        <f>STOCK[[#This Row],[Stock Actual]]*STOCK[[#This Row],[Costo total]]</f>
        <v>0</v>
      </c>
      <c r="AC1601" s="76"/>
      <c r="AD1601" s="82"/>
    </row>
    <row r="1602" s="53" customFormat="1" ht="50" customHeight="1" spans="1:30">
      <c r="A1602" s="53" t="s">
        <v>3178</v>
      </c>
      <c r="C1602" s="53" t="s">
        <v>32</v>
      </c>
      <c r="D1602" s="53" t="s">
        <v>749</v>
      </c>
      <c r="E1602" s="53" t="s">
        <v>3179</v>
      </c>
      <c r="H1602" s="76">
        <f>STOCK[[#This Row],[Precio Final]]</f>
        <v>18</v>
      </c>
      <c r="I1602" s="80">
        <f>STOCK[[#This Row],[Precio Venta Ideal (x1.5)]]</f>
        <v>17.7</v>
      </c>
      <c r="J1602" s="70">
        <v>1</v>
      </c>
      <c r="K1602" s="78">
        <f>SUMIFS(VENTAS[Cantidad],VENTAS[Código del producto Vendido],STOCK[[#This Row],[Code]])</f>
        <v>1</v>
      </c>
      <c r="L1602" s="78">
        <f>STOCK[[#This Row],[Entradas]]-STOCK[[#This Row],[Salidas]]</f>
        <v>0</v>
      </c>
      <c r="M1602" s="76">
        <f>STOCK[[#This Row],[Precio Final]]*10%</f>
        <v>1.8</v>
      </c>
      <c r="N1602" s="54">
        <v>0</v>
      </c>
      <c r="O1602" s="76">
        <v>0</v>
      </c>
      <c r="P1602" s="53">
        <v>10</v>
      </c>
      <c r="Q1602" s="70">
        <v>0</v>
      </c>
      <c r="R1602" s="53">
        <v>0</v>
      </c>
      <c r="S1602" s="53">
        <v>0</v>
      </c>
      <c r="T1602" s="76">
        <f>STOCK[[#This Row],[Costo Unitario (USD)]]+STOCK[[#This Row],[Costo Envío (USD)]]+STOCK[[#This Row],[Comisión 10%]]</f>
        <v>11.8</v>
      </c>
      <c r="U1602" s="53">
        <f>STOCK[[#This Row],[Costo total]]*1.5</f>
        <v>17.7</v>
      </c>
      <c r="V1602" s="53">
        <v>18</v>
      </c>
      <c r="W1602" s="76">
        <f>STOCK[[#This Row],[Precio Final]]-STOCK[[#This Row],[Costo total]]</f>
        <v>6.2</v>
      </c>
      <c r="X1602" s="76">
        <f>STOCK[[#This Row],[Ganancia Unitaria]]*STOCK[[#This Row],[Salidas]]</f>
        <v>6.2</v>
      </c>
      <c r="Y1602" s="76"/>
      <c r="Z1602" s="76"/>
      <c r="AA1602" s="54">
        <f>STOCK[[#This Row],[Costo total]]*STOCK[[#This Row],[Entradas]]</f>
        <v>11.8</v>
      </c>
      <c r="AB1602" s="54">
        <f>STOCK[[#This Row],[Stock Actual]]*STOCK[[#This Row],[Costo total]]</f>
        <v>0</v>
      </c>
      <c r="AC1602" s="76"/>
      <c r="AD1602" s="82"/>
    </row>
    <row r="1603" s="53" customFormat="1" ht="50" customHeight="1" spans="1:30">
      <c r="A1603" s="53" t="s">
        <v>3180</v>
      </c>
      <c r="B1603" s="70" t="str">
        <f>_xlfn.DISPIMG("ID_369D3B6160B245A482A99DEFA0E3400D",1)</f>
        <v>=DISPIMG("ID_369D3B6160B245A482A99DEFA0E3400D",1)</v>
      </c>
      <c r="C1603" s="53" t="s">
        <v>32</v>
      </c>
      <c r="D1603" s="53" t="s">
        <v>749</v>
      </c>
      <c r="E1603" s="53" t="s">
        <v>3181</v>
      </c>
      <c r="F1603" s="53" t="s">
        <v>46</v>
      </c>
      <c r="H1603" s="76">
        <f>STOCK[[#This Row],[Precio Final]]</f>
        <v>18</v>
      </c>
      <c r="I1603" s="80">
        <f>STOCK[[#This Row],[Precio Venta Ideal (x1.5)]]</f>
        <v>17.7</v>
      </c>
      <c r="J1603" s="70">
        <v>1</v>
      </c>
      <c r="K1603" s="78">
        <f>SUMIFS(VENTAS[Cantidad],VENTAS[Código del producto Vendido],STOCK[[#This Row],[Code]])</f>
        <v>0</v>
      </c>
      <c r="L1603" s="78">
        <f>STOCK[[#This Row],[Entradas]]-STOCK[[#This Row],[Salidas]]</f>
        <v>1</v>
      </c>
      <c r="M1603" s="76">
        <f>STOCK[[#This Row],[Precio Final]]*10%</f>
        <v>1.8</v>
      </c>
      <c r="N1603" s="54">
        <v>0</v>
      </c>
      <c r="O1603" s="76">
        <v>0</v>
      </c>
      <c r="P1603" s="53">
        <v>10</v>
      </c>
      <c r="Q1603" s="70">
        <v>0</v>
      </c>
      <c r="R1603" s="54">
        <v>0</v>
      </c>
      <c r="S1603" s="54">
        <v>0</v>
      </c>
      <c r="T1603" s="76">
        <f>STOCK[[#This Row],[Costo Unitario (USD)]]+STOCK[[#This Row],[Costo Envío (USD)]]+STOCK[[#This Row],[Comisión 10%]]</f>
        <v>11.8</v>
      </c>
      <c r="U1603" s="53">
        <f>STOCK[[#This Row],[Costo total]]*1.5</f>
        <v>17.7</v>
      </c>
      <c r="V1603" s="53">
        <v>18</v>
      </c>
      <c r="W1603" s="76">
        <f>STOCK[[#This Row],[Precio Final]]-STOCK[[#This Row],[Costo total]]</f>
        <v>6.2</v>
      </c>
      <c r="X1603" s="76">
        <f>STOCK[[#This Row],[Ganancia Unitaria]]*STOCK[[#This Row],[Salidas]]</f>
        <v>0</v>
      </c>
      <c r="Y1603" s="76"/>
      <c r="Z1603" s="76"/>
      <c r="AA1603" s="54">
        <f>STOCK[[#This Row],[Costo total]]*STOCK[[#This Row],[Entradas]]</f>
        <v>11.8</v>
      </c>
      <c r="AB1603" s="54">
        <f>STOCK[[#This Row],[Stock Actual]]*STOCK[[#This Row],[Costo total]]</f>
        <v>11.8</v>
      </c>
      <c r="AC1603" s="76"/>
      <c r="AD1603" s="82"/>
    </row>
    <row r="1604" s="53" customFormat="1" ht="50" customHeight="1" spans="1:30">
      <c r="A1604" s="53" t="s">
        <v>3182</v>
      </c>
      <c r="B1604" s="70" t="str">
        <f>_xlfn.DISPIMG("ID_369D3B6160B245A482A99DEFA0E3400D",1)</f>
        <v>=DISPIMG("ID_369D3B6160B245A482A99DEFA0E3400D",1)</v>
      </c>
      <c r="C1604" s="53" t="s">
        <v>32</v>
      </c>
      <c r="D1604" s="53" t="s">
        <v>749</v>
      </c>
      <c r="E1604" s="53" t="s">
        <v>3181</v>
      </c>
      <c r="F1604" s="53" t="s">
        <v>42</v>
      </c>
      <c r="H1604" s="76">
        <f>STOCK[[#This Row],[Precio Final]]</f>
        <v>18</v>
      </c>
      <c r="I1604" s="80">
        <f>STOCK[[#This Row],[Precio Venta Ideal (x1.5)]]</f>
        <v>17.7</v>
      </c>
      <c r="J1604" s="70">
        <v>1</v>
      </c>
      <c r="K1604" s="78">
        <f>SUMIFS(VENTAS[Cantidad],VENTAS[Código del producto Vendido],STOCK[[#This Row],[Code]])</f>
        <v>0</v>
      </c>
      <c r="L1604" s="78">
        <f>STOCK[[#This Row],[Entradas]]-STOCK[[#This Row],[Salidas]]</f>
        <v>1</v>
      </c>
      <c r="M1604" s="76">
        <f>STOCK[[#This Row],[Precio Final]]*10%</f>
        <v>1.8</v>
      </c>
      <c r="N1604" s="53">
        <v>0</v>
      </c>
      <c r="O1604" s="76">
        <v>0</v>
      </c>
      <c r="P1604" s="53">
        <v>10</v>
      </c>
      <c r="Q1604" s="71">
        <v>0</v>
      </c>
      <c r="R1604" s="53">
        <v>0</v>
      </c>
      <c r="S1604" s="54">
        <v>0</v>
      </c>
      <c r="T1604" s="76">
        <f>STOCK[[#This Row],[Costo Unitario (USD)]]+STOCK[[#This Row],[Costo Envío (USD)]]+STOCK[[#This Row],[Comisión 10%]]</f>
        <v>11.8</v>
      </c>
      <c r="U1604" s="53">
        <f>STOCK[[#This Row],[Costo total]]*1.5</f>
        <v>17.7</v>
      </c>
      <c r="V1604" s="53">
        <v>18</v>
      </c>
      <c r="W1604" s="76">
        <f>STOCK[[#This Row],[Precio Final]]-STOCK[[#This Row],[Costo total]]</f>
        <v>6.2</v>
      </c>
      <c r="X1604" s="76">
        <f>STOCK[[#This Row],[Ganancia Unitaria]]*STOCK[[#This Row],[Salidas]]</f>
        <v>0</v>
      </c>
      <c r="Y1604" s="76"/>
      <c r="Z1604" s="76"/>
      <c r="AA1604" s="54">
        <f>STOCK[[#This Row],[Costo total]]*STOCK[[#This Row],[Entradas]]</f>
        <v>11.8</v>
      </c>
      <c r="AB1604" s="54">
        <f>STOCK[[#This Row],[Stock Actual]]*STOCK[[#This Row],[Costo total]]</f>
        <v>11.8</v>
      </c>
      <c r="AC1604" s="76"/>
      <c r="AD1604" s="82"/>
    </row>
    <row r="1605" s="53" customFormat="1" ht="50" customHeight="1" spans="1:30">
      <c r="A1605" s="53" t="s">
        <v>3183</v>
      </c>
      <c r="B1605" s="70" t="str">
        <f>_xlfn.DISPIMG("ID_369D3B6160B245A482A99DEFA0E3400D",1)</f>
        <v>=DISPIMG("ID_369D3B6160B245A482A99DEFA0E3400D",1)</v>
      </c>
      <c r="C1605" s="53" t="s">
        <v>32</v>
      </c>
      <c r="D1605" s="53" t="s">
        <v>749</v>
      </c>
      <c r="E1605" s="53" t="s">
        <v>3181</v>
      </c>
      <c r="F1605" s="53" t="s">
        <v>62</v>
      </c>
      <c r="H1605" s="76">
        <f>STOCK[[#This Row],[Precio Final]]</f>
        <v>18</v>
      </c>
      <c r="I1605" s="80">
        <f>STOCK[[#This Row],[Precio Venta Ideal (x1.5)]]</f>
        <v>17.7</v>
      </c>
      <c r="J1605" s="70">
        <v>1</v>
      </c>
      <c r="K1605" s="78">
        <f>SUMIFS(VENTAS[Cantidad],VENTAS[Código del producto Vendido],STOCK[[#This Row],[Code]])</f>
        <v>0</v>
      </c>
      <c r="L1605" s="78">
        <f>STOCK[[#This Row],[Entradas]]-STOCK[[#This Row],[Salidas]]</f>
        <v>1</v>
      </c>
      <c r="M1605" s="76">
        <f>STOCK[[#This Row],[Precio Final]]*10%</f>
        <v>1.8</v>
      </c>
      <c r="N1605" s="54">
        <v>0</v>
      </c>
      <c r="O1605" s="76">
        <v>0</v>
      </c>
      <c r="P1605" s="53">
        <v>10</v>
      </c>
      <c r="Q1605" s="70">
        <v>0</v>
      </c>
      <c r="R1605" s="54">
        <v>0</v>
      </c>
      <c r="S1605" s="53">
        <v>0</v>
      </c>
      <c r="T1605" s="76">
        <f>STOCK[[#This Row],[Costo Unitario (USD)]]+STOCK[[#This Row],[Costo Envío (USD)]]+STOCK[[#This Row],[Comisión 10%]]</f>
        <v>11.8</v>
      </c>
      <c r="U1605" s="53">
        <f>STOCK[[#This Row],[Costo total]]*1.5</f>
        <v>17.7</v>
      </c>
      <c r="V1605" s="53">
        <v>18</v>
      </c>
      <c r="W1605" s="76">
        <f>STOCK[[#This Row],[Precio Final]]-STOCK[[#This Row],[Costo total]]</f>
        <v>6.2</v>
      </c>
      <c r="X1605" s="76">
        <f>STOCK[[#This Row],[Ganancia Unitaria]]*STOCK[[#This Row],[Salidas]]</f>
        <v>0</v>
      </c>
      <c r="Y1605" s="76"/>
      <c r="Z1605" s="76"/>
      <c r="AA1605" s="54">
        <f>STOCK[[#This Row],[Costo total]]*STOCK[[#This Row],[Entradas]]</f>
        <v>11.8</v>
      </c>
      <c r="AB1605" s="54">
        <f>STOCK[[#This Row],[Stock Actual]]*STOCK[[#This Row],[Costo total]]</f>
        <v>11.8</v>
      </c>
      <c r="AC1605" s="76"/>
      <c r="AD1605" s="82"/>
    </row>
    <row r="1606" s="53" customFormat="1" ht="50" customHeight="1" spans="1:30">
      <c r="A1606" s="53" t="s">
        <v>3184</v>
      </c>
      <c r="B1606" s="70" t="str">
        <f>_xlfn.DISPIMG("ID_7F752E326DE9458E9D3971BF2B070137",1)</f>
        <v>=DISPIMG("ID_7F752E326DE9458E9D3971BF2B070137",1)</v>
      </c>
      <c r="C1606" s="53" t="s">
        <v>32</v>
      </c>
      <c r="D1606" s="53" t="s">
        <v>749</v>
      </c>
      <c r="E1606" s="53" t="s">
        <v>3185</v>
      </c>
      <c r="F1606" s="53" t="s">
        <v>49</v>
      </c>
      <c r="H1606" s="76">
        <f>STOCK[[#This Row],[Precio Final]]</f>
        <v>18</v>
      </c>
      <c r="I1606" s="80">
        <f>STOCK[[#This Row],[Precio Venta Ideal (x1.5)]]</f>
        <v>17.7</v>
      </c>
      <c r="J1606" s="70">
        <v>1</v>
      </c>
      <c r="K1606" s="78">
        <f>SUMIFS(VENTAS[Cantidad],VENTAS[Código del producto Vendido],STOCK[[#This Row],[Code]])</f>
        <v>1</v>
      </c>
      <c r="L1606" s="78">
        <f>STOCK[[#This Row],[Entradas]]-STOCK[[#This Row],[Salidas]]</f>
        <v>0</v>
      </c>
      <c r="M1606" s="76">
        <f>STOCK[[#This Row],[Precio Final]]*10%</f>
        <v>1.8</v>
      </c>
      <c r="N1606" s="54">
        <v>0</v>
      </c>
      <c r="O1606" s="76">
        <v>0</v>
      </c>
      <c r="P1606" s="53">
        <v>10</v>
      </c>
      <c r="Q1606" s="70">
        <v>0</v>
      </c>
      <c r="R1606" s="53">
        <v>0</v>
      </c>
      <c r="S1606" s="54">
        <v>0</v>
      </c>
      <c r="T1606" s="76">
        <f>STOCK[[#This Row],[Costo Unitario (USD)]]+STOCK[[#This Row],[Costo Envío (USD)]]+STOCK[[#This Row],[Comisión 10%]]</f>
        <v>11.8</v>
      </c>
      <c r="U1606" s="53">
        <f>STOCK[[#This Row],[Costo total]]*1.5</f>
        <v>17.7</v>
      </c>
      <c r="V1606" s="53">
        <v>18</v>
      </c>
      <c r="W1606" s="76">
        <f>STOCK[[#This Row],[Precio Final]]-STOCK[[#This Row],[Costo total]]</f>
        <v>6.2</v>
      </c>
      <c r="X1606" s="76">
        <f>STOCK[[#This Row],[Ganancia Unitaria]]*STOCK[[#This Row],[Salidas]]</f>
        <v>6.2</v>
      </c>
      <c r="Y1606" s="76"/>
      <c r="Z1606" s="76"/>
      <c r="AA1606" s="54">
        <f>STOCK[[#This Row],[Costo total]]*STOCK[[#This Row],[Entradas]]</f>
        <v>11.8</v>
      </c>
      <c r="AB1606" s="54">
        <f>STOCK[[#This Row],[Stock Actual]]*STOCK[[#This Row],[Costo total]]</f>
        <v>0</v>
      </c>
      <c r="AC1606" s="76"/>
      <c r="AD1606" s="82"/>
    </row>
    <row r="1607" s="53" customFormat="1" ht="50" customHeight="1" spans="1:30">
      <c r="A1607" s="53" t="s">
        <v>3186</v>
      </c>
      <c r="B1607" s="70" t="str">
        <f>_xlfn.DISPIMG("ID_7F752E326DE9458E9D3971BF2B070137",1)</f>
        <v>=DISPIMG("ID_7F752E326DE9458E9D3971BF2B070137",1)</v>
      </c>
      <c r="C1607" s="53" t="s">
        <v>32</v>
      </c>
      <c r="D1607" s="53" t="s">
        <v>749</v>
      </c>
      <c r="E1607" s="53" t="s">
        <v>3185</v>
      </c>
      <c r="F1607" s="53" t="s">
        <v>46</v>
      </c>
      <c r="H1607" s="76">
        <f>STOCK[[#This Row],[Precio Final]]</f>
        <v>18</v>
      </c>
      <c r="I1607" s="80">
        <f>STOCK[[#This Row],[Precio Venta Ideal (x1.5)]]</f>
        <v>17.7</v>
      </c>
      <c r="J1607" s="70">
        <v>2</v>
      </c>
      <c r="K1607" s="78">
        <f>SUMIFS(VENTAS[Cantidad],VENTAS[Código del producto Vendido],STOCK[[#This Row],[Code]])</f>
        <v>0</v>
      </c>
      <c r="L1607" s="78">
        <f>STOCK[[#This Row],[Entradas]]-STOCK[[#This Row],[Salidas]]</f>
        <v>2</v>
      </c>
      <c r="M1607" s="76">
        <f>STOCK[[#This Row],[Precio Final]]*10%</f>
        <v>1.8</v>
      </c>
      <c r="N1607" s="53">
        <v>0</v>
      </c>
      <c r="O1607" s="76">
        <v>0</v>
      </c>
      <c r="P1607" s="53">
        <v>10</v>
      </c>
      <c r="Q1607" s="71">
        <v>0</v>
      </c>
      <c r="R1607" s="54">
        <v>0</v>
      </c>
      <c r="S1607" s="54">
        <v>0</v>
      </c>
      <c r="T1607" s="76">
        <f>STOCK[[#This Row],[Costo Unitario (USD)]]+STOCK[[#This Row],[Costo Envío (USD)]]+STOCK[[#This Row],[Comisión 10%]]</f>
        <v>11.8</v>
      </c>
      <c r="U1607" s="53">
        <f>STOCK[[#This Row],[Costo total]]*1.5</f>
        <v>17.7</v>
      </c>
      <c r="V1607" s="53">
        <v>18</v>
      </c>
      <c r="W1607" s="76">
        <f>STOCK[[#This Row],[Precio Final]]-STOCK[[#This Row],[Costo total]]</f>
        <v>6.2</v>
      </c>
      <c r="X1607" s="76">
        <f>STOCK[[#This Row],[Ganancia Unitaria]]*STOCK[[#This Row],[Salidas]]</f>
        <v>0</v>
      </c>
      <c r="Y1607" s="76"/>
      <c r="Z1607" s="76"/>
      <c r="AA1607" s="54">
        <f>STOCK[[#This Row],[Costo total]]*STOCK[[#This Row],[Entradas]]</f>
        <v>23.6</v>
      </c>
      <c r="AB1607" s="54">
        <f>STOCK[[#This Row],[Stock Actual]]*STOCK[[#This Row],[Costo total]]</f>
        <v>23.6</v>
      </c>
      <c r="AC1607" s="76"/>
      <c r="AD1607" s="82"/>
    </row>
    <row r="1608" s="53" customFormat="1" ht="50" customHeight="1" spans="1:30">
      <c r="A1608" s="53" t="s">
        <v>3187</v>
      </c>
      <c r="B1608" s="70" t="str">
        <f>_xlfn.DISPIMG("ID_7F752E326DE9458E9D3971BF2B070137",1)</f>
        <v>=DISPIMG("ID_7F752E326DE9458E9D3971BF2B070137",1)</v>
      </c>
      <c r="C1608" s="53" t="s">
        <v>32</v>
      </c>
      <c r="D1608" s="53" t="s">
        <v>749</v>
      </c>
      <c r="E1608" s="53" t="s">
        <v>3185</v>
      </c>
      <c r="F1608" s="53" t="s">
        <v>42</v>
      </c>
      <c r="H1608" s="76">
        <f>STOCK[[#This Row],[Precio Final]]</f>
        <v>18</v>
      </c>
      <c r="I1608" s="80">
        <f>STOCK[[#This Row],[Precio Venta Ideal (x1.5)]]</f>
        <v>17.7</v>
      </c>
      <c r="J1608" s="70">
        <v>1</v>
      </c>
      <c r="K1608" s="78">
        <f>SUMIFS(VENTAS[Cantidad],VENTAS[Código del producto Vendido],STOCK[[#This Row],[Code]])</f>
        <v>0</v>
      </c>
      <c r="L1608" s="78">
        <f>STOCK[[#This Row],[Entradas]]-STOCK[[#This Row],[Salidas]]</f>
        <v>1</v>
      </c>
      <c r="M1608" s="76">
        <f>STOCK[[#This Row],[Precio Final]]*10%</f>
        <v>1.8</v>
      </c>
      <c r="N1608" s="54">
        <v>0</v>
      </c>
      <c r="O1608" s="76">
        <v>0</v>
      </c>
      <c r="P1608" s="53">
        <v>10</v>
      </c>
      <c r="Q1608" s="70">
        <v>0</v>
      </c>
      <c r="R1608" s="53">
        <v>0</v>
      </c>
      <c r="S1608" s="53">
        <v>0</v>
      </c>
      <c r="T1608" s="76">
        <f>STOCK[[#This Row],[Costo Unitario (USD)]]+STOCK[[#This Row],[Costo Envío (USD)]]+STOCK[[#This Row],[Comisión 10%]]</f>
        <v>11.8</v>
      </c>
      <c r="U1608" s="53">
        <f>STOCK[[#This Row],[Costo total]]*1.5</f>
        <v>17.7</v>
      </c>
      <c r="V1608" s="53">
        <v>18</v>
      </c>
      <c r="W1608" s="76">
        <f>STOCK[[#This Row],[Precio Final]]-STOCK[[#This Row],[Costo total]]</f>
        <v>6.2</v>
      </c>
      <c r="X1608" s="76">
        <f>STOCK[[#This Row],[Ganancia Unitaria]]*STOCK[[#This Row],[Salidas]]</f>
        <v>0</v>
      </c>
      <c r="Y1608" s="76"/>
      <c r="Z1608" s="76"/>
      <c r="AA1608" s="54">
        <f>STOCK[[#This Row],[Costo total]]*STOCK[[#This Row],[Entradas]]</f>
        <v>11.8</v>
      </c>
      <c r="AB1608" s="54">
        <f>STOCK[[#This Row],[Stock Actual]]*STOCK[[#This Row],[Costo total]]</f>
        <v>11.8</v>
      </c>
      <c r="AC1608" s="76"/>
      <c r="AD1608" s="82"/>
    </row>
    <row r="1609" s="53" customFormat="1" ht="50" customHeight="1" spans="1:30">
      <c r="A1609" s="53" t="s">
        <v>3188</v>
      </c>
      <c r="C1609" s="53" t="s">
        <v>32</v>
      </c>
      <c r="D1609" s="53" t="s">
        <v>749</v>
      </c>
      <c r="E1609" s="53" t="s">
        <v>3189</v>
      </c>
      <c r="F1609" s="53" t="s">
        <v>42</v>
      </c>
      <c r="H1609" s="76">
        <f>STOCK[[#This Row],[Precio Final]]</f>
        <v>18</v>
      </c>
      <c r="I1609" s="80">
        <f>STOCK[[#This Row],[Precio Venta Ideal (x1.5)]]</f>
        <v>17.7</v>
      </c>
      <c r="J1609" s="70">
        <v>1</v>
      </c>
      <c r="K1609" s="78">
        <f>SUMIFS(VENTAS[Cantidad],VENTAS[Código del producto Vendido],STOCK[[#This Row],[Code]])</f>
        <v>0</v>
      </c>
      <c r="L1609" s="78">
        <f>STOCK[[#This Row],[Entradas]]-STOCK[[#This Row],[Salidas]]</f>
        <v>1</v>
      </c>
      <c r="M1609" s="76">
        <f>STOCK[[#This Row],[Precio Final]]*10%</f>
        <v>1.8</v>
      </c>
      <c r="N1609" s="54">
        <v>0</v>
      </c>
      <c r="O1609" s="76">
        <v>0</v>
      </c>
      <c r="P1609" s="53">
        <v>10</v>
      </c>
      <c r="Q1609" s="70">
        <v>0</v>
      </c>
      <c r="R1609" s="54">
        <v>0</v>
      </c>
      <c r="S1609" s="54">
        <v>0</v>
      </c>
      <c r="T1609" s="76">
        <f>STOCK[[#This Row],[Costo Unitario (USD)]]+STOCK[[#This Row],[Costo Envío (USD)]]+STOCK[[#This Row],[Comisión 10%]]</f>
        <v>11.8</v>
      </c>
      <c r="U1609" s="53">
        <f>STOCK[[#This Row],[Costo total]]*1.5</f>
        <v>17.7</v>
      </c>
      <c r="V1609" s="53">
        <v>18</v>
      </c>
      <c r="W1609" s="76">
        <f>STOCK[[#This Row],[Precio Final]]-STOCK[[#This Row],[Costo total]]</f>
        <v>6.2</v>
      </c>
      <c r="X1609" s="76">
        <f>STOCK[[#This Row],[Ganancia Unitaria]]*STOCK[[#This Row],[Salidas]]</f>
        <v>0</v>
      </c>
      <c r="Y1609" s="76"/>
      <c r="Z1609" s="76"/>
      <c r="AA1609" s="54">
        <f>STOCK[[#This Row],[Costo total]]*STOCK[[#This Row],[Entradas]]</f>
        <v>11.8</v>
      </c>
      <c r="AB1609" s="54">
        <f>STOCK[[#This Row],[Stock Actual]]*STOCK[[#This Row],[Costo total]]</f>
        <v>11.8</v>
      </c>
      <c r="AC1609" s="76"/>
      <c r="AD1609" s="82"/>
    </row>
    <row r="1610" s="53" customFormat="1" ht="50" customHeight="1" spans="1:30">
      <c r="A1610" s="53" t="s">
        <v>3190</v>
      </c>
      <c r="B1610" s="70" t="str">
        <f>_xlfn.DISPIMG("ID_2975DE62BF5641D3941654633AA53440",1)</f>
        <v>=DISPIMG("ID_2975DE62BF5641D3941654633AA53440",1)</v>
      </c>
      <c r="C1610" s="53" t="s">
        <v>32</v>
      </c>
      <c r="D1610" s="53" t="s">
        <v>749</v>
      </c>
      <c r="E1610" s="53" t="s">
        <v>3191</v>
      </c>
      <c r="F1610" s="53" t="s">
        <v>42</v>
      </c>
      <c r="H1610" s="76">
        <f>STOCK[[#This Row],[Precio Final]]</f>
        <v>18</v>
      </c>
      <c r="I1610" s="80">
        <f>STOCK[[#This Row],[Precio Venta Ideal (x1.5)]]</f>
        <v>17.7</v>
      </c>
      <c r="J1610" s="70">
        <v>2</v>
      </c>
      <c r="K1610" s="78">
        <f>SUMIFS(VENTAS[Cantidad],VENTAS[Código del producto Vendido],STOCK[[#This Row],[Code]])</f>
        <v>0</v>
      </c>
      <c r="L1610" s="78">
        <f>STOCK[[#This Row],[Entradas]]-STOCK[[#This Row],[Salidas]]</f>
        <v>2</v>
      </c>
      <c r="M1610" s="76">
        <f>STOCK[[#This Row],[Precio Final]]*10%</f>
        <v>1.8</v>
      </c>
      <c r="N1610" s="53">
        <v>0</v>
      </c>
      <c r="O1610" s="76">
        <v>0</v>
      </c>
      <c r="P1610" s="53">
        <v>10</v>
      </c>
      <c r="Q1610" s="71">
        <v>0</v>
      </c>
      <c r="R1610" s="53">
        <v>0</v>
      </c>
      <c r="S1610" s="54">
        <v>0</v>
      </c>
      <c r="T1610" s="76">
        <f>STOCK[[#This Row],[Costo Unitario (USD)]]+STOCK[[#This Row],[Costo Envío (USD)]]+STOCK[[#This Row],[Comisión 10%]]</f>
        <v>11.8</v>
      </c>
      <c r="U1610" s="53">
        <f>STOCK[[#This Row],[Costo total]]*1.5</f>
        <v>17.7</v>
      </c>
      <c r="V1610" s="53">
        <v>18</v>
      </c>
      <c r="W1610" s="76">
        <f>STOCK[[#This Row],[Precio Final]]-STOCK[[#This Row],[Costo total]]</f>
        <v>6.2</v>
      </c>
      <c r="X1610" s="76">
        <f>STOCK[[#This Row],[Ganancia Unitaria]]*STOCK[[#This Row],[Salidas]]</f>
        <v>0</v>
      </c>
      <c r="Y1610" s="76"/>
      <c r="Z1610" s="76"/>
      <c r="AA1610" s="54">
        <f>STOCK[[#This Row],[Costo total]]*STOCK[[#This Row],[Entradas]]</f>
        <v>23.6</v>
      </c>
      <c r="AB1610" s="54">
        <f>STOCK[[#This Row],[Stock Actual]]*STOCK[[#This Row],[Costo total]]</f>
        <v>23.6</v>
      </c>
      <c r="AC1610" s="76"/>
      <c r="AD1610" s="82"/>
    </row>
    <row r="1611" s="53" customFormat="1" ht="50" customHeight="1" spans="1:30">
      <c r="A1611" s="53" t="s">
        <v>3192</v>
      </c>
      <c r="B1611" s="70" t="str">
        <f>_xlfn.DISPIMG("ID_432F0E6BF5384984B222667A7B5EA4C8",1)</f>
        <v>=DISPIMG("ID_432F0E6BF5384984B222667A7B5EA4C8",1)</v>
      </c>
      <c r="C1611" s="53" t="s">
        <v>32</v>
      </c>
      <c r="D1611" s="53" t="s">
        <v>749</v>
      </c>
      <c r="E1611" s="53" t="s">
        <v>3193</v>
      </c>
      <c r="F1611" s="53" t="s">
        <v>49</v>
      </c>
      <c r="H1611" s="76">
        <f>STOCK[[#This Row],[Precio Final]]</f>
        <v>18</v>
      </c>
      <c r="I1611" s="80">
        <f>STOCK[[#This Row],[Precio Venta Ideal (x1.5)]]</f>
        <v>17.7</v>
      </c>
      <c r="J1611" s="70">
        <v>2</v>
      </c>
      <c r="K1611" s="78">
        <f>SUMIFS(VENTAS[Cantidad],VENTAS[Código del producto Vendido],STOCK[[#This Row],[Code]])</f>
        <v>1</v>
      </c>
      <c r="L1611" s="78">
        <f>STOCK[[#This Row],[Entradas]]-STOCK[[#This Row],[Salidas]]</f>
        <v>1</v>
      </c>
      <c r="M1611" s="76">
        <f>STOCK[[#This Row],[Precio Final]]*10%</f>
        <v>1.8</v>
      </c>
      <c r="N1611" s="54">
        <v>0</v>
      </c>
      <c r="O1611" s="76">
        <v>0</v>
      </c>
      <c r="P1611" s="53">
        <v>10</v>
      </c>
      <c r="Q1611" s="70">
        <v>0</v>
      </c>
      <c r="R1611" s="54">
        <v>0</v>
      </c>
      <c r="S1611" s="53">
        <v>0</v>
      </c>
      <c r="T1611" s="76">
        <f>STOCK[[#This Row],[Costo Unitario (USD)]]+STOCK[[#This Row],[Costo Envío (USD)]]+STOCK[[#This Row],[Comisión 10%]]</f>
        <v>11.8</v>
      </c>
      <c r="U1611" s="53">
        <f>STOCK[[#This Row],[Costo total]]*1.5</f>
        <v>17.7</v>
      </c>
      <c r="V1611" s="53">
        <v>18</v>
      </c>
      <c r="W1611" s="76">
        <f>STOCK[[#This Row],[Precio Final]]-STOCK[[#This Row],[Costo total]]</f>
        <v>6.2</v>
      </c>
      <c r="X1611" s="76">
        <f>STOCK[[#This Row],[Ganancia Unitaria]]*STOCK[[#This Row],[Salidas]]</f>
        <v>6.2</v>
      </c>
      <c r="Y1611" s="76"/>
      <c r="Z1611" s="76"/>
      <c r="AA1611" s="54">
        <f>STOCK[[#This Row],[Costo total]]*STOCK[[#This Row],[Entradas]]</f>
        <v>23.6</v>
      </c>
      <c r="AB1611" s="54">
        <f>STOCK[[#This Row],[Stock Actual]]*STOCK[[#This Row],[Costo total]]</f>
        <v>11.8</v>
      </c>
      <c r="AC1611" s="76"/>
      <c r="AD1611" s="82"/>
    </row>
    <row r="1612" s="53" customFormat="1" ht="50" customHeight="1" spans="1:30">
      <c r="A1612" s="53" t="s">
        <v>3194</v>
      </c>
      <c r="B1612" s="70" t="str">
        <f>_xlfn.DISPIMG("ID_9E5F345CDF4048A9AE9AE714630F08C6",1)</f>
        <v>=DISPIMG("ID_9E5F345CDF4048A9AE9AE714630F08C6",1)</v>
      </c>
      <c r="C1612" s="53" t="s">
        <v>32</v>
      </c>
      <c r="D1612" s="53" t="s">
        <v>749</v>
      </c>
      <c r="E1612" s="53" t="s">
        <v>3195</v>
      </c>
      <c r="F1612" s="53" t="s">
        <v>46</v>
      </c>
      <c r="H1612" s="76">
        <f>STOCK[[#This Row],[Precio Final]]</f>
        <v>18</v>
      </c>
      <c r="I1612" s="80">
        <f>STOCK[[#This Row],[Precio Venta Ideal (x1.5)]]</f>
        <v>17.7</v>
      </c>
      <c r="J1612" s="70">
        <v>1</v>
      </c>
      <c r="K1612" s="78">
        <f>SUMIFS(VENTAS[Cantidad],VENTAS[Código del producto Vendido],STOCK[[#This Row],[Code]])</f>
        <v>1</v>
      </c>
      <c r="L1612" s="78">
        <f>STOCK[[#This Row],[Entradas]]-STOCK[[#This Row],[Salidas]]</f>
        <v>0</v>
      </c>
      <c r="M1612" s="76">
        <f>STOCK[[#This Row],[Precio Final]]*10%</f>
        <v>1.8</v>
      </c>
      <c r="N1612" s="54">
        <v>0</v>
      </c>
      <c r="O1612" s="76">
        <v>0</v>
      </c>
      <c r="P1612" s="53">
        <v>10</v>
      </c>
      <c r="Q1612" s="70">
        <v>0</v>
      </c>
      <c r="R1612" s="53">
        <v>0</v>
      </c>
      <c r="S1612" s="54">
        <v>0</v>
      </c>
      <c r="T1612" s="76">
        <f>STOCK[[#This Row],[Costo Unitario (USD)]]+STOCK[[#This Row],[Costo Envío (USD)]]+STOCK[[#This Row],[Comisión 10%]]</f>
        <v>11.8</v>
      </c>
      <c r="U1612" s="53">
        <f>STOCK[[#This Row],[Costo total]]*1.5</f>
        <v>17.7</v>
      </c>
      <c r="V1612" s="53">
        <v>18</v>
      </c>
      <c r="W1612" s="76">
        <f>STOCK[[#This Row],[Precio Final]]-STOCK[[#This Row],[Costo total]]</f>
        <v>6.2</v>
      </c>
      <c r="X1612" s="76">
        <f>STOCK[[#This Row],[Ganancia Unitaria]]*STOCK[[#This Row],[Salidas]]</f>
        <v>6.2</v>
      </c>
      <c r="Y1612" s="76"/>
      <c r="Z1612" s="76"/>
      <c r="AA1612" s="54">
        <f>STOCK[[#This Row],[Costo total]]*STOCK[[#This Row],[Entradas]]</f>
        <v>11.8</v>
      </c>
      <c r="AB1612" s="54">
        <f>STOCK[[#This Row],[Stock Actual]]*STOCK[[#This Row],[Costo total]]</f>
        <v>0</v>
      </c>
      <c r="AC1612" s="76"/>
      <c r="AD1612" s="82"/>
    </row>
    <row r="1613" s="53" customFormat="1" ht="50" customHeight="1" spans="1:30">
      <c r="A1613" s="53" t="s">
        <v>3196</v>
      </c>
      <c r="B1613" s="70" t="str">
        <f>_xlfn.DISPIMG("ID_CC98686D60D34BF997D1F5A2805BB1F6",1)</f>
        <v>=DISPIMG("ID_CC98686D60D34BF997D1F5A2805BB1F6",1)</v>
      </c>
      <c r="C1613" s="53" t="s">
        <v>32</v>
      </c>
      <c r="D1613" s="53" t="s">
        <v>749</v>
      </c>
      <c r="E1613" s="53" t="s">
        <v>3197</v>
      </c>
      <c r="F1613" s="53" t="s">
        <v>42</v>
      </c>
      <c r="H1613" s="76">
        <f>STOCK[[#This Row],[Precio Final]]</f>
        <v>18</v>
      </c>
      <c r="I1613" s="80">
        <f>STOCK[[#This Row],[Precio Venta Ideal (x1.5)]]</f>
        <v>17.7</v>
      </c>
      <c r="J1613" s="70">
        <v>1</v>
      </c>
      <c r="K1613" s="78">
        <f>SUMIFS(VENTAS[Cantidad],VENTAS[Código del producto Vendido],STOCK[[#This Row],[Code]])</f>
        <v>0</v>
      </c>
      <c r="L1613" s="78">
        <f>STOCK[[#This Row],[Entradas]]-STOCK[[#This Row],[Salidas]]</f>
        <v>1</v>
      </c>
      <c r="M1613" s="76">
        <f>STOCK[[#This Row],[Precio Final]]*10%</f>
        <v>1.8</v>
      </c>
      <c r="N1613" s="53">
        <v>0</v>
      </c>
      <c r="O1613" s="76">
        <v>0</v>
      </c>
      <c r="P1613" s="53">
        <v>10</v>
      </c>
      <c r="Q1613" s="71">
        <v>0</v>
      </c>
      <c r="R1613" s="54">
        <v>0</v>
      </c>
      <c r="S1613" s="54">
        <v>0</v>
      </c>
      <c r="T1613" s="76">
        <f>STOCK[[#This Row],[Costo Unitario (USD)]]+STOCK[[#This Row],[Costo Envío (USD)]]+STOCK[[#This Row],[Comisión 10%]]</f>
        <v>11.8</v>
      </c>
      <c r="U1613" s="53">
        <f>STOCK[[#This Row],[Costo total]]*1.5</f>
        <v>17.7</v>
      </c>
      <c r="V1613" s="53">
        <v>18</v>
      </c>
      <c r="W1613" s="76">
        <f>STOCK[[#This Row],[Precio Final]]-STOCK[[#This Row],[Costo total]]</f>
        <v>6.2</v>
      </c>
      <c r="X1613" s="76">
        <f>STOCK[[#This Row],[Ganancia Unitaria]]*STOCK[[#This Row],[Salidas]]</f>
        <v>0</v>
      </c>
      <c r="Y1613" s="76"/>
      <c r="Z1613" s="76"/>
      <c r="AA1613" s="54">
        <f>STOCK[[#This Row],[Costo total]]*STOCK[[#This Row],[Entradas]]</f>
        <v>11.8</v>
      </c>
      <c r="AB1613" s="54">
        <f>STOCK[[#This Row],[Stock Actual]]*STOCK[[#This Row],[Costo total]]</f>
        <v>11.8</v>
      </c>
      <c r="AC1613" s="76"/>
      <c r="AD1613" s="82"/>
    </row>
    <row r="1614" s="53" customFormat="1" ht="50" customHeight="1" spans="1:30">
      <c r="A1614" s="53" t="s">
        <v>3198</v>
      </c>
      <c r="B1614" s="70" t="str">
        <f>_xlfn.DISPIMG("ID_CC98686D60D34BF997D1F5A2805BB1F6",1)</f>
        <v>=DISPIMG("ID_CC98686D60D34BF997D1F5A2805BB1F6",1)</v>
      </c>
      <c r="C1614" s="53" t="s">
        <v>32</v>
      </c>
      <c r="D1614" s="53" t="s">
        <v>749</v>
      </c>
      <c r="E1614" s="53" t="s">
        <v>3197</v>
      </c>
      <c r="F1614" s="53" t="s">
        <v>62</v>
      </c>
      <c r="H1614" s="76">
        <f>STOCK[[#This Row],[Precio Final]]</f>
        <v>18</v>
      </c>
      <c r="I1614" s="80">
        <f>STOCK[[#This Row],[Precio Venta Ideal (x1.5)]]</f>
        <v>17.7</v>
      </c>
      <c r="J1614" s="70">
        <v>1</v>
      </c>
      <c r="K1614" s="78">
        <f>SUMIFS(VENTAS[Cantidad],VENTAS[Código del producto Vendido],STOCK[[#This Row],[Code]])</f>
        <v>1</v>
      </c>
      <c r="L1614" s="78">
        <f>STOCK[[#This Row],[Entradas]]-STOCK[[#This Row],[Salidas]]</f>
        <v>0</v>
      </c>
      <c r="M1614" s="76">
        <f>STOCK[[#This Row],[Precio Final]]*10%</f>
        <v>1.8</v>
      </c>
      <c r="N1614" s="54">
        <v>0</v>
      </c>
      <c r="O1614" s="76">
        <v>0</v>
      </c>
      <c r="P1614" s="53">
        <v>10</v>
      </c>
      <c r="Q1614" s="70">
        <v>0</v>
      </c>
      <c r="R1614" s="53">
        <v>0</v>
      </c>
      <c r="S1614" s="53">
        <v>0</v>
      </c>
      <c r="T1614" s="76">
        <f>STOCK[[#This Row],[Costo Unitario (USD)]]+STOCK[[#This Row],[Costo Envío (USD)]]+STOCK[[#This Row],[Comisión 10%]]</f>
        <v>11.8</v>
      </c>
      <c r="U1614" s="53">
        <f>STOCK[[#This Row],[Costo total]]*1.5</f>
        <v>17.7</v>
      </c>
      <c r="V1614" s="53">
        <v>18</v>
      </c>
      <c r="W1614" s="76">
        <f>STOCK[[#This Row],[Precio Final]]-STOCK[[#This Row],[Costo total]]</f>
        <v>6.2</v>
      </c>
      <c r="X1614" s="76">
        <f>STOCK[[#This Row],[Ganancia Unitaria]]*STOCK[[#This Row],[Salidas]]</f>
        <v>6.2</v>
      </c>
      <c r="Y1614" s="76"/>
      <c r="Z1614" s="76"/>
      <c r="AA1614" s="54">
        <f>STOCK[[#This Row],[Costo total]]*STOCK[[#This Row],[Entradas]]</f>
        <v>11.8</v>
      </c>
      <c r="AB1614" s="54">
        <f>STOCK[[#This Row],[Stock Actual]]*STOCK[[#This Row],[Costo total]]</f>
        <v>0</v>
      </c>
      <c r="AC1614" s="76"/>
      <c r="AD1614" s="82"/>
    </row>
    <row r="1615" s="53" customFormat="1" ht="50" customHeight="1" spans="1:30">
      <c r="A1615" s="53" t="s">
        <v>3199</v>
      </c>
      <c r="B1615" s="70" t="str">
        <f>_xlfn.DISPIMG("ID_CC98686D60D34BF997D1F5A2805BB1F6",1)</f>
        <v>=DISPIMG("ID_CC98686D60D34BF997D1F5A2805BB1F6",1)</v>
      </c>
      <c r="C1615" s="53" t="s">
        <v>32</v>
      </c>
      <c r="D1615" s="53" t="s">
        <v>749</v>
      </c>
      <c r="E1615" s="53" t="s">
        <v>3197</v>
      </c>
      <c r="F1615" s="53" t="s">
        <v>49</v>
      </c>
      <c r="H1615" s="76">
        <f>STOCK[[#This Row],[Precio Final]]</f>
        <v>18</v>
      </c>
      <c r="I1615" s="80">
        <f>STOCK[[#This Row],[Precio Venta Ideal (x1.5)]]</f>
        <v>17.7</v>
      </c>
      <c r="J1615" s="70">
        <v>1</v>
      </c>
      <c r="K1615" s="78">
        <f>SUMIFS(VENTAS[Cantidad],VENTAS[Código del producto Vendido],STOCK[[#This Row],[Code]])</f>
        <v>1</v>
      </c>
      <c r="L1615" s="78">
        <f>STOCK[[#This Row],[Entradas]]-STOCK[[#This Row],[Salidas]]</f>
        <v>0</v>
      </c>
      <c r="M1615" s="76">
        <f>STOCK[[#This Row],[Precio Final]]*10%</f>
        <v>1.8</v>
      </c>
      <c r="N1615" s="54">
        <v>0</v>
      </c>
      <c r="O1615" s="76">
        <v>0</v>
      </c>
      <c r="P1615" s="53">
        <v>10</v>
      </c>
      <c r="Q1615" s="70">
        <v>0</v>
      </c>
      <c r="R1615" s="54">
        <v>0</v>
      </c>
      <c r="S1615" s="54">
        <v>0</v>
      </c>
      <c r="T1615" s="76">
        <f>STOCK[[#This Row],[Costo Unitario (USD)]]+STOCK[[#This Row],[Costo Envío (USD)]]+STOCK[[#This Row],[Comisión 10%]]</f>
        <v>11.8</v>
      </c>
      <c r="U1615" s="53">
        <f>STOCK[[#This Row],[Costo total]]*1.5</f>
        <v>17.7</v>
      </c>
      <c r="V1615" s="53">
        <v>18</v>
      </c>
      <c r="W1615" s="76">
        <f>STOCK[[#This Row],[Precio Final]]-STOCK[[#This Row],[Costo total]]</f>
        <v>6.2</v>
      </c>
      <c r="X1615" s="76">
        <f>STOCK[[#This Row],[Ganancia Unitaria]]*STOCK[[#This Row],[Salidas]]</f>
        <v>6.2</v>
      </c>
      <c r="Y1615" s="76"/>
      <c r="Z1615" s="76"/>
      <c r="AA1615" s="54">
        <f>STOCK[[#This Row],[Costo total]]*STOCK[[#This Row],[Entradas]]</f>
        <v>11.8</v>
      </c>
      <c r="AB1615" s="54">
        <f>STOCK[[#This Row],[Stock Actual]]*STOCK[[#This Row],[Costo total]]</f>
        <v>0</v>
      </c>
      <c r="AC1615" s="76"/>
      <c r="AD1615" s="82"/>
    </row>
    <row r="1616" s="53" customFormat="1" ht="50" customHeight="1" spans="1:30">
      <c r="A1616" s="53" t="s">
        <v>3200</v>
      </c>
      <c r="B1616" s="70" t="str">
        <f>_xlfn.DISPIMG("ID_9D86C42268174E569F1B44CA83A94651",1)</f>
        <v>=DISPIMG("ID_9D86C42268174E569F1B44CA83A94651",1)</v>
      </c>
      <c r="C1616" s="53" t="s">
        <v>32</v>
      </c>
      <c r="D1616" s="53" t="s">
        <v>749</v>
      </c>
      <c r="E1616" s="53" t="s">
        <v>3201</v>
      </c>
      <c r="F1616" s="53" t="s">
        <v>40</v>
      </c>
      <c r="H1616" s="76">
        <f>STOCK[[#This Row],[Precio Final]]</f>
        <v>18</v>
      </c>
      <c r="I1616" s="80">
        <f>STOCK[[#This Row],[Precio Venta Ideal (x1.5)]]</f>
        <v>17.7</v>
      </c>
      <c r="J1616" s="70">
        <v>1</v>
      </c>
      <c r="K1616" s="78">
        <f>SUMIFS(VENTAS[Cantidad],VENTAS[Código del producto Vendido],STOCK[[#This Row],[Code]])</f>
        <v>0</v>
      </c>
      <c r="L1616" s="78">
        <f>STOCK[[#This Row],[Entradas]]-STOCK[[#This Row],[Salidas]]</f>
        <v>1</v>
      </c>
      <c r="M1616" s="76">
        <f>STOCK[[#This Row],[Precio Final]]*10%</f>
        <v>1.8</v>
      </c>
      <c r="N1616" s="53">
        <v>0</v>
      </c>
      <c r="O1616" s="76">
        <v>0</v>
      </c>
      <c r="P1616" s="53">
        <v>10</v>
      </c>
      <c r="Q1616" s="71">
        <v>0</v>
      </c>
      <c r="R1616" s="53">
        <v>0</v>
      </c>
      <c r="S1616" s="54">
        <v>0</v>
      </c>
      <c r="T1616" s="76">
        <f>STOCK[[#This Row],[Costo Unitario (USD)]]+STOCK[[#This Row],[Costo Envío (USD)]]+STOCK[[#This Row],[Comisión 10%]]</f>
        <v>11.8</v>
      </c>
      <c r="U1616" s="53">
        <f>STOCK[[#This Row],[Costo total]]*1.5</f>
        <v>17.7</v>
      </c>
      <c r="V1616" s="53">
        <v>18</v>
      </c>
      <c r="W1616" s="76">
        <f>STOCK[[#This Row],[Precio Final]]-STOCK[[#This Row],[Costo total]]</f>
        <v>6.2</v>
      </c>
      <c r="X1616" s="76">
        <f>STOCK[[#This Row],[Ganancia Unitaria]]*STOCK[[#This Row],[Salidas]]</f>
        <v>0</v>
      </c>
      <c r="Y1616" s="76"/>
      <c r="Z1616" s="76"/>
      <c r="AA1616" s="54">
        <f>STOCK[[#This Row],[Costo total]]*STOCK[[#This Row],[Entradas]]</f>
        <v>11.8</v>
      </c>
      <c r="AB1616" s="54">
        <f>STOCK[[#This Row],[Stock Actual]]*STOCK[[#This Row],[Costo total]]</f>
        <v>11.8</v>
      </c>
      <c r="AC1616" s="76"/>
      <c r="AD1616" s="82"/>
    </row>
    <row r="1617" s="53" customFormat="1" ht="50" customHeight="1" spans="1:30">
      <c r="A1617" s="53" t="s">
        <v>3202</v>
      </c>
      <c r="B1617" s="70" t="str">
        <f>_xlfn.DISPIMG("ID_6192ED3DEF4E40E0B9CB7A8B01908DF1",1)</f>
        <v>=DISPIMG("ID_6192ED3DEF4E40E0B9CB7A8B01908DF1",1)</v>
      </c>
      <c r="C1617" s="53" t="s">
        <v>32</v>
      </c>
      <c r="D1617" s="53" t="s">
        <v>749</v>
      </c>
      <c r="E1617" s="53" t="s">
        <v>3203</v>
      </c>
      <c r="F1617" s="53" t="s">
        <v>46</v>
      </c>
      <c r="H1617" s="76">
        <f>STOCK[[#This Row],[Precio Final]]</f>
        <v>18</v>
      </c>
      <c r="I1617" s="80">
        <f>STOCK[[#This Row],[Precio Venta Ideal (x1.5)]]</f>
        <v>17.7</v>
      </c>
      <c r="J1617" s="70">
        <v>1</v>
      </c>
      <c r="K1617" s="78">
        <f>SUMIFS(VENTAS[Cantidad],VENTAS[Código del producto Vendido],STOCK[[#This Row],[Code]])</f>
        <v>0</v>
      </c>
      <c r="L1617" s="78">
        <f>STOCK[[#This Row],[Entradas]]-STOCK[[#This Row],[Salidas]]</f>
        <v>1</v>
      </c>
      <c r="M1617" s="76">
        <f>STOCK[[#This Row],[Precio Final]]*10%</f>
        <v>1.8</v>
      </c>
      <c r="N1617" s="54">
        <v>0</v>
      </c>
      <c r="O1617" s="76">
        <v>0</v>
      </c>
      <c r="P1617" s="53">
        <v>10</v>
      </c>
      <c r="Q1617" s="70">
        <v>0</v>
      </c>
      <c r="R1617" s="54">
        <v>0</v>
      </c>
      <c r="S1617" s="53">
        <v>0</v>
      </c>
      <c r="T1617" s="76">
        <f>STOCK[[#This Row],[Costo Unitario (USD)]]+STOCK[[#This Row],[Costo Envío (USD)]]+STOCK[[#This Row],[Comisión 10%]]</f>
        <v>11.8</v>
      </c>
      <c r="U1617" s="53">
        <f>STOCK[[#This Row],[Costo total]]*1.5</f>
        <v>17.7</v>
      </c>
      <c r="V1617" s="53">
        <v>18</v>
      </c>
      <c r="W1617" s="76">
        <f>STOCK[[#This Row],[Precio Final]]-STOCK[[#This Row],[Costo total]]</f>
        <v>6.2</v>
      </c>
      <c r="X1617" s="76">
        <f>STOCK[[#This Row],[Ganancia Unitaria]]*STOCK[[#This Row],[Salidas]]</f>
        <v>0</v>
      </c>
      <c r="Y1617" s="76"/>
      <c r="Z1617" s="76"/>
      <c r="AA1617" s="54">
        <f>STOCK[[#This Row],[Costo total]]*STOCK[[#This Row],[Entradas]]</f>
        <v>11.8</v>
      </c>
      <c r="AB1617" s="54">
        <f>STOCK[[#This Row],[Stock Actual]]*STOCK[[#This Row],[Costo total]]</f>
        <v>11.8</v>
      </c>
      <c r="AC1617" s="76"/>
      <c r="AD1617" s="82"/>
    </row>
    <row r="1618" s="53" customFormat="1" ht="50" customHeight="1" spans="1:30">
      <c r="A1618" s="53" t="s">
        <v>3204</v>
      </c>
      <c r="B1618" s="70" t="str">
        <f>_xlfn.DISPIMG("ID_AA724A023AFC4FB18C89A785789FBDC6",1)</f>
        <v>=DISPIMG("ID_AA724A023AFC4FB18C89A785789FBDC6",1)</v>
      </c>
      <c r="C1618" s="53" t="s">
        <v>32</v>
      </c>
      <c r="D1618" s="53" t="s">
        <v>749</v>
      </c>
      <c r="E1618" s="53" t="s">
        <v>3205</v>
      </c>
      <c r="F1618" s="53" t="s">
        <v>62</v>
      </c>
      <c r="H1618" s="76">
        <f>STOCK[[#This Row],[Precio Final]]</f>
        <v>18</v>
      </c>
      <c r="I1618" s="80">
        <f>STOCK[[#This Row],[Precio Venta Ideal (x1.5)]]</f>
        <v>17.7</v>
      </c>
      <c r="J1618" s="70">
        <v>1</v>
      </c>
      <c r="K1618" s="78">
        <f>SUMIFS(VENTAS[Cantidad],VENTAS[Código del producto Vendido],STOCK[[#This Row],[Code]])</f>
        <v>1</v>
      </c>
      <c r="L1618" s="78">
        <f>STOCK[[#This Row],[Entradas]]-STOCK[[#This Row],[Salidas]]</f>
        <v>0</v>
      </c>
      <c r="M1618" s="76">
        <f>STOCK[[#This Row],[Precio Final]]*10%</f>
        <v>1.8</v>
      </c>
      <c r="N1618" s="54">
        <v>0</v>
      </c>
      <c r="O1618" s="76">
        <v>0</v>
      </c>
      <c r="P1618" s="53">
        <v>10</v>
      </c>
      <c r="Q1618" s="70">
        <v>0</v>
      </c>
      <c r="R1618" s="53">
        <v>0</v>
      </c>
      <c r="S1618" s="54">
        <v>0</v>
      </c>
      <c r="T1618" s="76">
        <f>STOCK[[#This Row],[Costo Unitario (USD)]]+STOCK[[#This Row],[Costo Envío (USD)]]+STOCK[[#This Row],[Comisión 10%]]</f>
        <v>11.8</v>
      </c>
      <c r="U1618" s="53">
        <f>STOCK[[#This Row],[Costo total]]*1.5</f>
        <v>17.7</v>
      </c>
      <c r="V1618" s="53">
        <v>18</v>
      </c>
      <c r="W1618" s="76">
        <f>STOCK[[#This Row],[Precio Final]]-STOCK[[#This Row],[Costo total]]</f>
        <v>6.2</v>
      </c>
      <c r="X1618" s="76">
        <f>STOCK[[#This Row],[Ganancia Unitaria]]*STOCK[[#This Row],[Salidas]]</f>
        <v>6.2</v>
      </c>
      <c r="Y1618" s="76"/>
      <c r="Z1618" s="76"/>
      <c r="AA1618" s="54">
        <f>STOCK[[#This Row],[Costo total]]*STOCK[[#This Row],[Entradas]]</f>
        <v>11.8</v>
      </c>
      <c r="AB1618" s="54">
        <f>STOCK[[#This Row],[Stock Actual]]*STOCK[[#This Row],[Costo total]]</f>
        <v>0</v>
      </c>
      <c r="AC1618" s="76"/>
      <c r="AD1618" s="82"/>
    </row>
    <row r="1619" s="53" customFormat="1" ht="50" customHeight="1" spans="1:30">
      <c r="A1619" s="53" t="s">
        <v>3206</v>
      </c>
      <c r="B1619" s="70" t="str">
        <f>_xlfn.DISPIMG("ID_8CDF2E94ACBF49349E7B534C668F72E1",1)</f>
        <v>=DISPIMG("ID_8CDF2E94ACBF49349E7B534C668F72E1",1)</v>
      </c>
      <c r="C1619" s="53" t="s">
        <v>32</v>
      </c>
      <c r="D1619" s="53" t="s">
        <v>749</v>
      </c>
      <c r="E1619" s="53" t="s">
        <v>3207</v>
      </c>
      <c r="F1619" s="53" t="s">
        <v>40</v>
      </c>
      <c r="H1619" s="76">
        <f>STOCK[[#This Row],[Precio Final]]</f>
        <v>18</v>
      </c>
      <c r="I1619" s="80">
        <f>STOCK[[#This Row],[Precio Venta Ideal (x1.5)]]</f>
        <v>17.7</v>
      </c>
      <c r="J1619" s="70">
        <v>1</v>
      </c>
      <c r="K1619" s="78">
        <f>SUMIFS(VENTAS[Cantidad],VENTAS[Código del producto Vendido],STOCK[[#This Row],[Code]])</f>
        <v>0</v>
      </c>
      <c r="L1619" s="78">
        <f>STOCK[[#This Row],[Entradas]]-STOCK[[#This Row],[Salidas]]</f>
        <v>1</v>
      </c>
      <c r="M1619" s="76">
        <f>STOCK[[#This Row],[Precio Final]]*10%</f>
        <v>1.8</v>
      </c>
      <c r="N1619" s="53">
        <v>0</v>
      </c>
      <c r="O1619" s="76">
        <v>0</v>
      </c>
      <c r="P1619" s="53">
        <v>10</v>
      </c>
      <c r="Q1619" s="71">
        <v>0</v>
      </c>
      <c r="R1619" s="54">
        <v>0</v>
      </c>
      <c r="S1619" s="54">
        <v>0</v>
      </c>
      <c r="T1619" s="76">
        <f>STOCK[[#This Row],[Costo Unitario (USD)]]+STOCK[[#This Row],[Costo Envío (USD)]]+STOCK[[#This Row],[Comisión 10%]]</f>
        <v>11.8</v>
      </c>
      <c r="U1619" s="53">
        <f>STOCK[[#This Row],[Costo total]]*1.5</f>
        <v>17.7</v>
      </c>
      <c r="V1619" s="53">
        <v>18</v>
      </c>
      <c r="W1619" s="76">
        <f>STOCK[[#This Row],[Precio Final]]-STOCK[[#This Row],[Costo total]]</f>
        <v>6.2</v>
      </c>
      <c r="X1619" s="76">
        <f>STOCK[[#This Row],[Ganancia Unitaria]]*STOCK[[#This Row],[Salidas]]</f>
        <v>0</v>
      </c>
      <c r="Y1619" s="76"/>
      <c r="Z1619" s="76"/>
      <c r="AA1619" s="54">
        <f>STOCK[[#This Row],[Costo total]]*STOCK[[#This Row],[Entradas]]</f>
        <v>11.8</v>
      </c>
      <c r="AB1619" s="54">
        <f>STOCK[[#This Row],[Stock Actual]]*STOCK[[#This Row],[Costo total]]</f>
        <v>11.8</v>
      </c>
      <c r="AC1619" s="76"/>
      <c r="AD1619" s="82"/>
    </row>
    <row r="1620" s="53" customFormat="1" ht="50" customHeight="1" spans="1:30">
      <c r="A1620" s="53" t="s">
        <v>3208</v>
      </c>
      <c r="B1620" s="70" t="str">
        <f>_xlfn.DISPIMG("ID_8CDF2E94ACBF49349E7B534C668F72E1",1)</f>
        <v>=DISPIMG("ID_8CDF2E94ACBF49349E7B534C668F72E1",1)</v>
      </c>
      <c r="C1620" s="53" t="s">
        <v>32</v>
      </c>
      <c r="D1620" s="53" t="s">
        <v>749</v>
      </c>
      <c r="E1620" s="53" t="s">
        <v>3209</v>
      </c>
      <c r="F1620" s="53" t="s">
        <v>62</v>
      </c>
      <c r="H1620" s="76">
        <f>STOCK[[#This Row],[Precio Final]]</f>
        <v>18</v>
      </c>
      <c r="I1620" s="80">
        <f>STOCK[[#This Row],[Precio Venta Ideal (x1.5)]]</f>
        <v>17.7</v>
      </c>
      <c r="J1620" s="70">
        <v>0</v>
      </c>
      <c r="K1620" s="78">
        <f>SUMIFS(VENTAS[Cantidad],VENTAS[Código del producto Vendido],STOCK[[#This Row],[Code]])</f>
        <v>0</v>
      </c>
      <c r="L1620" s="78">
        <f>STOCK[[#This Row],[Entradas]]-STOCK[[#This Row],[Salidas]]</f>
        <v>0</v>
      </c>
      <c r="M1620" s="76">
        <f>STOCK[[#This Row],[Precio Final]]*10%</f>
        <v>1.8</v>
      </c>
      <c r="N1620" s="54">
        <v>0</v>
      </c>
      <c r="O1620" s="76">
        <v>0</v>
      </c>
      <c r="P1620" s="53">
        <v>10</v>
      </c>
      <c r="Q1620" s="70">
        <v>0</v>
      </c>
      <c r="R1620" s="53">
        <v>0</v>
      </c>
      <c r="S1620" s="53">
        <v>0</v>
      </c>
      <c r="T1620" s="76">
        <f>STOCK[[#This Row],[Costo Unitario (USD)]]+STOCK[[#This Row],[Costo Envío (USD)]]+STOCK[[#This Row],[Comisión 10%]]</f>
        <v>11.8</v>
      </c>
      <c r="U1620" s="53">
        <f>STOCK[[#This Row],[Costo total]]*1.5</f>
        <v>17.7</v>
      </c>
      <c r="V1620" s="53">
        <v>18</v>
      </c>
      <c r="W1620" s="76">
        <f>STOCK[[#This Row],[Precio Final]]-STOCK[[#This Row],[Costo total]]</f>
        <v>6.2</v>
      </c>
      <c r="X1620" s="76">
        <f>STOCK[[#This Row],[Ganancia Unitaria]]*STOCK[[#This Row],[Salidas]]</f>
        <v>0</v>
      </c>
      <c r="Y1620" s="76"/>
      <c r="Z1620" s="76"/>
      <c r="AA1620" s="54">
        <f>STOCK[[#This Row],[Costo total]]*STOCK[[#This Row],[Entradas]]</f>
        <v>0</v>
      </c>
      <c r="AB1620" s="54">
        <f>STOCK[[#This Row],[Stock Actual]]*STOCK[[#This Row],[Costo total]]</f>
        <v>0</v>
      </c>
      <c r="AC1620" s="76"/>
      <c r="AD1620" s="82"/>
    </row>
    <row r="1621" s="53" customFormat="1" ht="50" customHeight="1" spans="1:30">
      <c r="A1621" s="53" t="s">
        <v>3210</v>
      </c>
      <c r="C1621" s="53" t="s">
        <v>32</v>
      </c>
      <c r="D1621" s="53" t="s">
        <v>1388</v>
      </c>
      <c r="E1621" s="53" t="s">
        <v>3163</v>
      </c>
      <c r="F1621" s="53" t="s">
        <v>49</v>
      </c>
      <c r="H1621" s="76">
        <f>STOCK[[#This Row],[Precio Final]]</f>
        <v>18</v>
      </c>
      <c r="I1621" s="80">
        <f>STOCK[[#This Row],[Precio Venta Ideal (x1.5)]]</f>
        <v>11.7</v>
      </c>
      <c r="J1621" s="70">
        <v>1</v>
      </c>
      <c r="K1621" s="78">
        <f>SUMIFS(VENTAS[Cantidad],VENTAS[Código del producto Vendido],STOCK[[#This Row],[Code]])</f>
        <v>0</v>
      </c>
      <c r="L1621" s="78">
        <f>STOCK[[#This Row],[Entradas]]-STOCK[[#This Row],[Salidas]]</f>
        <v>1</v>
      </c>
      <c r="M1621" s="76">
        <f>STOCK[[#This Row],[Precio Final]]*10%</f>
        <v>1.8</v>
      </c>
      <c r="N1621" s="54">
        <v>0</v>
      </c>
      <c r="O1621" s="76">
        <v>0</v>
      </c>
      <c r="P1621" s="53">
        <v>6</v>
      </c>
      <c r="Q1621" s="70">
        <v>0</v>
      </c>
      <c r="R1621" s="54">
        <v>0</v>
      </c>
      <c r="S1621" s="54">
        <v>0</v>
      </c>
      <c r="T1621" s="76">
        <f>STOCK[[#This Row],[Costo Unitario (USD)]]+STOCK[[#This Row],[Costo Envío (USD)]]+STOCK[[#This Row],[Comisión 10%]]</f>
        <v>7.8</v>
      </c>
      <c r="U1621" s="53">
        <f>STOCK[[#This Row],[Costo total]]*1.5</f>
        <v>11.7</v>
      </c>
      <c r="V1621" s="53">
        <v>18</v>
      </c>
      <c r="W1621" s="76">
        <f>STOCK[[#This Row],[Precio Final]]-STOCK[[#This Row],[Costo total]]</f>
        <v>10.2</v>
      </c>
      <c r="X1621" s="76">
        <f>STOCK[[#This Row],[Ganancia Unitaria]]*STOCK[[#This Row],[Salidas]]</f>
        <v>0</v>
      </c>
      <c r="Y1621" s="76"/>
      <c r="Z1621" s="76"/>
      <c r="AA1621" s="54">
        <f>STOCK[[#This Row],[Costo total]]*STOCK[[#This Row],[Entradas]]</f>
        <v>7.8</v>
      </c>
      <c r="AB1621" s="54">
        <f>STOCK[[#This Row],[Stock Actual]]*STOCK[[#This Row],[Costo total]]</f>
        <v>7.8</v>
      </c>
      <c r="AC1621" s="76"/>
      <c r="AD1621" s="82"/>
    </row>
    <row r="1622" s="53" customFormat="1" ht="50" customHeight="1" spans="1:30">
      <c r="A1622" s="53" t="s">
        <v>3211</v>
      </c>
      <c r="B1622" s="70" t="str">
        <f>_xlfn.DISPIMG("ID_32237752924347C9958963C7F053ED96",1)</f>
        <v>=DISPIMG("ID_32237752924347C9958963C7F053ED96",1)</v>
      </c>
      <c r="C1622" s="53" t="s">
        <v>32</v>
      </c>
      <c r="D1622" s="53" t="s">
        <v>749</v>
      </c>
      <c r="E1622" s="53" t="s">
        <v>3212</v>
      </c>
      <c r="F1622" s="53" t="s">
        <v>62</v>
      </c>
      <c r="H1622" s="76">
        <f>STOCK[[#This Row],[Precio Final]]</f>
        <v>22</v>
      </c>
      <c r="I1622" s="80">
        <f>STOCK[[#This Row],[Precio Venta Ideal (x1.5)]]</f>
        <v>18.3</v>
      </c>
      <c r="J1622" s="70">
        <v>2</v>
      </c>
      <c r="K1622" s="78">
        <f>SUMIFS(VENTAS[Cantidad],VENTAS[Código del producto Vendido],STOCK[[#This Row],[Code]])</f>
        <v>1</v>
      </c>
      <c r="L1622" s="78">
        <f>STOCK[[#This Row],[Entradas]]-STOCK[[#This Row],[Salidas]]</f>
        <v>1</v>
      </c>
      <c r="M1622" s="76">
        <f>STOCK[[#This Row],[Precio Final]]*10%</f>
        <v>2.2</v>
      </c>
      <c r="N1622" s="53">
        <v>0</v>
      </c>
      <c r="O1622" s="76">
        <v>0</v>
      </c>
      <c r="P1622" s="53">
        <v>10</v>
      </c>
      <c r="Q1622" s="71">
        <v>0</v>
      </c>
      <c r="R1622" s="53">
        <v>0</v>
      </c>
      <c r="S1622" s="54">
        <v>0</v>
      </c>
      <c r="T1622" s="76">
        <f>STOCK[[#This Row],[Costo Unitario (USD)]]+STOCK[[#This Row],[Costo Envío (USD)]]+STOCK[[#This Row],[Comisión 10%]]</f>
        <v>12.2</v>
      </c>
      <c r="U1622" s="53">
        <f>STOCK[[#This Row],[Costo total]]*1.5</f>
        <v>18.3</v>
      </c>
      <c r="V1622" s="53">
        <v>22</v>
      </c>
      <c r="W1622" s="76">
        <f>STOCK[[#This Row],[Precio Final]]-STOCK[[#This Row],[Costo total]]</f>
        <v>9.8</v>
      </c>
      <c r="X1622" s="76">
        <f>STOCK[[#This Row],[Ganancia Unitaria]]*STOCK[[#This Row],[Salidas]]</f>
        <v>9.8</v>
      </c>
      <c r="Y1622" s="76"/>
      <c r="Z1622" s="76"/>
      <c r="AA1622" s="54">
        <f>STOCK[[#This Row],[Costo total]]*STOCK[[#This Row],[Entradas]]</f>
        <v>24.4</v>
      </c>
      <c r="AB1622" s="54">
        <f>STOCK[[#This Row],[Stock Actual]]*STOCK[[#This Row],[Costo total]]</f>
        <v>12.2</v>
      </c>
      <c r="AC1622" s="76"/>
      <c r="AD1622" s="82"/>
    </row>
    <row r="1623" s="53" customFormat="1" ht="50" customHeight="1" spans="1:30">
      <c r="A1623" s="53" t="s">
        <v>3213</v>
      </c>
      <c r="B1623" s="53" t="s">
        <v>1345</v>
      </c>
      <c r="C1623" s="53" t="s">
        <v>32</v>
      </c>
      <c r="D1623" s="53" t="s">
        <v>749</v>
      </c>
      <c r="E1623" s="53" t="s">
        <v>3214</v>
      </c>
      <c r="F1623" s="53" t="s">
        <v>62</v>
      </c>
      <c r="H1623" s="76">
        <f>STOCK[[#This Row],[Precio Final]]</f>
        <v>25</v>
      </c>
      <c r="I1623" s="80">
        <f>STOCK[[#This Row],[Precio Venta Ideal (x1.5)]]</f>
        <v>18.75</v>
      </c>
      <c r="J1623" s="70">
        <v>1</v>
      </c>
      <c r="K1623" s="78">
        <f>SUMIFS(VENTAS[Cantidad],VENTAS[Código del producto Vendido],STOCK[[#This Row],[Code]])</f>
        <v>0</v>
      </c>
      <c r="L1623" s="78">
        <f>STOCK[[#This Row],[Entradas]]-STOCK[[#This Row],[Salidas]]</f>
        <v>1</v>
      </c>
      <c r="M1623" s="76">
        <f>STOCK[[#This Row],[Precio Final]]*10%</f>
        <v>2.5</v>
      </c>
      <c r="N1623" s="54">
        <v>0</v>
      </c>
      <c r="O1623" s="76">
        <v>0</v>
      </c>
      <c r="P1623" s="53">
        <v>10</v>
      </c>
      <c r="Q1623" s="70">
        <v>0</v>
      </c>
      <c r="R1623" s="54">
        <v>0</v>
      </c>
      <c r="S1623" s="53">
        <v>0</v>
      </c>
      <c r="T1623" s="76">
        <f>STOCK[[#This Row],[Costo Unitario (USD)]]+STOCK[[#This Row],[Costo Envío (USD)]]+STOCK[[#This Row],[Comisión 10%]]</f>
        <v>12.5</v>
      </c>
      <c r="U1623" s="53">
        <f>STOCK[[#This Row],[Costo total]]*1.5</f>
        <v>18.75</v>
      </c>
      <c r="V1623" s="53">
        <v>25</v>
      </c>
      <c r="W1623" s="76">
        <f>STOCK[[#This Row],[Precio Final]]-STOCK[[#This Row],[Costo total]]</f>
        <v>12.5</v>
      </c>
      <c r="X1623" s="76">
        <f>STOCK[[#This Row],[Ganancia Unitaria]]*STOCK[[#This Row],[Salidas]]</f>
        <v>0</v>
      </c>
      <c r="Y1623" s="76"/>
      <c r="Z1623" s="76"/>
      <c r="AA1623" s="54">
        <f>STOCK[[#This Row],[Costo total]]*STOCK[[#This Row],[Entradas]]</f>
        <v>12.5</v>
      </c>
      <c r="AB1623" s="54">
        <f>STOCK[[#This Row],[Stock Actual]]*STOCK[[#This Row],[Costo total]]</f>
        <v>12.5</v>
      </c>
      <c r="AC1623" s="76"/>
      <c r="AD1623" s="82"/>
    </row>
    <row r="1624" s="53" customFormat="1" ht="50" customHeight="1" spans="1:30">
      <c r="A1624" s="53" t="s">
        <v>3215</v>
      </c>
      <c r="B1624" s="70" t="str">
        <f>_xlfn.DISPIMG("ID_EBBCEBED0DC34FFB89EBAF2545A36AD1",1)</f>
        <v>=DISPIMG("ID_EBBCEBED0DC34FFB89EBAF2545A36AD1",1)</v>
      </c>
      <c r="C1624" s="53" t="s">
        <v>32</v>
      </c>
      <c r="D1624" s="53" t="s">
        <v>749</v>
      </c>
      <c r="E1624" s="53" t="s">
        <v>3216</v>
      </c>
      <c r="F1624" s="53" t="s">
        <v>49</v>
      </c>
      <c r="H1624" s="76">
        <f>STOCK[[#This Row],[Precio Final]]</f>
        <v>25</v>
      </c>
      <c r="I1624" s="80">
        <f>STOCK[[#This Row],[Precio Venta Ideal (x1.5)]]</f>
        <v>18.75</v>
      </c>
      <c r="J1624" s="70">
        <v>1</v>
      </c>
      <c r="K1624" s="78">
        <f>SUMIFS(VENTAS[Cantidad],VENTAS[Código del producto Vendido],STOCK[[#This Row],[Code]])</f>
        <v>1</v>
      </c>
      <c r="L1624" s="78">
        <f>STOCK[[#This Row],[Entradas]]-STOCK[[#This Row],[Salidas]]</f>
        <v>0</v>
      </c>
      <c r="M1624" s="76">
        <f>STOCK[[#This Row],[Precio Final]]*10%</f>
        <v>2.5</v>
      </c>
      <c r="N1624" s="54">
        <v>0</v>
      </c>
      <c r="O1624" s="76">
        <v>0</v>
      </c>
      <c r="P1624" s="53">
        <v>10</v>
      </c>
      <c r="Q1624" s="70">
        <v>0</v>
      </c>
      <c r="R1624" s="53">
        <v>0</v>
      </c>
      <c r="S1624" s="54">
        <v>0</v>
      </c>
      <c r="T1624" s="76">
        <f>STOCK[[#This Row],[Costo Unitario (USD)]]+STOCK[[#This Row],[Costo Envío (USD)]]+STOCK[[#This Row],[Comisión 10%]]</f>
        <v>12.5</v>
      </c>
      <c r="U1624" s="53">
        <f>STOCK[[#This Row],[Costo total]]*1.5</f>
        <v>18.75</v>
      </c>
      <c r="V1624" s="53">
        <v>25</v>
      </c>
      <c r="W1624" s="76">
        <f>STOCK[[#This Row],[Precio Final]]-STOCK[[#This Row],[Costo total]]</f>
        <v>12.5</v>
      </c>
      <c r="X1624" s="76">
        <f>STOCK[[#This Row],[Ganancia Unitaria]]*STOCK[[#This Row],[Salidas]]</f>
        <v>12.5</v>
      </c>
      <c r="Y1624" s="76"/>
      <c r="Z1624" s="76"/>
      <c r="AA1624" s="54">
        <f>STOCK[[#This Row],[Costo total]]*STOCK[[#This Row],[Entradas]]</f>
        <v>12.5</v>
      </c>
      <c r="AB1624" s="54">
        <f>STOCK[[#This Row],[Stock Actual]]*STOCK[[#This Row],[Costo total]]</f>
        <v>0</v>
      </c>
      <c r="AC1624" s="76"/>
      <c r="AD1624" s="82"/>
    </row>
    <row r="1625" s="53" customFormat="1" ht="50" customHeight="1" spans="1:30">
      <c r="A1625" s="53" t="s">
        <v>3217</v>
      </c>
      <c r="B1625" s="70" t="str">
        <f>_xlfn.DISPIMG("ID_21BE528AF4714D5CB2946E28AE2B61F6",1)</f>
        <v>=DISPIMG("ID_21BE528AF4714D5CB2946E28AE2B61F6",1)</v>
      </c>
      <c r="C1625" s="53" t="s">
        <v>32</v>
      </c>
      <c r="D1625" s="53" t="s">
        <v>749</v>
      </c>
      <c r="E1625" s="53" t="s">
        <v>3218</v>
      </c>
      <c r="F1625" s="53" t="s">
        <v>62</v>
      </c>
      <c r="H1625" s="76">
        <f>STOCK[[#This Row],[Precio Final]]</f>
        <v>25</v>
      </c>
      <c r="I1625" s="80">
        <f>STOCK[[#This Row],[Precio Venta Ideal (x1.5)]]</f>
        <v>21.75</v>
      </c>
      <c r="J1625" s="70">
        <v>1</v>
      </c>
      <c r="K1625" s="78">
        <f>SUMIFS(VENTAS[Cantidad],VENTAS[Código del producto Vendido],STOCK[[#This Row],[Code]])</f>
        <v>0</v>
      </c>
      <c r="L1625" s="78">
        <f>STOCK[[#This Row],[Entradas]]-STOCK[[#This Row],[Salidas]]</f>
        <v>1</v>
      </c>
      <c r="M1625" s="76">
        <f>STOCK[[#This Row],[Precio Final]]*10%</f>
        <v>2.5</v>
      </c>
      <c r="N1625" s="54">
        <v>0</v>
      </c>
      <c r="O1625" s="76">
        <v>0</v>
      </c>
      <c r="P1625" s="53">
        <v>12</v>
      </c>
      <c r="Q1625" s="70">
        <v>0</v>
      </c>
      <c r="R1625" s="53">
        <v>0</v>
      </c>
      <c r="S1625" s="53">
        <v>0</v>
      </c>
      <c r="T1625" s="76">
        <f>STOCK[[#This Row],[Costo Unitario (USD)]]+STOCK[[#This Row],[Costo Envío (USD)]]+STOCK[[#This Row],[Comisión 10%]]</f>
        <v>14.5</v>
      </c>
      <c r="U1625" s="53">
        <f>STOCK[[#This Row],[Costo total]]*1.5</f>
        <v>21.75</v>
      </c>
      <c r="V1625" s="53">
        <v>25</v>
      </c>
      <c r="W1625" s="76">
        <f>STOCK[[#This Row],[Precio Final]]-STOCK[[#This Row],[Costo total]]</f>
        <v>10.5</v>
      </c>
      <c r="X1625" s="76">
        <f>STOCK[[#This Row],[Ganancia Unitaria]]*STOCK[[#This Row],[Salidas]]</f>
        <v>0</v>
      </c>
      <c r="Y1625" s="76"/>
      <c r="Z1625" s="76"/>
      <c r="AA1625" s="54">
        <f>STOCK[[#This Row],[Costo total]]*STOCK[[#This Row],[Entradas]]</f>
        <v>14.5</v>
      </c>
      <c r="AB1625" s="54">
        <f>STOCK[[#This Row],[Stock Actual]]*STOCK[[#This Row],[Costo total]]</f>
        <v>14.5</v>
      </c>
      <c r="AC1625" s="76"/>
      <c r="AD1625" s="82"/>
    </row>
    <row r="1626" s="53" customFormat="1" ht="50" customHeight="1" spans="1:30">
      <c r="A1626" s="53" t="s">
        <v>3219</v>
      </c>
      <c r="B1626" s="70" t="str">
        <f>_xlfn.DISPIMG("ID_0A7224B17DBC46D78E3CFBA92FF16148",1)</f>
        <v>=DISPIMG("ID_0A7224B17DBC46D78E3CFBA92FF16148",1)</v>
      </c>
      <c r="C1626" s="53" t="s">
        <v>32</v>
      </c>
      <c r="D1626" s="53" t="s">
        <v>749</v>
      </c>
      <c r="E1626" s="53" t="s">
        <v>3220</v>
      </c>
      <c r="F1626" s="53" t="s">
        <v>40</v>
      </c>
      <c r="H1626" s="76">
        <f>STOCK[[#This Row],[Precio Final]]</f>
        <v>30</v>
      </c>
      <c r="I1626" s="80">
        <f>STOCK[[#This Row],[Precio Venta Ideal (x1.5)]]</f>
        <v>22.5</v>
      </c>
      <c r="J1626" s="70">
        <v>1</v>
      </c>
      <c r="K1626" s="78">
        <f>SUMIFS(VENTAS[Cantidad],VENTAS[Código del producto Vendido],STOCK[[#This Row],[Code]])</f>
        <v>0</v>
      </c>
      <c r="L1626" s="78">
        <f>STOCK[[#This Row],[Entradas]]-STOCK[[#This Row],[Salidas]]</f>
        <v>1</v>
      </c>
      <c r="M1626" s="76">
        <f>STOCK[[#This Row],[Precio Final]]*10%</f>
        <v>3</v>
      </c>
      <c r="N1626" s="54">
        <v>0</v>
      </c>
      <c r="O1626" s="76">
        <v>0</v>
      </c>
      <c r="P1626" s="53">
        <v>12</v>
      </c>
      <c r="Q1626" s="70">
        <v>0</v>
      </c>
      <c r="R1626" s="53">
        <v>0</v>
      </c>
      <c r="S1626" s="54">
        <v>0</v>
      </c>
      <c r="T1626" s="76">
        <f>STOCK[[#This Row],[Costo Unitario (USD)]]+STOCK[[#This Row],[Costo Envío (USD)]]+STOCK[[#This Row],[Comisión 10%]]</f>
        <v>15</v>
      </c>
      <c r="U1626" s="53">
        <f>STOCK[[#This Row],[Costo total]]*1.5</f>
        <v>22.5</v>
      </c>
      <c r="V1626" s="53">
        <v>30</v>
      </c>
      <c r="W1626" s="76">
        <f>STOCK[[#This Row],[Precio Final]]-STOCK[[#This Row],[Costo total]]</f>
        <v>15</v>
      </c>
      <c r="X1626" s="76">
        <f>STOCK[[#This Row],[Ganancia Unitaria]]*STOCK[[#This Row],[Salidas]]</f>
        <v>0</v>
      </c>
      <c r="Y1626" s="76"/>
      <c r="Z1626" s="76"/>
      <c r="AA1626" s="54">
        <f>STOCK[[#This Row],[Costo total]]*STOCK[[#This Row],[Entradas]]</f>
        <v>15</v>
      </c>
      <c r="AB1626" s="54">
        <f>STOCK[[#This Row],[Stock Actual]]*STOCK[[#This Row],[Costo total]]</f>
        <v>15</v>
      </c>
      <c r="AC1626" s="76"/>
      <c r="AD1626" s="82"/>
    </row>
    <row r="1627" s="53" customFormat="1" ht="50" customHeight="1" spans="1:30">
      <c r="A1627" s="53" t="s">
        <v>3221</v>
      </c>
      <c r="B1627" s="70" t="str">
        <f>_xlfn.DISPIMG("ID_10BC08E7CE7C4BF4BAFC2397BD828897",1)</f>
        <v>=DISPIMG("ID_10BC08E7CE7C4BF4BAFC2397BD828897",1)</v>
      </c>
      <c r="C1627" s="53" t="s">
        <v>32</v>
      </c>
      <c r="D1627" s="53" t="s">
        <v>749</v>
      </c>
      <c r="E1627" s="53" t="s">
        <v>3222</v>
      </c>
      <c r="F1627" s="53" t="s">
        <v>49</v>
      </c>
      <c r="H1627" s="76">
        <f>STOCK[[#This Row],[Precio Final]]</f>
        <v>25</v>
      </c>
      <c r="I1627" s="80">
        <f>STOCK[[#This Row],[Precio Venta Ideal (x1.5)]]</f>
        <v>21.75</v>
      </c>
      <c r="J1627" s="70">
        <v>1</v>
      </c>
      <c r="K1627" s="78">
        <f>SUMIFS(VENTAS[Cantidad],VENTAS[Código del producto Vendido],STOCK[[#This Row],[Code]])</f>
        <v>1</v>
      </c>
      <c r="L1627" s="78">
        <f>STOCK[[#This Row],[Entradas]]-STOCK[[#This Row],[Salidas]]</f>
        <v>0</v>
      </c>
      <c r="M1627" s="76">
        <f>STOCK[[#This Row],[Precio Final]]*10%</f>
        <v>2.5</v>
      </c>
      <c r="N1627" s="53">
        <v>0</v>
      </c>
      <c r="O1627" s="76">
        <v>0</v>
      </c>
      <c r="P1627" s="53">
        <v>12</v>
      </c>
      <c r="Q1627" s="71">
        <v>0</v>
      </c>
      <c r="R1627" s="53">
        <v>0</v>
      </c>
      <c r="S1627" s="54">
        <v>0</v>
      </c>
      <c r="T1627" s="76">
        <f>STOCK[[#This Row],[Costo Unitario (USD)]]+STOCK[[#This Row],[Costo Envío (USD)]]+STOCK[[#This Row],[Comisión 10%]]</f>
        <v>14.5</v>
      </c>
      <c r="U1627" s="53">
        <f>STOCK[[#This Row],[Costo total]]*1.5</f>
        <v>21.75</v>
      </c>
      <c r="V1627" s="53">
        <v>25</v>
      </c>
      <c r="W1627" s="76">
        <f>STOCK[[#This Row],[Precio Final]]-STOCK[[#This Row],[Costo total]]</f>
        <v>10.5</v>
      </c>
      <c r="X1627" s="76">
        <f>STOCK[[#This Row],[Ganancia Unitaria]]*STOCK[[#This Row],[Salidas]]</f>
        <v>10.5</v>
      </c>
      <c r="Y1627" s="76"/>
      <c r="Z1627" s="76"/>
      <c r="AA1627" s="54">
        <f>STOCK[[#This Row],[Costo total]]*STOCK[[#This Row],[Entradas]]</f>
        <v>14.5</v>
      </c>
      <c r="AB1627" s="54">
        <f>STOCK[[#This Row],[Stock Actual]]*STOCK[[#This Row],[Costo total]]</f>
        <v>0</v>
      </c>
      <c r="AC1627" s="76"/>
      <c r="AD1627" s="82"/>
    </row>
    <row r="1628" s="53" customFormat="1" ht="50" customHeight="1" spans="1:30">
      <c r="A1628" s="53" t="s">
        <v>3223</v>
      </c>
      <c r="B1628" s="70" t="str">
        <f>_xlfn.DISPIMG("ID_10D057D68DAE4E4B8C0E6236A387883F",1)</f>
        <v>=DISPIMG("ID_10D057D68DAE4E4B8C0E6236A387883F",1)</v>
      </c>
      <c r="C1628" s="53" t="s">
        <v>32</v>
      </c>
      <c r="D1628" s="53" t="s">
        <v>749</v>
      </c>
      <c r="E1628" s="53" t="s">
        <v>3224</v>
      </c>
      <c r="F1628" s="53" t="s">
        <v>46</v>
      </c>
      <c r="H1628" s="76">
        <f>STOCK[[#This Row],[Precio Final]]</f>
        <v>35</v>
      </c>
      <c r="I1628" s="80">
        <f>STOCK[[#This Row],[Precio Venta Ideal (x1.5)]]</f>
        <v>23.25</v>
      </c>
      <c r="J1628" s="70">
        <v>1</v>
      </c>
      <c r="K1628" s="78">
        <f>SUMIFS(VENTAS[Cantidad],VENTAS[Código del producto Vendido],STOCK[[#This Row],[Code]])</f>
        <v>1</v>
      </c>
      <c r="L1628" s="78">
        <f>STOCK[[#This Row],[Entradas]]-STOCK[[#This Row],[Salidas]]</f>
        <v>0</v>
      </c>
      <c r="M1628" s="76">
        <f>STOCK[[#This Row],[Precio Final]]*10%</f>
        <v>3.5</v>
      </c>
      <c r="N1628" s="54">
        <v>0</v>
      </c>
      <c r="O1628" s="76">
        <v>0</v>
      </c>
      <c r="P1628" s="53">
        <v>12</v>
      </c>
      <c r="Q1628" s="70">
        <v>0</v>
      </c>
      <c r="R1628" s="53">
        <v>0</v>
      </c>
      <c r="S1628" s="53">
        <v>0</v>
      </c>
      <c r="T1628" s="76">
        <f>STOCK[[#This Row],[Costo Unitario (USD)]]+STOCK[[#This Row],[Costo Envío (USD)]]+STOCK[[#This Row],[Comisión 10%]]</f>
        <v>15.5</v>
      </c>
      <c r="U1628" s="53">
        <f>STOCK[[#This Row],[Costo total]]*1.5</f>
        <v>23.25</v>
      </c>
      <c r="V1628" s="53">
        <v>35</v>
      </c>
      <c r="W1628" s="76">
        <f>STOCK[[#This Row],[Precio Final]]-STOCK[[#This Row],[Costo total]]</f>
        <v>19.5</v>
      </c>
      <c r="X1628" s="76">
        <f>STOCK[[#This Row],[Ganancia Unitaria]]*STOCK[[#This Row],[Salidas]]</f>
        <v>19.5</v>
      </c>
      <c r="Y1628" s="76"/>
      <c r="Z1628" s="76"/>
      <c r="AA1628" s="54">
        <f>STOCK[[#This Row],[Costo total]]*STOCK[[#This Row],[Entradas]]</f>
        <v>15.5</v>
      </c>
      <c r="AB1628" s="54">
        <f>STOCK[[#This Row],[Stock Actual]]*STOCK[[#This Row],[Costo total]]</f>
        <v>0</v>
      </c>
      <c r="AC1628" s="76"/>
      <c r="AD1628" s="82"/>
    </row>
    <row r="1629" s="53" customFormat="1" ht="50" customHeight="1" spans="1:30">
      <c r="A1629" s="53" t="s">
        <v>3225</v>
      </c>
      <c r="B1629" s="53" t="s">
        <v>3226</v>
      </c>
      <c r="C1629" s="53" t="s">
        <v>32</v>
      </c>
      <c r="D1629" s="53" t="s">
        <v>749</v>
      </c>
      <c r="E1629" s="53" t="s">
        <v>3227</v>
      </c>
      <c r="F1629" s="53" t="s">
        <v>49</v>
      </c>
      <c r="H1629" s="76">
        <f>STOCK[[#This Row],[Precio Final]]</f>
        <v>25</v>
      </c>
      <c r="I1629" s="80">
        <f>STOCK[[#This Row],[Precio Venta Ideal (x1.5)]]</f>
        <v>21.75</v>
      </c>
      <c r="J1629" s="70">
        <v>1</v>
      </c>
      <c r="K1629" s="78">
        <f>SUMIFS(VENTAS[Cantidad],VENTAS[Código del producto Vendido],STOCK[[#This Row],[Code]])</f>
        <v>1</v>
      </c>
      <c r="L1629" s="78">
        <f>STOCK[[#This Row],[Entradas]]-STOCK[[#This Row],[Salidas]]</f>
        <v>0</v>
      </c>
      <c r="M1629" s="76">
        <f>STOCK[[#This Row],[Precio Final]]*10%</f>
        <v>2.5</v>
      </c>
      <c r="N1629" s="54">
        <v>0</v>
      </c>
      <c r="O1629" s="76">
        <v>0</v>
      </c>
      <c r="P1629" s="53">
        <v>12</v>
      </c>
      <c r="Q1629" s="70">
        <v>0</v>
      </c>
      <c r="R1629" s="53">
        <v>0</v>
      </c>
      <c r="S1629" s="54">
        <v>0</v>
      </c>
      <c r="T1629" s="76">
        <f>STOCK[[#This Row],[Costo Unitario (USD)]]+STOCK[[#This Row],[Costo Envío (USD)]]+STOCK[[#This Row],[Comisión 10%]]</f>
        <v>14.5</v>
      </c>
      <c r="U1629" s="53">
        <f>STOCK[[#This Row],[Costo total]]*1.5</f>
        <v>21.75</v>
      </c>
      <c r="V1629" s="53">
        <v>25</v>
      </c>
      <c r="W1629" s="76">
        <f>STOCK[[#This Row],[Precio Final]]-STOCK[[#This Row],[Costo total]]</f>
        <v>10.5</v>
      </c>
      <c r="X1629" s="76">
        <f>STOCK[[#This Row],[Ganancia Unitaria]]*STOCK[[#This Row],[Salidas]]</f>
        <v>10.5</v>
      </c>
      <c r="Y1629" s="76"/>
      <c r="Z1629" s="76"/>
      <c r="AA1629" s="54">
        <f>STOCK[[#This Row],[Costo total]]*STOCK[[#This Row],[Entradas]]</f>
        <v>14.5</v>
      </c>
      <c r="AB1629" s="54">
        <f>STOCK[[#This Row],[Stock Actual]]*STOCK[[#This Row],[Costo total]]</f>
        <v>0</v>
      </c>
      <c r="AC1629" s="76"/>
      <c r="AD1629" s="82"/>
    </row>
    <row r="1630" s="53" customFormat="1" ht="50" customHeight="1" spans="1:30">
      <c r="A1630" s="53" t="s">
        <v>3228</v>
      </c>
      <c r="C1630" s="53" t="s">
        <v>32</v>
      </c>
      <c r="D1630" s="53" t="s">
        <v>749</v>
      </c>
      <c r="E1630" s="53" t="s">
        <v>3229</v>
      </c>
      <c r="F1630" s="53" t="s">
        <v>49</v>
      </c>
      <c r="H1630" s="76">
        <f>STOCK[[#This Row],[Precio Final]]</f>
        <v>0</v>
      </c>
      <c r="I1630" s="80">
        <f>STOCK[[#This Row],[Precio Venta Ideal (x1.5)]]</f>
        <v>18</v>
      </c>
      <c r="J1630" s="70">
        <v>1</v>
      </c>
      <c r="K1630" s="78">
        <f>SUMIFS(VENTAS[Cantidad],VENTAS[Código del producto Vendido],STOCK[[#This Row],[Code]])</f>
        <v>0</v>
      </c>
      <c r="L1630" s="78">
        <f>STOCK[[#This Row],[Entradas]]-STOCK[[#This Row],[Salidas]]</f>
        <v>1</v>
      </c>
      <c r="M1630" s="76">
        <f>STOCK[[#This Row],[Precio Final]]*10%</f>
        <v>0</v>
      </c>
      <c r="N1630" s="53">
        <v>0</v>
      </c>
      <c r="O1630" s="76">
        <v>0</v>
      </c>
      <c r="P1630" s="53">
        <v>12</v>
      </c>
      <c r="Q1630" s="71">
        <v>0</v>
      </c>
      <c r="R1630" s="53">
        <v>0</v>
      </c>
      <c r="S1630" s="54">
        <v>0</v>
      </c>
      <c r="T1630" s="76">
        <f>STOCK[[#This Row],[Costo Unitario (USD)]]+STOCK[[#This Row],[Costo Envío (USD)]]+STOCK[[#This Row],[Comisión 10%]]</f>
        <v>12</v>
      </c>
      <c r="U1630" s="53">
        <f>STOCK[[#This Row],[Costo total]]*1.5</f>
        <v>18</v>
      </c>
      <c r="W1630" s="76">
        <f>STOCK[[#This Row],[Precio Final]]-STOCK[[#This Row],[Costo total]]</f>
        <v>-12</v>
      </c>
      <c r="X1630" s="76">
        <f>STOCK[[#This Row],[Ganancia Unitaria]]*STOCK[[#This Row],[Salidas]]</f>
        <v>0</v>
      </c>
      <c r="Y1630" s="76"/>
      <c r="Z1630" s="76"/>
      <c r="AA1630" s="54">
        <f>STOCK[[#This Row],[Costo total]]*STOCK[[#This Row],[Entradas]]</f>
        <v>12</v>
      </c>
      <c r="AB1630" s="54">
        <f>STOCK[[#This Row],[Stock Actual]]*STOCK[[#This Row],[Costo total]]</f>
        <v>12</v>
      </c>
      <c r="AC1630" s="76"/>
      <c r="AD1630" s="82"/>
    </row>
    <row r="1631" s="53" customFormat="1" ht="50" customHeight="1" spans="1:30">
      <c r="A1631" s="53" t="s">
        <v>3230</v>
      </c>
      <c r="B1631" s="53" t="s">
        <v>3231</v>
      </c>
      <c r="C1631" s="53" t="s">
        <v>32</v>
      </c>
      <c r="D1631" s="53" t="s">
        <v>743</v>
      </c>
      <c r="E1631" s="53" t="s">
        <v>3232</v>
      </c>
      <c r="H1631" s="76">
        <f>STOCK[[#This Row],[Precio Final]]</f>
        <v>0</v>
      </c>
      <c r="I1631" s="80">
        <f>STOCK[[#This Row],[Precio Venta Ideal (x1.5)]]</f>
        <v>12</v>
      </c>
      <c r="J1631" s="70">
        <v>2</v>
      </c>
      <c r="K1631" s="78">
        <f>SUMIFS(VENTAS[Cantidad],VENTAS[Código del producto Vendido],STOCK[[#This Row],[Code]])</f>
        <v>2</v>
      </c>
      <c r="L1631" s="78">
        <f>STOCK[[#This Row],[Entradas]]-STOCK[[#This Row],[Salidas]]</f>
        <v>0</v>
      </c>
      <c r="M1631" s="76">
        <f>STOCK[[#This Row],[Precio Final]]*10%</f>
        <v>0</v>
      </c>
      <c r="N1631" s="54">
        <v>0</v>
      </c>
      <c r="O1631" s="76">
        <v>0</v>
      </c>
      <c r="P1631" s="53">
        <v>8</v>
      </c>
      <c r="Q1631" s="70">
        <v>0</v>
      </c>
      <c r="R1631" s="53">
        <v>0</v>
      </c>
      <c r="S1631" s="53">
        <v>0</v>
      </c>
      <c r="T1631" s="76">
        <f>STOCK[[#This Row],[Costo Unitario (USD)]]+STOCK[[#This Row],[Costo Envío (USD)]]+STOCK[[#This Row],[Comisión 10%]]</f>
        <v>8</v>
      </c>
      <c r="U1631" s="53">
        <f>STOCK[[#This Row],[Costo total]]*1.5</f>
        <v>12</v>
      </c>
      <c r="W1631" s="76">
        <f>STOCK[[#This Row],[Precio Final]]-STOCK[[#This Row],[Costo total]]</f>
        <v>-8</v>
      </c>
      <c r="X1631" s="76">
        <f>STOCK[[#This Row],[Ganancia Unitaria]]*STOCK[[#This Row],[Salidas]]</f>
        <v>-16</v>
      </c>
      <c r="Y1631" s="76"/>
      <c r="Z1631" s="76"/>
      <c r="AA1631" s="54">
        <f>STOCK[[#This Row],[Costo total]]*STOCK[[#This Row],[Entradas]]</f>
        <v>16</v>
      </c>
      <c r="AB1631" s="54">
        <f>STOCK[[#This Row],[Stock Actual]]*STOCK[[#This Row],[Costo total]]</f>
        <v>0</v>
      </c>
      <c r="AC1631" s="76"/>
      <c r="AD1631" s="82"/>
    </row>
    <row r="1632" s="53" customFormat="1" ht="50" customHeight="1" spans="1:30">
      <c r="A1632" s="53" t="s">
        <v>3233</v>
      </c>
      <c r="B1632" s="70" t="str">
        <f>_xlfn.DISPIMG("ID_2D0D706DB7AE40C6B6E6EC219AB5C027",1)</f>
        <v>=DISPIMG("ID_2D0D706DB7AE40C6B6E6EC219AB5C027",1)</v>
      </c>
      <c r="C1632" s="53" t="s">
        <v>32</v>
      </c>
      <c r="D1632" s="53" t="s">
        <v>3234</v>
      </c>
      <c r="E1632" s="53" t="s">
        <v>3235</v>
      </c>
      <c r="F1632" s="53" t="s">
        <v>2108</v>
      </c>
      <c r="H1632" s="76">
        <f>STOCK[[#This Row],[Precio Final]]</f>
        <v>35</v>
      </c>
      <c r="I1632" s="80">
        <f>STOCK[[#This Row],[Precio Venta Ideal (x1.5)]]</f>
        <v>23.25</v>
      </c>
      <c r="J1632" s="70">
        <v>1</v>
      </c>
      <c r="K1632" s="78">
        <f>SUMIFS(VENTAS[Cantidad],VENTAS[Código del producto Vendido],STOCK[[#This Row],[Code]])</f>
        <v>1</v>
      </c>
      <c r="L1632" s="78">
        <f>STOCK[[#This Row],[Entradas]]-STOCK[[#This Row],[Salidas]]</f>
        <v>0</v>
      </c>
      <c r="M1632" s="76">
        <f>STOCK[[#This Row],[Precio Final]]*10%</f>
        <v>3.5</v>
      </c>
      <c r="N1632" s="54">
        <v>0</v>
      </c>
      <c r="O1632" s="76">
        <v>0</v>
      </c>
      <c r="P1632" s="53">
        <v>12</v>
      </c>
      <c r="Q1632" s="70">
        <v>0</v>
      </c>
      <c r="R1632" s="53">
        <v>0</v>
      </c>
      <c r="S1632" s="54">
        <v>0</v>
      </c>
      <c r="T1632" s="76">
        <f>STOCK[[#This Row],[Costo Unitario (USD)]]+STOCK[[#This Row],[Costo Envío (USD)]]+STOCK[[#This Row],[Comisión 10%]]</f>
        <v>15.5</v>
      </c>
      <c r="U1632" s="53">
        <f>STOCK[[#This Row],[Costo total]]*1.5</f>
        <v>23.25</v>
      </c>
      <c r="V1632" s="53">
        <v>35</v>
      </c>
      <c r="W1632" s="76">
        <f>STOCK[[#This Row],[Precio Final]]-STOCK[[#This Row],[Costo total]]</f>
        <v>19.5</v>
      </c>
      <c r="X1632" s="76">
        <f>STOCK[[#This Row],[Ganancia Unitaria]]*STOCK[[#This Row],[Salidas]]</f>
        <v>19.5</v>
      </c>
      <c r="Y1632" s="76"/>
      <c r="Z1632" s="76"/>
      <c r="AA1632" s="54">
        <f>STOCK[[#This Row],[Costo total]]*STOCK[[#This Row],[Entradas]]</f>
        <v>15.5</v>
      </c>
      <c r="AB1632" s="54">
        <f>STOCK[[#This Row],[Stock Actual]]*STOCK[[#This Row],[Costo total]]</f>
        <v>0</v>
      </c>
      <c r="AC1632" s="76"/>
      <c r="AD1632" s="82"/>
    </row>
    <row r="1633" s="53" customFormat="1" ht="50" customHeight="1" spans="1:30">
      <c r="A1633" s="53" t="s">
        <v>3236</v>
      </c>
      <c r="B1633" s="70" t="str">
        <f>_xlfn.DISPIMG("ID_27B5E98B571C49E7944C572ACCBD5B70",1)</f>
        <v>=DISPIMG("ID_27B5E98B571C49E7944C572ACCBD5B70",1)</v>
      </c>
      <c r="C1633" s="53" t="s">
        <v>32</v>
      </c>
      <c r="D1633" s="53" t="s">
        <v>3234</v>
      </c>
      <c r="E1633" s="53" t="s">
        <v>3237</v>
      </c>
      <c r="F1633" s="53" t="s">
        <v>42</v>
      </c>
      <c r="H1633" s="76">
        <f>STOCK[[#This Row],[Precio Final]]</f>
        <v>30</v>
      </c>
      <c r="I1633" s="80">
        <f>STOCK[[#This Row],[Precio Venta Ideal (x1.5)]]</f>
        <v>22.5</v>
      </c>
      <c r="J1633" s="70">
        <v>1</v>
      </c>
      <c r="K1633" s="78">
        <f>SUMIFS(VENTAS[Cantidad],VENTAS[Código del producto Vendido],STOCK[[#This Row],[Code]])</f>
        <v>0</v>
      </c>
      <c r="L1633" s="78">
        <f>STOCK[[#This Row],[Entradas]]-STOCK[[#This Row],[Salidas]]</f>
        <v>1</v>
      </c>
      <c r="M1633" s="76">
        <f>STOCK[[#This Row],[Precio Final]]*10%</f>
        <v>3</v>
      </c>
      <c r="N1633" s="53">
        <v>0</v>
      </c>
      <c r="O1633" s="76">
        <v>0</v>
      </c>
      <c r="P1633" s="53">
        <v>12</v>
      </c>
      <c r="Q1633" s="71">
        <v>0</v>
      </c>
      <c r="R1633" s="53">
        <v>0</v>
      </c>
      <c r="S1633" s="54">
        <v>0</v>
      </c>
      <c r="T1633" s="76">
        <f>STOCK[[#This Row],[Costo Unitario (USD)]]+STOCK[[#This Row],[Costo Envío (USD)]]+STOCK[[#This Row],[Comisión 10%]]</f>
        <v>15</v>
      </c>
      <c r="U1633" s="53">
        <f>STOCK[[#This Row],[Costo total]]*1.5</f>
        <v>22.5</v>
      </c>
      <c r="V1633" s="53">
        <v>30</v>
      </c>
      <c r="W1633" s="76">
        <f>STOCK[[#This Row],[Precio Final]]-STOCK[[#This Row],[Costo total]]</f>
        <v>15</v>
      </c>
      <c r="X1633" s="76">
        <f>STOCK[[#This Row],[Ganancia Unitaria]]*STOCK[[#This Row],[Salidas]]</f>
        <v>0</v>
      </c>
      <c r="Y1633" s="76"/>
      <c r="Z1633" s="76"/>
      <c r="AA1633" s="54">
        <f>STOCK[[#This Row],[Costo total]]*STOCK[[#This Row],[Entradas]]</f>
        <v>15</v>
      </c>
      <c r="AB1633" s="54">
        <f>STOCK[[#This Row],[Stock Actual]]*STOCK[[#This Row],[Costo total]]</f>
        <v>15</v>
      </c>
      <c r="AC1633" s="76"/>
      <c r="AD1633" s="82"/>
    </row>
    <row r="1634" s="53" customFormat="1" ht="50" customHeight="1" spans="1:30">
      <c r="A1634" s="53" t="s">
        <v>3238</v>
      </c>
      <c r="B1634" s="70" t="str">
        <f>_xlfn.DISPIMG("ID_E78F5D080EDD475DAA7CB176C965852E",1)</f>
        <v>=DISPIMG("ID_E78F5D080EDD475DAA7CB176C965852E",1)</v>
      </c>
      <c r="C1634" s="53" t="s">
        <v>32</v>
      </c>
      <c r="D1634" s="53" t="s">
        <v>3234</v>
      </c>
      <c r="E1634" s="53" t="s">
        <v>3239</v>
      </c>
      <c r="F1634" s="53" t="s">
        <v>49</v>
      </c>
      <c r="H1634" s="76">
        <f>STOCK[[#This Row],[Precio Final]]</f>
        <v>35</v>
      </c>
      <c r="I1634" s="80">
        <f>STOCK[[#This Row],[Precio Venta Ideal (x1.5)]]</f>
        <v>23.25</v>
      </c>
      <c r="J1634" s="70">
        <v>1</v>
      </c>
      <c r="K1634" s="78">
        <f>SUMIFS(VENTAS[Cantidad],VENTAS[Código del producto Vendido],STOCK[[#This Row],[Code]])</f>
        <v>0</v>
      </c>
      <c r="L1634" s="78">
        <f>STOCK[[#This Row],[Entradas]]-STOCK[[#This Row],[Salidas]]</f>
        <v>1</v>
      </c>
      <c r="M1634" s="76">
        <f>STOCK[[#This Row],[Precio Final]]*10%</f>
        <v>3.5</v>
      </c>
      <c r="N1634" s="54">
        <v>0</v>
      </c>
      <c r="O1634" s="76">
        <v>0</v>
      </c>
      <c r="P1634" s="53">
        <v>12</v>
      </c>
      <c r="Q1634" s="70">
        <v>0</v>
      </c>
      <c r="R1634" s="53">
        <v>0</v>
      </c>
      <c r="S1634" s="53">
        <v>0</v>
      </c>
      <c r="T1634" s="76">
        <f>STOCK[[#This Row],[Costo Unitario (USD)]]+STOCK[[#This Row],[Costo Envío (USD)]]+STOCK[[#This Row],[Comisión 10%]]</f>
        <v>15.5</v>
      </c>
      <c r="U1634" s="53">
        <f>STOCK[[#This Row],[Costo total]]*1.5</f>
        <v>23.25</v>
      </c>
      <c r="V1634" s="53">
        <v>35</v>
      </c>
      <c r="W1634" s="76">
        <f>STOCK[[#This Row],[Precio Final]]-STOCK[[#This Row],[Costo total]]</f>
        <v>19.5</v>
      </c>
      <c r="X1634" s="76">
        <f>STOCK[[#This Row],[Ganancia Unitaria]]*STOCK[[#This Row],[Salidas]]</f>
        <v>0</v>
      </c>
      <c r="Y1634" s="76"/>
      <c r="Z1634" s="76"/>
      <c r="AA1634" s="54">
        <f>STOCK[[#This Row],[Costo total]]*STOCK[[#This Row],[Entradas]]</f>
        <v>15.5</v>
      </c>
      <c r="AB1634" s="54">
        <f>STOCK[[#This Row],[Stock Actual]]*STOCK[[#This Row],[Costo total]]</f>
        <v>15.5</v>
      </c>
      <c r="AC1634" s="76"/>
      <c r="AD1634" s="82"/>
    </row>
    <row r="1635" s="53" customFormat="1" ht="50" customHeight="1" spans="1:30">
      <c r="A1635" s="53" t="s">
        <v>3240</v>
      </c>
      <c r="B1635" s="70" t="str">
        <f>_xlfn.DISPIMG("ID_F0D76E3F1A9C42489C4E2DA0176D3388",1)</f>
        <v>=DISPIMG("ID_F0D76E3F1A9C42489C4E2DA0176D3388",1)</v>
      </c>
      <c r="C1635" s="53" t="s">
        <v>32</v>
      </c>
      <c r="D1635" s="53" t="s">
        <v>3234</v>
      </c>
      <c r="E1635" s="53" t="s">
        <v>3241</v>
      </c>
      <c r="F1635" s="53" t="s">
        <v>42</v>
      </c>
      <c r="H1635" s="76">
        <f>STOCK[[#This Row],[Precio Final]]</f>
        <v>30</v>
      </c>
      <c r="I1635" s="80">
        <f>STOCK[[#This Row],[Precio Venta Ideal (x1.5)]]</f>
        <v>22.5</v>
      </c>
      <c r="J1635" s="70">
        <v>1</v>
      </c>
      <c r="K1635" s="78">
        <f>SUMIFS(VENTAS[Cantidad],VENTAS[Código del producto Vendido],STOCK[[#This Row],[Code]])</f>
        <v>1</v>
      </c>
      <c r="L1635" s="78">
        <f>STOCK[[#This Row],[Entradas]]-STOCK[[#This Row],[Salidas]]</f>
        <v>0</v>
      </c>
      <c r="M1635" s="76">
        <f>STOCK[[#This Row],[Precio Final]]*10%</f>
        <v>3</v>
      </c>
      <c r="N1635" s="54">
        <v>0</v>
      </c>
      <c r="O1635" s="76">
        <v>0</v>
      </c>
      <c r="P1635" s="53">
        <v>12</v>
      </c>
      <c r="Q1635" s="70">
        <v>0</v>
      </c>
      <c r="R1635" s="53">
        <v>0</v>
      </c>
      <c r="S1635" s="54">
        <v>0</v>
      </c>
      <c r="T1635" s="76">
        <f>STOCK[[#This Row],[Costo Unitario (USD)]]+STOCK[[#This Row],[Costo Envío (USD)]]+STOCK[[#This Row],[Comisión 10%]]</f>
        <v>15</v>
      </c>
      <c r="U1635" s="53">
        <f>STOCK[[#This Row],[Costo total]]*1.5</f>
        <v>22.5</v>
      </c>
      <c r="V1635" s="53">
        <v>30</v>
      </c>
      <c r="W1635" s="76">
        <f>STOCK[[#This Row],[Precio Final]]-STOCK[[#This Row],[Costo total]]</f>
        <v>15</v>
      </c>
      <c r="X1635" s="76">
        <f>STOCK[[#This Row],[Ganancia Unitaria]]*STOCK[[#This Row],[Salidas]]</f>
        <v>15</v>
      </c>
      <c r="Y1635" s="76"/>
      <c r="Z1635" s="76"/>
      <c r="AA1635" s="54">
        <f>STOCK[[#This Row],[Costo total]]*STOCK[[#This Row],[Entradas]]</f>
        <v>15</v>
      </c>
      <c r="AB1635" s="54">
        <f>STOCK[[#This Row],[Stock Actual]]*STOCK[[#This Row],[Costo total]]</f>
        <v>0</v>
      </c>
      <c r="AC1635" s="76"/>
      <c r="AD1635" s="82"/>
    </row>
    <row r="1636" s="53" customFormat="1" ht="50" customHeight="1" spans="1:30">
      <c r="A1636" s="53" t="s">
        <v>3242</v>
      </c>
      <c r="B1636" s="70" t="str">
        <f>_xlfn.DISPIMG("ID_252A756DF14448CB950ADF167E6B2F36",1)</f>
        <v>=DISPIMG("ID_252A756DF14448CB950ADF167E6B2F36",1)</v>
      </c>
      <c r="C1636" s="53" t="s">
        <v>32</v>
      </c>
      <c r="D1636" s="53" t="s">
        <v>3234</v>
      </c>
      <c r="E1636" s="53" t="s">
        <v>3243</v>
      </c>
      <c r="F1636" s="53" t="s">
        <v>49</v>
      </c>
      <c r="H1636" s="76">
        <f>STOCK[[#This Row],[Precio Final]]</f>
        <v>30</v>
      </c>
      <c r="I1636" s="80">
        <f>STOCK[[#This Row],[Precio Venta Ideal (x1.5)]]</f>
        <v>22.5</v>
      </c>
      <c r="J1636" s="70">
        <v>1</v>
      </c>
      <c r="K1636" s="78">
        <f>SUMIFS(VENTAS[Cantidad],VENTAS[Código del producto Vendido],STOCK[[#This Row],[Code]])</f>
        <v>1</v>
      </c>
      <c r="L1636" s="78">
        <f>STOCK[[#This Row],[Entradas]]-STOCK[[#This Row],[Salidas]]</f>
        <v>0</v>
      </c>
      <c r="M1636" s="76">
        <f>STOCK[[#This Row],[Precio Final]]*10%</f>
        <v>3</v>
      </c>
      <c r="N1636" s="53">
        <v>0</v>
      </c>
      <c r="O1636" s="76">
        <v>0</v>
      </c>
      <c r="P1636" s="53">
        <v>12</v>
      </c>
      <c r="Q1636" s="71">
        <v>0</v>
      </c>
      <c r="R1636" s="53">
        <v>0</v>
      </c>
      <c r="S1636" s="54">
        <v>0</v>
      </c>
      <c r="T1636" s="76">
        <f>STOCK[[#This Row],[Costo Unitario (USD)]]+STOCK[[#This Row],[Costo Envío (USD)]]+STOCK[[#This Row],[Comisión 10%]]</f>
        <v>15</v>
      </c>
      <c r="U1636" s="53">
        <f>STOCK[[#This Row],[Costo total]]*1.5</f>
        <v>22.5</v>
      </c>
      <c r="V1636" s="53">
        <v>30</v>
      </c>
      <c r="W1636" s="76">
        <f>STOCK[[#This Row],[Precio Final]]-STOCK[[#This Row],[Costo total]]</f>
        <v>15</v>
      </c>
      <c r="X1636" s="76">
        <f>STOCK[[#This Row],[Ganancia Unitaria]]*STOCK[[#This Row],[Salidas]]</f>
        <v>15</v>
      </c>
      <c r="Y1636" s="76"/>
      <c r="Z1636" s="76"/>
      <c r="AA1636" s="54">
        <f>STOCK[[#This Row],[Costo total]]*STOCK[[#This Row],[Entradas]]</f>
        <v>15</v>
      </c>
      <c r="AB1636" s="54">
        <f>STOCK[[#This Row],[Stock Actual]]*STOCK[[#This Row],[Costo total]]</f>
        <v>0</v>
      </c>
      <c r="AC1636" s="76"/>
      <c r="AD1636" s="82"/>
    </row>
    <row r="1637" s="53" customFormat="1" ht="50" customHeight="1" spans="1:30">
      <c r="A1637" s="53" t="s">
        <v>3244</v>
      </c>
      <c r="B1637" s="70" t="str">
        <f>_xlfn.DISPIMG("ID_BE20E88A6FB349A6927548A6F0EDC81B",1)</f>
        <v>=DISPIMG("ID_BE20E88A6FB349A6927548A6F0EDC81B",1)</v>
      </c>
      <c r="C1637" s="53" t="s">
        <v>32</v>
      </c>
      <c r="D1637" s="53" t="s">
        <v>3234</v>
      </c>
      <c r="E1637" s="53" t="s">
        <v>3243</v>
      </c>
      <c r="F1637" s="53" t="s">
        <v>3245</v>
      </c>
      <c r="H1637" s="76">
        <f>STOCK[[#This Row],[Precio Final]]</f>
        <v>0</v>
      </c>
      <c r="I1637" s="80">
        <f>STOCK[[#This Row],[Precio Venta Ideal (x1.5)]]</f>
        <v>18</v>
      </c>
      <c r="J1637" s="70">
        <v>1</v>
      </c>
      <c r="K1637" s="78">
        <f>SUMIFS(VENTAS[Cantidad],VENTAS[Código del producto Vendido],STOCK[[#This Row],[Code]])</f>
        <v>1</v>
      </c>
      <c r="L1637" s="78">
        <f>STOCK[[#This Row],[Entradas]]-STOCK[[#This Row],[Salidas]]</f>
        <v>0</v>
      </c>
      <c r="M1637" s="76">
        <f>STOCK[[#This Row],[Precio Final]]*10%</f>
        <v>0</v>
      </c>
      <c r="N1637" s="54">
        <v>0</v>
      </c>
      <c r="O1637" s="76">
        <v>0</v>
      </c>
      <c r="P1637" s="53">
        <v>12</v>
      </c>
      <c r="Q1637" s="70">
        <v>0</v>
      </c>
      <c r="R1637" s="53">
        <v>0</v>
      </c>
      <c r="S1637" s="53">
        <v>0</v>
      </c>
      <c r="T1637" s="76">
        <f>STOCK[[#This Row],[Costo Unitario (USD)]]+STOCK[[#This Row],[Costo Envío (USD)]]+STOCK[[#This Row],[Comisión 10%]]</f>
        <v>12</v>
      </c>
      <c r="U1637" s="53">
        <f>STOCK[[#This Row],[Costo total]]*1.5</f>
        <v>18</v>
      </c>
      <c r="W1637" s="76">
        <f>STOCK[[#This Row],[Precio Final]]-STOCK[[#This Row],[Costo total]]</f>
        <v>-12</v>
      </c>
      <c r="X1637" s="76">
        <f>STOCK[[#This Row],[Ganancia Unitaria]]*STOCK[[#This Row],[Salidas]]</f>
        <v>-12</v>
      </c>
      <c r="Y1637" s="76"/>
      <c r="Z1637" s="76"/>
      <c r="AA1637" s="54">
        <f>STOCK[[#This Row],[Costo total]]*STOCK[[#This Row],[Entradas]]</f>
        <v>12</v>
      </c>
      <c r="AB1637" s="54">
        <f>STOCK[[#This Row],[Stock Actual]]*STOCK[[#This Row],[Costo total]]</f>
        <v>0</v>
      </c>
      <c r="AC1637" s="76"/>
      <c r="AD1637" s="82"/>
    </row>
    <row r="1638" s="53" customFormat="1" ht="50" customHeight="1" spans="1:30">
      <c r="A1638" s="53" t="s">
        <v>3246</v>
      </c>
      <c r="B1638" s="53" t="s">
        <v>3247</v>
      </c>
      <c r="C1638" s="53" t="s">
        <v>32</v>
      </c>
      <c r="D1638" s="53" t="s">
        <v>1116</v>
      </c>
      <c r="E1638" s="53" t="s">
        <v>3248</v>
      </c>
      <c r="F1638" s="53" t="s">
        <v>3245</v>
      </c>
      <c r="H1638" s="76">
        <f>STOCK[[#This Row],[Precio Final]]</f>
        <v>0</v>
      </c>
      <c r="I1638" s="80">
        <f>STOCK[[#This Row],[Precio Venta Ideal (x1.5)]]</f>
        <v>4.5</v>
      </c>
      <c r="J1638" s="70">
        <v>1</v>
      </c>
      <c r="K1638" s="78">
        <f>SUMIFS(VENTAS[Cantidad],VENTAS[Código del producto Vendido],STOCK[[#This Row],[Code]])</f>
        <v>1</v>
      </c>
      <c r="L1638" s="78">
        <f>STOCK[[#This Row],[Entradas]]-STOCK[[#This Row],[Salidas]]</f>
        <v>0</v>
      </c>
      <c r="M1638" s="76">
        <f>STOCK[[#This Row],[Precio Final]]*10%</f>
        <v>0</v>
      </c>
      <c r="N1638" s="54">
        <v>0</v>
      </c>
      <c r="O1638" s="76">
        <v>0</v>
      </c>
      <c r="P1638" s="53">
        <v>3</v>
      </c>
      <c r="Q1638" s="70">
        <v>0</v>
      </c>
      <c r="R1638" s="53">
        <v>0</v>
      </c>
      <c r="S1638" s="54">
        <v>0</v>
      </c>
      <c r="T1638" s="76">
        <f>STOCK[[#This Row],[Costo Unitario (USD)]]+STOCK[[#This Row],[Costo Envío (USD)]]+STOCK[[#This Row],[Comisión 10%]]</f>
        <v>3</v>
      </c>
      <c r="U1638" s="53">
        <f>STOCK[[#This Row],[Costo total]]*1.5</f>
        <v>4.5</v>
      </c>
      <c r="W1638" s="76">
        <f>STOCK[[#This Row],[Precio Final]]-STOCK[[#This Row],[Costo total]]</f>
        <v>-3</v>
      </c>
      <c r="X1638" s="76">
        <f>STOCK[[#This Row],[Ganancia Unitaria]]*STOCK[[#This Row],[Salidas]]</f>
        <v>-3</v>
      </c>
      <c r="Y1638" s="76"/>
      <c r="Z1638" s="76"/>
      <c r="AA1638" s="54">
        <f>STOCK[[#This Row],[Costo total]]*STOCK[[#This Row],[Entradas]]</f>
        <v>3</v>
      </c>
      <c r="AB1638" s="54">
        <f>STOCK[[#This Row],[Stock Actual]]*STOCK[[#This Row],[Costo total]]</f>
        <v>0</v>
      </c>
      <c r="AC1638" s="76"/>
      <c r="AD1638" s="82"/>
    </row>
    <row r="1639" s="53" customFormat="1" ht="50" customHeight="1" spans="1:30">
      <c r="A1639" s="53" t="s">
        <v>3249</v>
      </c>
      <c r="B1639" s="53" t="s">
        <v>3250</v>
      </c>
      <c r="C1639" s="53" t="s">
        <v>32</v>
      </c>
      <c r="D1639" s="53" t="s">
        <v>1116</v>
      </c>
      <c r="E1639" s="53" t="s">
        <v>3251</v>
      </c>
      <c r="F1639" s="53" t="s">
        <v>3245</v>
      </c>
      <c r="H1639" s="76">
        <f>STOCK[[#This Row],[Precio Final]]</f>
        <v>0</v>
      </c>
      <c r="I1639" s="80">
        <f>STOCK[[#This Row],[Precio Venta Ideal (x1.5)]]</f>
        <v>4.5</v>
      </c>
      <c r="J1639" s="70">
        <v>1</v>
      </c>
      <c r="K1639" s="78">
        <f>SUMIFS(VENTAS[Cantidad],VENTAS[Código del producto Vendido],STOCK[[#This Row],[Code]])</f>
        <v>1</v>
      </c>
      <c r="L1639" s="78">
        <f>STOCK[[#This Row],[Entradas]]-STOCK[[#This Row],[Salidas]]</f>
        <v>0</v>
      </c>
      <c r="M1639" s="76">
        <f>STOCK[[#This Row],[Precio Final]]*10%</f>
        <v>0</v>
      </c>
      <c r="N1639" s="53">
        <v>0</v>
      </c>
      <c r="O1639" s="76">
        <v>0</v>
      </c>
      <c r="P1639" s="53">
        <v>3</v>
      </c>
      <c r="Q1639" s="71">
        <v>0</v>
      </c>
      <c r="R1639" s="53">
        <v>0</v>
      </c>
      <c r="S1639" s="54">
        <v>0</v>
      </c>
      <c r="T1639" s="76">
        <f>STOCK[[#This Row],[Costo Unitario (USD)]]+STOCK[[#This Row],[Costo Envío (USD)]]+STOCK[[#This Row],[Comisión 10%]]</f>
        <v>3</v>
      </c>
      <c r="U1639" s="53">
        <f>STOCK[[#This Row],[Costo total]]*1.5</f>
        <v>4.5</v>
      </c>
      <c r="W1639" s="76">
        <f>STOCK[[#This Row],[Precio Final]]-STOCK[[#This Row],[Costo total]]</f>
        <v>-3</v>
      </c>
      <c r="X1639" s="76">
        <f>STOCK[[#This Row],[Ganancia Unitaria]]*STOCK[[#This Row],[Salidas]]</f>
        <v>-3</v>
      </c>
      <c r="Y1639" s="76"/>
      <c r="Z1639" s="76"/>
      <c r="AA1639" s="54">
        <f>STOCK[[#This Row],[Costo total]]*STOCK[[#This Row],[Entradas]]</f>
        <v>3</v>
      </c>
      <c r="AB1639" s="54">
        <f>STOCK[[#This Row],[Stock Actual]]*STOCK[[#This Row],[Costo total]]</f>
        <v>0</v>
      </c>
      <c r="AC1639" s="76"/>
      <c r="AD1639" s="82"/>
    </row>
    <row r="1640" s="53" customFormat="1" ht="50" customHeight="1" spans="1:30">
      <c r="A1640" s="53" t="s">
        <v>3252</v>
      </c>
      <c r="B1640" s="70" t="str">
        <f>_xlfn.DISPIMG("ID_CA59C52944AC4C77A7772C624B61C434",1)</f>
        <v>=DISPIMG("ID_CA59C52944AC4C77A7772C624B61C434",1)</v>
      </c>
      <c r="C1640" s="53" t="s">
        <v>32</v>
      </c>
      <c r="D1640" s="53" t="s">
        <v>749</v>
      </c>
      <c r="E1640" s="53" t="s">
        <v>3253</v>
      </c>
      <c r="F1640" s="53" t="s">
        <v>49</v>
      </c>
      <c r="H1640" s="76">
        <f>STOCK[[#This Row],[Precio Final]]</f>
        <v>4</v>
      </c>
      <c r="I1640" s="80">
        <f>STOCK[[#This Row],[Precio Venta Ideal (x1.5)]]</f>
        <v>3.6</v>
      </c>
      <c r="J1640" s="70">
        <v>3</v>
      </c>
      <c r="K1640" s="78">
        <f>SUMIFS(VENTAS[Cantidad],VENTAS[Código del producto Vendido],STOCK[[#This Row],[Code]])</f>
        <v>0</v>
      </c>
      <c r="L1640" s="78">
        <f>STOCK[[#This Row],[Entradas]]-STOCK[[#This Row],[Salidas]]</f>
        <v>3</v>
      </c>
      <c r="M1640" s="76">
        <f>STOCK[[#This Row],[Precio Final]]*10%</f>
        <v>0.4</v>
      </c>
      <c r="N1640" s="54">
        <v>0</v>
      </c>
      <c r="O1640" s="76">
        <v>0</v>
      </c>
      <c r="P1640" s="53">
        <v>2</v>
      </c>
      <c r="Q1640" s="70">
        <v>0</v>
      </c>
      <c r="R1640" s="53">
        <v>0</v>
      </c>
      <c r="S1640" s="53">
        <v>0</v>
      </c>
      <c r="T1640" s="76">
        <f>STOCK[[#This Row],[Costo Unitario (USD)]]+STOCK[[#This Row],[Costo Envío (USD)]]+STOCK[[#This Row],[Comisión 10%]]</f>
        <v>2.4</v>
      </c>
      <c r="U1640" s="53">
        <f>STOCK[[#This Row],[Costo total]]*1.5</f>
        <v>3.6</v>
      </c>
      <c r="V1640" s="53">
        <v>4</v>
      </c>
      <c r="W1640" s="76">
        <f>STOCK[[#This Row],[Precio Final]]-STOCK[[#This Row],[Costo total]]</f>
        <v>1.6</v>
      </c>
      <c r="X1640" s="76">
        <f>STOCK[[#This Row],[Ganancia Unitaria]]*STOCK[[#This Row],[Salidas]]</f>
        <v>0</v>
      </c>
      <c r="Y1640" s="76"/>
      <c r="Z1640" s="76"/>
      <c r="AA1640" s="54">
        <f>STOCK[[#This Row],[Costo total]]*STOCK[[#This Row],[Entradas]]</f>
        <v>7.2</v>
      </c>
      <c r="AB1640" s="54">
        <f>STOCK[[#This Row],[Stock Actual]]*STOCK[[#This Row],[Costo total]]</f>
        <v>7.2</v>
      </c>
      <c r="AC1640" s="76"/>
      <c r="AD1640" s="82"/>
    </row>
    <row r="1641" s="53" customFormat="1" ht="50" customHeight="1" spans="1:30">
      <c r="A1641" s="53" t="s">
        <v>3254</v>
      </c>
      <c r="B1641" s="70" t="str">
        <f>_xlfn.DISPIMG("ID_0505384F87244B17A5F12EC5E5CE6025",1)</f>
        <v>=DISPIMG("ID_0505384F87244B17A5F12EC5E5CE6025",1)</v>
      </c>
      <c r="C1641" s="53" t="s">
        <v>32</v>
      </c>
      <c r="D1641" s="53" t="s">
        <v>749</v>
      </c>
      <c r="E1641" s="53" t="s">
        <v>3255</v>
      </c>
      <c r="F1641" s="53" t="s">
        <v>46</v>
      </c>
      <c r="H1641" s="76">
        <f>STOCK[[#This Row],[Precio Final]]</f>
        <v>4</v>
      </c>
      <c r="I1641" s="80">
        <f>STOCK[[#This Row],[Precio Venta Ideal (x1.5)]]</f>
        <v>3.6</v>
      </c>
      <c r="J1641" s="70">
        <v>3</v>
      </c>
      <c r="K1641" s="78">
        <f>SUMIFS(VENTAS[Cantidad],VENTAS[Código del producto Vendido],STOCK[[#This Row],[Code]])</f>
        <v>3</v>
      </c>
      <c r="L1641" s="78">
        <f>STOCK[[#This Row],[Entradas]]-STOCK[[#This Row],[Salidas]]</f>
        <v>0</v>
      </c>
      <c r="M1641" s="76">
        <f>STOCK[[#This Row],[Precio Final]]*10%</f>
        <v>0.4</v>
      </c>
      <c r="N1641" s="54">
        <v>0</v>
      </c>
      <c r="O1641" s="76">
        <v>0</v>
      </c>
      <c r="P1641" s="53">
        <v>2</v>
      </c>
      <c r="Q1641" s="70">
        <v>0</v>
      </c>
      <c r="R1641" s="53">
        <v>0</v>
      </c>
      <c r="S1641" s="53">
        <v>0</v>
      </c>
      <c r="T1641" s="76">
        <f>STOCK[[#This Row],[Costo Unitario (USD)]]+STOCK[[#This Row],[Costo Envío (USD)]]+STOCK[[#This Row],[Comisión 10%]]</f>
        <v>2.4</v>
      </c>
      <c r="U1641" s="53">
        <f>STOCK[[#This Row],[Costo total]]*1.5</f>
        <v>3.6</v>
      </c>
      <c r="V1641" s="53">
        <v>4</v>
      </c>
      <c r="W1641" s="76">
        <f>STOCK[[#This Row],[Precio Final]]-STOCK[[#This Row],[Costo total]]</f>
        <v>1.6</v>
      </c>
      <c r="X1641" s="76">
        <f>STOCK[[#This Row],[Ganancia Unitaria]]*STOCK[[#This Row],[Salidas]]</f>
        <v>4.8</v>
      </c>
      <c r="Y1641" s="76"/>
      <c r="Z1641" s="76"/>
      <c r="AA1641" s="54">
        <f>STOCK[[#This Row],[Costo total]]*STOCK[[#This Row],[Entradas]]</f>
        <v>7.2</v>
      </c>
      <c r="AB1641" s="54">
        <f>STOCK[[#This Row],[Stock Actual]]*STOCK[[#This Row],[Costo total]]</f>
        <v>0</v>
      </c>
      <c r="AC1641" s="76"/>
      <c r="AD1641" s="82"/>
    </row>
    <row r="1642" s="53" customFormat="1" ht="50" customHeight="1" spans="1:30">
      <c r="A1642" s="53" t="s">
        <v>3256</v>
      </c>
      <c r="B1642" s="70" t="str">
        <f>_xlfn.DISPIMG("ID_55313014813345A0B08CAA51D07E216F",1)</f>
        <v>=DISPIMG("ID_55313014813345A0B08CAA51D07E216F",1)</v>
      </c>
      <c r="C1642" s="53" t="s">
        <v>32</v>
      </c>
      <c r="D1642" s="53" t="s">
        <v>3257</v>
      </c>
      <c r="E1642" s="53" t="s">
        <v>3258</v>
      </c>
      <c r="F1642" s="53" t="s">
        <v>525</v>
      </c>
      <c r="H1642" s="76">
        <f>STOCK[[#This Row],[Precio Final]]</f>
        <v>3</v>
      </c>
      <c r="I1642" s="80">
        <f>STOCK[[#This Row],[Precio Venta Ideal (x1.5)]]</f>
        <v>1.74</v>
      </c>
      <c r="J1642" s="70">
        <v>4</v>
      </c>
      <c r="K1642" s="78">
        <f>SUMIFS(VENTAS[Cantidad],VENTAS[Código del producto Vendido],STOCK[[#This Row],[Code]])</f>
        <v>2</v>
      </c>
      <c r="L1642" s="78">
        <f>STOCK[[#This Row],[Entradas]]-STOCK[[#This Row],[Salidas]]</f>
        <v>2</v>
      </c>
      <c r="M1642" s="76">
        <f>STOCK[[#This Row],[Precio Final]]*10%</f>
        <v>0.3</v>
      </c>
      <c r="N1642" s="54">
        <v>0</v>
      </c>
      <c r="O1642" s="76">
        <v>0</v>
      </c>
      <c r="P1642" s="53">
        <v>0.86</v>
      </c>
      <c r="Q1642" s="70">
        <v>0</v>
      </c>
      <c r="R1642" s="53">
        <v>0</v>
      </c>
      <c r="S1642" s="53">
        <v>0</v>
      </c>
      <c r="T1642" s="76">
        <f>STOCK[[#This Row],[Costo Unitario (USD)]]+STOCK[[#This Row],[Costo Envío (USD)]]+STOCK[[#This Row],[Comisión 10%]]</f>
        <v>1.16</v>
      </c>
      <c r="U1642" s="53">
        <f>STOCK[[#This Row],[Costo total]]*1.5</f>
        <v>1.74</v>
      </c>
      <c r="V1642" s="53">
        <v>3</v>
      </c>
      <c r="W1642" s="76">
        <f>STOCK[[#This Row],[Precio Final]]-STOCK[[#This Row],[Costo total]]</f>
        <v>1.84</v>
      </c>
      <c r="X1642" s="76">
        <f>STOCK[[#This Row],[Ganancia Unitaria]]*STOCK[[#This Row],[Salidas]]</f>
        <v>3.68</v>
      </c>
      <c r="Y1642" s="76"/>
      <c r="Z1642" s="76"/>
      <c r="AA1642" s="54">
        <f>STOCK[[#This Row],[Costo total]]*STOCK[[#This Row],[Entradas]]</f>
        <v>4.64</v>
      </c>
      <c r="AB1642" s="54">
        <f>STOCK[[#This Row],[Stock Actual]]*STOCK[[#This Row],[Costo total]]</f>
        <v>2.32</v>
      </c>
      <c r="AC1642" s="76"/>
      <c r="AD1642" s="82"/>
    </row>
    <row r="1643" s="53" customFormat="1" ht="50" customHeight="1" spans="1:30">
      <c r="A1643" s="53" t="s">
        <v>3259</v>
      </c>
      <c r="B1643" s="70"/>
      <c r="C1643" s="53" t="s">
        <v>32</v>
      </c>
      <c r="D1643" s="53" t="s">
        <v>3257</v>
      </c>
      <c r="E1643" s="53" t="s">
        <v>3260</v>
      </c>
      <c r="F1643" s="53" t="s">
        <v>525</v>
      </c>
      <c r="H1643" s="76">
        <f>STOCK[[#This Row],[Precio Final]]</f>
        <v>3</v>
      </c>
      <c r="I1643" s="80">
        <f>STOCK[[#This Row],[Precio Venta Ideal (x1.5)]]</f>
        <v>1.74</v>
      </c>
      <c r="J1643" s="70">
        <v>3</v>
      </c>
      <c r="K1643" s="78">
        <f>SUMIFS(VENTAS[Cantidad],VENTAS[Código del producto Vendido],STOCK[[#This Row],[Code]])</f>
        <v>2</v>
      </c>
      <c r="L1643" s="78">
        <f>STOCK[[#This Row],[Entradas]]-STOCK[[#This Row],[Salidas]]</f>
        <v>1</v>
      </c>
      <c r="M1643" s="76">
        <f>STOCK[[#This Row],[Precio Final]]*10%</f>
        <v>0.3</v>
      </c>
      <c r="N1643" s="54">
        <v>0</v>
      </c>
      <c r="O1643" s="76">
        <v>0</v>
      </c>
      <c r="P1643" s="53">
        <v>0.86</v>
      </c>
      <c r="Q1643" s="70">
        <v>0</v>
      </c>
      <c r="R1643" s="53">
        <v>0</v>
      </c>
      <c r="S1643" s="53">
        <v>0</v>
      </c>
      <c r="T1643" s="76">
        <f>STOCK[[#This Row],[Costo Unitario (USD)]]+STOCK[[#This Row],[Costo Envío (USD)]]+STOCK[[#This Row],[Comisión 10%]]</f>
        <v>1.16</v>
      </c>
      <c r="U1643" s="53">
        <f>STOCK[[#This Row],[Costo total]]*1.5</f>
        <v>1.74</v>
      </c>
      <c r="V1643" s="53">
        <v>3</v>
      </c>
      <c r="W1643" s="76">
        <f>STOCK[[#This Row],[Precio Final]]-STOCK[[#This Row],[Costo total]]</f>
        <v>1.84</v>
      </c>
      <c r="X1643" s="76">
        <f>STOCK[[#This Row],[Ganancia Unitaria]]*STOCK[[#This Row],[Salidas]]</f>
        <v>3.68</v>
      </c>
      <c r="Y1643" s="76"/>
      <c r="Z1643" s="76"/>
      <c r="AA1643" s="54">
        <f>STOCK[[#This Row],[Costo total]]*STOCK[[#This Row],[Entradas]]</f>
        <v>3.48</v>
      </c>
      <c r="AB1643" s="54">
        <f>STOCK[[#This Row],[Stock Actual]]*STOCK[[#This Row],[Costo total]]</f>
        <v>1.16</v>
      </c>
      <c r="AC1643" s="76"/>
      <c r="AD1643" s="82"/>
    </row>
    <row r="1644" s="53" customFormat="1" ht="50" customHeight="1" spans="1:30">
      <c r="A1644" s="53" t="s">
        <v>3261</v>
      </c>
      <c r="B1644" s="53" t="s">
        <v>1345</v>
      </c>
      <c r="C1644" s="53" t="s">
        <v>32</v>
      </c>
      <c r="D1644" s="53" t="s">
        <v>3257</v>
      </c>
      <c r="E1644" s="53" t="s">
        <v>3262</v>
      </c>
      <c r="F1644" s="53" t="s">
        <v>62</v>
      </c>
      <c r="H1644" s="76">
        <f>STOCK[[#This Row],[Precio Final]]</f>
        <v>2.5</v>
      </c>
      <c r="I1644" s="80">
        <f>STOCK[[#This Row],[Precio Venta Ideal (x1.5)]]</f>
        <v>1.665</v>
      </c>
      <c r="J1644" s="70">
        <v>2</v>
      </c>
      <c r="K1644" s="78">
        <f>SUMIFS(VENTAS[Cantidad],VENTAS[Código del producto Vendido],STOCK[[#This Row],[Code]])</f>
        <v>0</v>
      </c>
      <c r="L1644" s="78">
        <f>STOCK[[#This Row],[Entradas]]-STOCK[[#This Row],[Salidas]]</f>
        <v>2</v>
      </c>
      <c r="M1644" s="76">
        <f>STOCK[[#This Row],[Precio Final]]*10%</f>
        <v>0.25</v>
      </c>
      <c r="N1644" s="54">
        <v>0</v>
      </c>
      <c r="O1644" s="76">
        <v>0</v>
      </c>
      <c r="P1644" s="53">
        <v>0.86</v>
      </c>
      <c r="Q1644" s="70">
        <v>0</v>
      </c>
      <c r="R1644" s="53">
        <v>0</v>
      </c>
      <c r="S1644" s="53">
        <v>0</v>
      </c>
      <c r="T1644" s="76">
        <f>STOCK[[#This Row],[Costo Unitario (USD)]]+STOCK[[#This Row],[Costo Envío (USD)]]+STOCK[[#This Row],[Comisión 10%]]</f>
        <v>1.11</v>
      </c>
      <c r="U1644" s="53">
        <f>STOCK[[#This Row],[Costo total]]*1.5</f>
        <v>1.665</v>
      </c>
      <c r="V1644" s="53">
        <v>2.5</v>
      </c>
      <c r="W1644" s="76">
        <f>STOCK[[#This Row],[Precio Final]]-STOCK[[#This Row],[Costo total]]</f>
        <v>1.39</v>
      </c>
      <c r="X1644" s="76">
        <f>STOCK[[#This Row],[Ganancia Unitaria]]*STOCK[[#This Row],[Salidas]]</f>
        <v>0</v>
      </c>
      <c r="Y1644" s="76"/>
      <c r="Z1644" s="76"/>
      <c r="AA1644" s="54">
        <f>STOCK[[#This Row],[Costo total]]*STOCK[[#This Row],[Entradas]]</f>
        <v>2.22</v>
      </c>
      <c r="AB1644" s="54">
        <f>STOCK[[#This Row],[Stock Actual]]*STOCK[[#This Row],[Costo total]]</f>
        <v>2.22</v>
      </c>
      <c r="AC1644" s="76"/>
      <c r="AD1644" s="82"/>
    </row>
    <row r="1645" s="53" customFormat="1" ht="50" customHeight="1" spans="1:30">
      <c r="A1645" s="53" t="s">
        <v>3263</v>
      </c>
      <c r="B1645" s="53" t="s">
        <v>1345</v>
      </c>
      <c r="C1645" s="53" t="s">
        <v>32</v>
      </c>
      <c r="D1645" s="53" t="s">
        <v>3257</v>
      </c>
      <c r="E1645" s="53" t="s">
        <v>3264</v>
      </c>
      <c r="F1645" s="53" t="s">
        <v>62</v>
      </c>
      <c r="H1645" s="76">
        <f>STOCK[[#This Row],[Precio Final]]</f>
        <v>2.5</v>
      </c>
      <c r="I1645" s="80">
        <f>STOCK[[#This Row],[Precio Venta Ideal (x1.5)]]</f>
        <v>1.665</v>
      </c>
      <c r="J1645" s="70">
        <v>2</v>
      </c>
      <c r="K1645" s="78">
        <f>SUMIFS(VENTAS[Cantidad],VENTAS[Código del producto Vendido],STOCK[[#This Row],[Code]])</f>
        <v>2</v>
      </c>
      <c r="L1645" s="78">
        <f>STOCK[[#This Row],[Entradas]]-STOCK[[#This Row],[Salidas]]</f>
        <v>0</v>
      </c>
      <c r="M1645" s="76">
        <f>STOCK[[#This Row],[Precio Final]]*10%</f>
        <v>0.25</v>
      </c>
      <c r="N1645" s="54">
        <v>0</v>
      </c>
      <c r="O1645" s="76">
        <v>0</v>
      </c>
      <c r="P1645" s="53">
        <v>0.86</v>
      </c>
      <c r="Q1645" s="70">
        <v>0</v>
      </c>
      <c r="R1645" s="53">
        <v>0</v>
      </c>
      <c r="S1645" s="53">
        <v>0</v>
      </c>
      <c r="T1645" s="76">
        <f>STOCK[[#This Row],[Costo Unitario (USD)]]+STOCK[[#This Row],[Costo Envío (USD)]]+STOCK[[#This Row],[Comisión 10%]]</f>
        <v>1.11</v>
      </c>
      <c r="U1645" s="53">
        <f>STOCK[[#This Row],[Costo total]]*1.5</f>
        <v>1.665</v>
      </c>
      <c r="V1645" s="53">
        <v>2.5</v>
      </c>
      <c r="W1645" s="76">
        <f>STOCK[[#This Row],[Precio Final]]-STOCK[[#This Row],[Costo total]]</f>
        <v>1.39</v>
      </c>
      <c r="X1645" s="76">
        <f>STOCK[[#This Row],[Ganancia Unitaria]]*STOCK[[#This Row],[Salidas]]</f>
        <v>2.78</v>
      </c>
      <c r="Y1645" s="76"/>
      <c r="Z1645" s="76"/>
      <c r="AA1645" s="54">
        <f>STOCK[[#This Row],[Costo total]]*STOCK[[#This Row],[Entradas]]</f>
        <v>2.22</v>
      </c>
      <c r="AB1645" s="54">
        <f>STOCK[[#This Row],[Stock Actual]]*STOCK[[#This Row],[Costo total]]</f>
        <v>0</v>
      </c>
      <c r="AC1645" s="76"/>
      <c r="AD1645" s="82"/>
    </row>
    <row r="1646" s="53" customFormat="1" ht="50" customHeight="1" spans="1:30">
      <c r="A1646" s="53" t="s">
        <v>3265</v>
      </c>
      <c r="B1646" s="53" t="s">
        <v>1345</v>
      </c>
      <c r="C1646" s="53" t="s">
        <v>32</v>
      </c>
      <c r="D1646" s="53" t="s">
        <v>3257</v>
      </c>
      <c r="E1646" s="53" t="s">
        <v>3266</v>
      </c>
      <c r="F1646" s="53" t="s">
        <v>62</v>
      </c>
      <c r="H1646" s="76">
        <f>STOCK[[#This Row],[Precio Final]]</f>
        <v>2.5</v>
      </c>
      <c r="I1646" s="80">
        <f>STOCK[[#This Row],[Precio Venta Ideal (x1.5)]]</f>
        <v>1.665</v>
      </c>
      <c r="J1646" s="70">
        <v>1</v>
      </c>
      <c r="K1646" s="78">
        <f>SUMIFS(VENTAS[Cantidad],VENTAS[Código del producto Vendido],STOCK[[#This Row],[Code]])</f>
        <v>0</v>
      </c>
      <c r="L1646" s="78">
        <f>STOCK[[#This Row],[Entradas]]-STOCK[[#This Row],[Salidas]]</f>
        <v>1</v>
      </c>
      <c r="M1646" s="76">
        <f>STOCK[[#This Row],[Precio Final]]*10%</f>
        <v>0.25</v>
      </c>
      <c r="N1646" s="54">
        <v>0</v>
      </c>
      <c r="O1646" s="76">
        <v>0</v>
      </c>
      <c r="P1646" s="53">
        <v>0.86</v>
      </c>
      <c r="Q1646" s="70">
        <v>0</v>
      </c>
      <c r="R1646" s="53">
        <v>0</v>
      </c>
      <c r="S1646" s="53">
        <v>0</v>
      </c>
      <c r="T1646" s="76">
        <f>STOCK[[#This Row],[Costo Unitario (USD)]]+STOCK[[#This Row],[Costo Envío (USD)]]+STOCK[[#This Row],[Comisión 10%]]</f>
        <v>1.11</v>
      </c>
      <c r="U1646" s="53">
        <f>STOCK[[#This Row],[Costo total]]*1.5</f>
        <v>1.665</v>
      </c>
      <c r="V1646" s="53">
        <v>2.5</v>
      </c>
      <c r="W1646" s="76">
        <f>STOCK[[#This Row],[Precio Final]]-STOCK[[#This Row],[Costo total]]</f>
        <v>1.39</v>
      </c>
      <c r="X1646" s="76">
        <f>STOCK[[#This Row],[Ganancia Unitaria]]*STOCK[[#This Row],[Salidas]]</f>
        <v>0</v>
      </c>
      <c r="Y1646" s="76"/>
      <c r="Z1646" s="76"/>
      <c r="AA1646" s="54">
        <f>STOCK[[#This Row],[Costo total]]*STOCK[[#This Row],[Entradas]]</f>
        <v>1.11</v>
      </c>
      <c r="AB1646" s="54">
        <f>STOCK[[#This Row],[Stock Actual]]*STOCK[[#This Row],[Costo total]]</f>
        <v>1.11</v>
      </c>
      <c r="AC1646" s="76"/>
      <c r="AD1646" s="82"/>
    </row>
    <row r="1647" s="53" customFormat="1" ht="50" customHeight="1" spans="1:30">
      <c r="A1647" s="53" t="s">
        <v>3267</v>
      </c>
      <c r="B1647" s="70" t="str">
        <f>_xlfn.DISPIMG("ID_3D450F2A6B7C47C59B1BC9781F1455B8",1)</f>
        <v>=DISPIMG("ID_3D450F2A6B7C47C59B1BC9781F1455B8",1)</v>
      </c>
      <c r="C1647" s="53" t="s">
        <v>32</v>
      </c>
      <c r="D1647" s="53" t="s">
        <v>3268</v>
      </c>
      <c r="E1647" s="53" t="s">
        <v>3269</v>
      </c>
      <c r="F1647" s="53" t="s">
        <v>525</v>
      </c>
      <c r="H1647" s="76">
        <f>STOCK[[#This Row],[Precio Final]]</f>
        <v>3.5</v>
      </c>
      <c r="I1647" s="80">
        <f>STOCK[[#This Row],[Precio Venta Ideal (x1.5)]]</f>
        <v>3.525</v>
      </c>
      <c r="J1647" s="70">
        <v>1</v>
      </c>
      <c r="K1647" s="78">
        <f>SUMIFS(VENTAS[Cantidad],VENTAS[Código del producto Vendido],STOCK[[#This Row],[Code]])</f>
        <v>0</v>
      </c>
      <c r="L1647" s="78">
        <f>STOCK[[#This Row],[Entradas]]-STOCK[[#This Row],[Salidas]]</f>
        <v>1</v>
      </c>
      <c r="M1647" s="76">
        <f>STOCK[[#This Row],[Precio Final]]*10%</f>
        <v>0.35</v>
      </c>
      <c r="N1647" s="54">
        <v>0</v>
      </c>
      <c r="O1647" s="76">
        <v>0</v>
      </c>
      <c r="P1647" s="53">
        <v>2</v>
      </c>
      <c r="Q1647" s="70">
        <v>0</v>
      </c>
      <c r="R1647" s="53">
        <v>0</v>
      </c>
      <c r="S1647" s="53">
        <v>0</v>
      </c>
      <c r="T1647" s="76">
        <f>STOCK[[#This Row],[Costo Unitario (USD)]]+STOCK[[#This Row],[Costo Envío (USD)]]+STOCK[[#This Row],[Comisión 10%]]</f>
        <v>2.35</v>
      </c>
      <c r="U1647" s="53">
        <f>STOCK[[#This Row],[Costo total]]*1.5</f>
        <v>3.525</v>
      </c>
      <c r="V1647" s="53">
        <v>3.5</v>
      </c>
      <c r="W1647" s="76">
        <f>STOCK[[#This Row],[Precio Final]]-STOCK[[#This Row],[Costo total]]</f>
        <v>1.15</v>
      </c>
      <c r="X1647" s="76">
        <f>STOCK[[#This Row],[Ganancia Unitaria]]*STOCK[[#This Row],[Salidas]]</f>
        <v>0</v>
      </c>
      <c r="Y1647" s="76"/>
      <c r="Z1647" s="76"/>
      <c r="AA1647" s="54">
        <f>STOCK[[#This Row],[Costo total]]*STOCK[[#This Row],[Entradas]]</f>
        <v>2.35</v>
      </c>
      <c r="AB1647" s="54">
        <f>STOCK[[#This Row],[Stock Actual]]*STOCK[[#This Row],[Costo total]]</f>
        <v>2.35</v>
      </c>
      <c r="AC1647" s="76"/>
      <c r="AD1647" s="82"/>
    </row>
    <row r="1648" s="53" customFormat="1" ht="50" customHeight="1" spans="1:30">
      <c r="A1648" s="53" t="s">
        <v>3270</v>
      </c>
      <c r="B1648" s="70" t="str">
        <f>_xlfn.DISPIMG("ID_FEA31DA4C4624707BACE85D4A3AE66F3",1)</f>
        <v>=DISPIMG("ID_FEA31DA4C4624707BACE85D4A3AE66F3",1)</v>
      </c>
      <c r="C1648" s="53" t="s">
        <v>32</v>
      </c>
      <c r="D1648" s="53" t="s">
        <v>3268</v>
      </c>
      <c r="E1648" s="53" t="s">
        <v>3271</v>
      </c>
      <c r="F1648" s="53" t="s">
        <v>525</v>
      </c>
      <c r="H1648" s="76">
        <f>STOCK[[#This Row],[Precio Final]]</f>
        <v>5</v>
      </c>
      <c r="I1648" s="80">
        <f>STOCK[[#This Row],[Precio Venta Ideal (x1.5)]]</f>
        <v>3.75</v>
      </c>
      <c r="J1648" s="70">
        <v>2</v>
      </c>
      <c r="K1648" s="78">
        <f>SUMIFS(VENTAS[Cantidad],VENTAS[Código del producto Vendido],STOCK[[#This Row],[Code]])</f>
        <v>0</v>
      </c>
      <c r="L1648" s="78">
        <f>STOCK[[#This Row],[Entradas]]-STOCK[[#This Row],[Salidas]]</f>
        <v>2</v>
      </c>
      <c r="M1648" s="76">
        <f>STOCK[[#This Row],[Precio Final]]*10%</f>
        <v>0.5</v>
      </c>
      <c r="N1648" s="54">
        <v>0</v>
      </c>
      <c r="O1648" s="76">
        <v>0</v>
      </c>
      <c r="P1648" s="53">
        <v>2</v>
      </c>
      <c r="Q1648" s="70">
        <v>0</v>
      </c>
      <c r="R1648" s="53">
        <v>0</v>
      </c>
      <c r="S1648" s="53">
        <v>0</v>
      </c>
      <c r="T1648" s="76">
        <f>STOCK[[#This Row],[Costo Unitario (USD)]]+STOCK[[#This Row],[Costo Envío (USD)]]+STOCK[[#This Row],[Comisión 10%]]</f>
        <v>2.5</v>
      </c>
      <c r="U1648" s="53">
        <f>STOCK[[#This Row],[Costo total]]*1.5</f>
        <v>3.75</v>
      </c>
      <c r="V1648" s="53">
        <v>5</v>
      </c>
      <c r="W1648" s="76">
        <f>STOCK[[#This Row],[Precio Final]]-STOCK[[#This Row],[Costo total]]</f>
        <v>2.5</v>
      </c>
      <c r="X1648" s="76">
        <f>STOCK[[#This Row],[Ganancia Unitaria]]*STOCK[[#This Row],[Salidas]]</f>
        <v>0</v>
      </c>
      <c r="Y1648" s="76"/>
      <c r="Z1648" s="76"/>
      <c r="AA1648" s="54">
        <f>STOCK[[#This Row],[Costo total]]*STOCK[[#This Row],[Entradas]]</f>
        <v>5</v>
      </c>
      <c r="AB1648" s="54">
        <f>STOCK[[#This Row],[Stock Actual]]*STOCK[[#This Row],[Costo total]]</f>
        <v>5</v>
      </c>
      <c r="AC1648" s="76"/>
      <c r="AD1648" s="82"/>
    </row>
    <row r="1649" s="53" customFormat="1" ht="50" customHeight="1" spans="1:30">
      <c r="A1649" s="53" t="s">
        <v>3272</v>
      </c>
      <c r="B1649" s="70" t="str">
        <f>_xlfn.DISPIMG("ID_22CAB55638B04FF8A0B296359D1A0FC6",1)</f>
        <v>=DISPIMG("ID_22CAB55638B04FF8A0B296359D1A0FC6",1)</v>
      </c>
      <c r="C1649" s="53" t="s">
        <v>32</v>
      </c>
      <c r="D1649" s="53" t="s">
        <v>3268</v>
      </c>
      <c r="E1649" s="53" t="s">
        <v>3273</v>
      </c>
      <c r="F1649" s="53" t="s">
        <v>525</v>
      </c>
      <c r="H1649" s="76">
        <f>STOCK[[#This Row],[Precio Final]]</f>
        <v>5</v>
      </c>
      <c r="I1649" s="80">
        <f>STOCK[[#This Row],[Precio Venta Ideal (x1.5)]]</f>
        <v>3.75</v>
      </c>
      <c r="J1649" s="70">
        <v>1</v>
      </c>
      <c r="K1649" s="78">
        <f>SUMIFS(VENTAS[Cantidad],VENTAS[Código del producto Vendido],STOCK[[#This Row],[Code]])</f>
        <v>0</v>
      </c>
      <c r="L1649" s="78">
        <f>STOCK[[#This Row],[Entradas]]-STOCK[[#This Row],[Salidas]]</f>
        <v>1</v>
      </c>
      <c r="M1649" s="76">
        <f>STOCK[[#This Row],[Precio Final]]*10%</f>
        <v>0.5</v>
      </c>
      <c r="N1649" s="54">
        <v>0</v>
      </c>
      <c r="O1649" s="76">
        <v>0</v>
      </c>
      <c r="P1649" s="53">
        <v>2</v>
      </c>
      <c r="Q1649" s="70">
        <v>0</v>
      </c>
      <c r="R1649" s="53">
        <v>0</v>
      </c>
      <c r="S1649" s="53">
        <v>0</v>
      </c>
      <c r="T1649" s="76">
        <f>STOCK[[#This Row],[Costo Unitario (USD)]]+STOCK[[#This Row],[Costo Envío (USD)]]+STOCK[[#This Row],[Comisión 10%]]</f>
        <v>2.5</v>
      </c>
      <c r="U1649" s="53">
        <f>STOCK[[#This Row],[Costo total]]*1.5</f>
        <v>3.75</v>
      </c>
      <c r="V1649" s="53">
        <v>5</v>
      </c>
      <c r="W1649" s="76">
        <f>STOCK[[#This Row],[Precio Final]]-STOCK[[#This Row],[Costo total]]</f>
        <v>2.5</v>
      </c>
      <c r="X1649" s="76">
        <f>STOCK[[#This Row],[Ganancia Unitaria]]*STOCK[[#This Row],[Salidas]]</f>
        <v>0</v>
      </c>
      <c r="Y1649" s="76"/>
      <c r="Z1649" s="76"/>
      <c r="AA1649" s="54">
        <f>STOCK[[#This Row],[Costo total]]*STOCK[[#This Row],[Entradas]]</f>
        <v>2.5</v>
      </c>
      <c r="AB1649" s="54">
        <f>STOCK[[#This Row],[Stock Actual]]*STOCK[[#This Row],[Costo total]]</f>
        <v>2.5</v>
      </c>
      <c r="AC1649" s="76"/>
      <c r="AD1649" s="82"/>
    </row>
    <row r="1650" s="53" customFormat="1" ht="50" customHeight="1" spans="1:30">
      <c r="A1650" s="53" t="s">
        <v>3274</v>
      </c>
      <c r="C1650" s="53" t="s">
        <v>32</v>
      </c>
      <c r="D1650" s="53" t="s">
        <v>3275</v>
      </c>
      <c r="E1650" s="53" t="s">
        <v>3276</v>
      </c>
      <c r="F1650" s="53" t="s">
        <v>62</v>
      </c>
      <c r="H1650" s="76">
        <f>STOCK[[#This Row],[Precio Final]]</f>
        <v>18</v>
      </c>
      <c r="I1650" s="80">
        <f>STOCK[[#This Row],[Precio Venta Ideal (x1.5)]]</f>
        <v>14.7</v>
      </c>
      <c r="J1650" s="70">
        <v>1</v>
      </c>
      <c r="K1650" s="78">
        <f>SUMIFS(VENTAS[Cantidad],VENTAS[Código del producto Vendido],STOCK[[#This Row],[Code]])</f>
        <v>1</v>
      </c>
      <c r="L1650" s="78">
        <f>STOCK[[#This Row],[Entradas]]-STOCK[[#This Row],[Salidas]]</f>
        <v>0</v>
      </c>
      <c r="M1650" s="76">
        <f>STOCK[[#This Row],[Precio Final]]*10%</f>
        <v>1.8</v>
      </c>
      <c r="N1650" s="54">
        <v>0</v>
      </c>
      <c r="O1650" s="76">
        <v>0</v>
      </c>
      <c r="P1650" s="53">
        <v>8</v>
      </c>
      <c r="Q1650" s="70">
        <v>0</v>
      </c>
      <c r="R1650" s="53">
        <v>0</v>
      </c>
      <c r="S1650" s="53">
        <v>0</v>
      </c>
      <c r="T1650" s="76">
        <f>STOCK[[#This Row],[Costo Unitario (USD)]]+STOCK[[#This Row],[Costo Envío (USD)]]+STOCK[[#This Row],[Comisión 10%]]</f>
        <v>9.8</v>
      </c>
      <c r="U1650" s="53">
        <f>STOCK[[#This Row],[Costo total]]*1.5</f>
        <v>14.7</v>
      </c>
      <c r="V1650" s="53">
        <v>18</v>
      </c>
      <c r="W1650" s="76">
        <f>STOCK[[#This Row],[Precio Final]]-STOCK[[#This Row],[Costo total]]</f>
        <v>8.2</v>
      </c>
      <c r="X1650" s="76">
        <f>STOCK[[#This Row],[Ganancia Unitaria]]*STOCK[[#This Row],[Salidas]]</f>
        <v>8.2</v>
      </c>
      <c r="Y1650" s="76"/>
      <c r="Z1650" s="76"/>
      <c r="AA1650" s="54">
        <f>STOCK[[#This Row],[Costo total]]*STOCK[[#This Row],[Entradas]]</f>
        <v>9.8</v>
      </c>
      <c r="AB1650" s="54">
        <f>STOCK[[#This Row],[Stock Actual]]*STOCK[[#This Row],[Costo total]]</f>
        <v>0</v>
      </c>
      <c r="AC1650" s="76"/>
      <c r="AD1650" s="82"/>
    </row>
    <row r="1651" s="53" customFormat="1" ht="50" customHeight="1" spans="1:30">
      <c r="A1651" s="53" t="s">
        <v>3277</v>
      </c>
      <c r="B1651" s="83"/>
      <c r="C1651" s="53" t="s">
        <v>32</v>
      </c>
      <c r="D1651" s="84" t="s">
        <v>3278</v>
      </c>
      <c r="E1651" s="85" t="s">
        <v>3279</v>
      </c>
      <c r="F1651" s="85" t="s">
        <v>49</v>
      </c>
      <c r="G1651" s="76"/>
      <c r="H1651" s="76">
        <f>STOCK[[#This Row],[Precio Final]]</f>
        <v>19.575</v>
      </c>
      <c r="I1651" s="80">
        <f>STOCK[[#This Row],[Precio Venta Ideal (x1.5)]]</f>
        <v>2.93625</v>
      </c>
      <c r="J1651" s="86">
        <v>1</v>
      </c>
      <c r="K1651" s="78">
        <f>SUMIFS(VENTAS[Cantidad],VENTAS[Código del producto Vendido],STOCK[[#This Row],[Code]])</f>
        <v>0</v>
      </c>
      <c r="L1651" s="78">
        <f>STOCK[[#This Row],[Entradas]]-STOCK[[#This Row],[Salidas]]</f>
        <v>1</v>
      </c>
      <c r="M1651" s="76">
        <f>STOCK[[#This Row],[Precio Final]]*10%</f>
        <v>1.9575</v>
      </c>
      <c r="N1651" s="54">
        <v>0</v>
      </c>
      <c r="O1651" s="76">
        <v>0</v>
      </c>
      <c r="P1651" s="76"/>
      <c r="Q1651" s="76">
        <v>9.5</v>
      </c>
      <c r="R1651" s="78"/>
      <c r="S1651" s="76"/>
      <c r="T1651" s="76">
        <f>STOCK[[#This Row],[Costo Unitario (USD)]]+STOCK[[#This Row],[Costo Envío (USD)]]+STOCK[[#This Row],[Comisión 10%]]</f>
        <v>1.9575</v>
      </c>
      <c r="U1651" s="53">
        <f>STOCK[[#This Row],[Costo total]]*1.5</f>
        <v>2.93625</v>
      </c>
      <c r="V1651" s="53">
        <v>19.575</v>
      </c>
      <c r="W1651" s="76">
        <f>STOCK[[#This Row],[Precio Final]]-STOCK[[#This Row],[Costo total]]</f>
        <v>17.6175</v>
      </c>
      <c r="X1651" s="76">
        <f>STOCK[[#This Row],[Ganancia Unitaria]]*STOCK[[#This Row],[Salidas]]</f>
        <v>0</v>
      </c>
      <c r="Y1651" s="76">
        <v>0</v>
      </c>
      <c r="Z1651" s="87"/>
      <c r="AA1651" s="54">
        <f>STOCK[[#This Row],[Costo total]]*STOCK[[#This Row],[Entradas]]</f>
        <v>1.9575</v>
      </c>
      <c r="AB1651" s="54">
        <f>STOCK[[#This Row],[Stock Actual]]*STOCK[[#This Row],[Costo total]]</f>
        <v>1.9575</v>
      </c>
      <c r="AC1651" s="76">
        <v>13.05</v>
      </c>
      <c r="AD1651" s="76"/>
    </row>
    <row r="1652" s="53" customFormat="1" ht="50" customHeight="1" spans="1:30">
      <c r="A1652" s="53" t="s">
        <v>3280</v>
      </c>
      <c r="B1652" s="83"/>
      <c r="C1652" s="53" t="s">
        <v>32</v>
      </c>
      <c r="D1652" s="84" t="s">
        <v>3278</v>
      </c>
      <c r="E1652" s="85" t="s">
        <v>3279</v>
      </c>
      <c r="F1652" s="85" t="s">
        <v>42</v>
      </c>
      <c r="G1652" s="76"/>
      <c r="H1652" s="76">
        <f>STOCK[[#This Row],[Precio Final]]</f>
        <v>19.575</v>
      </c>
      <c r="I1652" s="80">
        <f>STOCK[[#This Row],[Precio Venta Ideal (x1.5)]]</f>
        <v>2.93625</v>
      </c>
      <c r="J1652" s="86">
        <v>1</v>
      </c>
      <c r="K1652" s="78">
        <f>SUMIFS(VENTAS[Cantidad],VENTAS[Código del producto Vendido],STOCK[[#This Row],[Code]])</f>
        <v>0</v>
      </c>
      <c r="L1652" s="78">
        <f>STOCK[[#This Row],[Entradas]]-STOCK[[#This Row],[Salidas]]</f>
        <v>1</v>
      </c>
      <c r="M1652" s="76">
        <f>STOCK[[#This Row],[Precio Final]]*10%</f>
        <v>1.9575</v>
      </c>
      <c r="N1652" s="54">
        <v>0</v>
      </c>
      <c r="O1652" s="76">
        <v>0</v>
      </c>
      <c r="P1652" s="76"/>
      <c r="Q1652" s="76">
        <v>9.5</v>
      </c>
      <c r="R1652" s="78"/>
      <c r="S1652" s="76"/>
      <c r="T1652" s="76">
        <f>STOCK[[#This Row],[Costo Unitario (USD)]]+STOCK[[#This Row],[Costo Envío (USD)]]+STOCK[[#This Row],[Comisión 10%]]</f>
        <v>1.9575</v>
      </c>
      <c r="U1652" s="53">
        <f>STOCK[[#This Row],[Costo total]]*1.5</f>
        <v>2.93625</v>
      </c>
      <c r="V1652" s="53">
        <v>19.575</v>
      </c>
      <c r="W1652" s="76">
        <f>STOCK[[#This Row],[Precio Final]]-STOCK[[#This Row],[Costo total]]</f>
        <v>17.6175</v>
      </c>
      <c r="X1652" s="76">
        <f>STOCK[[#This Row],[Ganancia Unitaria]]*STOCK[[#This Row],[Salidas]]</f>
        <v>0</v>
      </c>
      <c r="Y1652" s="76">
        <v>0</v>
      </c>
      <c r="Z1652" s="87"/>
      <c r="AA1652" s="54">
        <f>STOCK[[#This Row],[Costo total]]*STOCK[[#This Row],[Entradas]]</f>
        <v>1.9575</v>
      </c>
      <c r="AB1652" s="54">
        <f>STOCK[[#This Row],[Stock Actual]]*STOCK[[#This Row],[Costo total]]</f>
        <v>1.9575</v>
      </c>
      <c r="AC1652" s="76">
        <v>13.05</v>
      </c>
      <c r="AD1652" s="76"/>
    </row>
    <row r="1653" s="53" customFormat="1" ht="50" customHeight="1" spans="1:30">
      <c r="A1653" s="53" t="s">
        <v>3281</v>
      </c>
      <c r="B1653" s="83"/>
      <c r="C1653" s="53" t="s">
        <v>32</v>
      </c>
      <c r="D1653" s="84" t="s">
        <v>3278</v>
      </c>
      <c r="E1653" s="85" t="s">
        <v>3282</v>
      </c>
      <c r="F1653" s="85" t="s">
        <v>525</v>
      </c>
      <c r="G1653" s="76"/>
      <c r="H1653" s="76">
        <f>STOCK[[#This Row],[Precio Final]]</f>
        <v>7.875</v>
      </c>
      <c r="I1653" s="80">
        <f>STOCK[[#This Row],[Precio Venta Ideal (x1.5)]]</f>
        <v>1.18125</v>
      </c>
      <c r="J1653" s="86">
        <v>6</v>
      </c>
      <c r="K1653" s="78">
        <f>SUMIFS(VENTAS[Cantidad],VENTAS[Código del producto Vendido],STOCK[[#This Row],[Code]])</f>
        <v>0</v>
      </c>
      <c r="L1653" s="78">
        <f>STOCK[[#This Row],[Entradas]]-STOCK[[#This Row],[Salidas]]</f>
        <v>6</v>
      </c>
      <c r="M1653" s="76">
        <f>STOCK[[#This Row],[Precio Final]]*10%</f>
        <v>0.7875</v>
      </c>
      <c r="N1653" s="54">
        <v>0</v>
      </c>
      <c r="O1653" s="76">
        <v>0</v>
      </c>
      <c r="P1653" s="76"/>
      <c r="Q1653" s="76">
        <v>3</v>
      </c>
      <c r="R1653" s="78"/>
      <c r="S1653" s="76"/>
      <c r="T1653" s="76">
        <f>STOCK[[#This Row],[Costo Unitario (USD)]]+STOCK[[#This Row],[Costo Envío (USD)]]+STOCK[[#This Row],[Comisión 10%]]</f>
        <v>0.7875</v>
      </c>
      <c r="U1653" s="53">
        <f>STOCK[[#This Row],[Costo total]]*1.5</f>
        <v>1.18125</v>
      </c>
      <c r="V1653" s="53">
        <v>7.875</v>
      </c>
      <c r="W1653" s="76">
        <f>STOCK[[#This Row],[Precio Final]]-STOCK[[#This Row],[Costo total]]</f>
        <v>7.0875</v>
      </c>
      <c r="X1653" s="76">
        <f>STOCK[[#This Row],[Ganancia Unitaria]]*STOCK[[#This Row],[Salidas]]</f>
        <v>0</v>
      </c>
      <c r="Y1653" s="76">
        <v>0</v>
      </c>
      <c r="Z1653" s="87"/>
      <c r="AA1653" s="54">
        <f>STOCK[[#This Row],[Costo total]]*STOCK[[#This Row],[Entradas]]</f>
        <v>4.725</v>
      </c>
      <c r="AB1653" s="54">
        <f>STOCK[[#This Row],[Stock Actual]]*STOCK[[#This Row],[Costo total]]</f>
        <v>4.725</v>
      </c>
      <c r="AC1653" s="76">
        <v>31.5</v>
      </c>
      <c r="AD1653" s="76"/>
    </row>
    <row r="1654" s="53" customFormat="1" ht="50" customHeight="1" spans="1:30">
      <c r="A1654" s="53" t="s">
        <v>3283</v>
      </c>
      <c r="B1654" s="83"/>
      <c r="C1654" s="53" t="s">
        <v>32</v>
      </c>
      <c r="D1654" s="84" t="s">
        <v>3278</v>
      </c>
      <c r="E1654" s="85" t="s">
        <v>3284</v>
      </c>
      <c r="F1654" s="85" t="s">
        <v>62</v>
      </c>
      <c r="G1654" s="76"/>
      <c r="H1654" s="76">
        <f>STOCK[[#This Row],[Precio Final]]</f>
        <v>21.075</v>
      </c>
      <c r="I1654" s="80">
        <f>STOCK[[#This Row],[Precio Venta Ideal (x1.5)]]</f>
        <v>3.16125</v>
      </c>
      <c r="J1654" s="86">
        <v>3</v>
      </c>
      <c r="K1654" s="78">
        <f>SUMIFS(VENTAS[Cantidad],VENTAS[Código del producto Vendido],STOCK[[#This Row],[Code]])</f>
        <v>0</v>
      </c>
      <c r="L1654" s="78">
        <f>STOCK[[#This Row],[Entradas]]-STOCK[[#This Row],[Salidas]]</f>
        <v>3</v>
      </c>
      <c r="M1654" s="76">
        <f>STOCK[[#This Row],[Precio Final]]*10%</f>
        <v>2.1075</v>
      </c>
      <c r="N1654" s="54">
        <v>0</v>
      </c>
      <c r="O1654" s="76">
        <v>0</v>
      </c>
      <c r="P1654" s="76"/>
      <c r="Q1654" s="76">
        <v>11</v>
      </c>
      <c r="R1654" s="78"/>
      <c r="S1654" s="76"/>
      <c r="T1654" s="76">
        <f>STOCK[[#This Row],[Costo Unitario (USD)]]+STOCK[[#This Row],[Costo Envío (USD)]]+STOCK[[#This Row],[Comisión 10%]]</f>
        <v>2.1075</v>
      </c>
      <c r="U1654" s="53">
        <f>STOCK[[#This Row],[Costo total]]*1.5</f>
        <v>3.16125</v>
      </c>
      <c r="V1654" s="53">
        <v>21.075</v>
      </c>
      <c r="W1654" s="76">
        <f>STOCK[[#This Row],[Precio Final]]-STOCK[[#This Row],[Costo total]]</f>
        <v>18.9675</v>
      </c>
      <c r="X1654" s="76">
        <f>STOCK[[#This Row],[Ganancia Unitaria]]*STOCK[[#This Row],[Salidas]]</f>
        <v>0</v>
      </c>
      <c r="Y1654" s="76">
        <v>0</v>
      </c>
      <c r="Z1654" s="87"/>
      <c r="AA1654" s="54">
        <f>STOCK[[#This Row],[Costo total]]*STOCK[[#This Row],[Entradas]]</f>
        <v>6.3225</v>
      </c>
      <c r="AB1654" s="54">
        <f>STOCK[[#This Row],[Stock Actual]]*STOCK[[#This Row],[Costo total]]</f>
        <v>6.3225</v>
      </c>
      <c r="AC1654" s="76">
        <v>42.15</v>
      </c>
      <c r="AD1654" s="76"/>
    </row>
    <row r="1655" s="53" customFormat="1" ht="50" customHeight="1" spans="1:30">
      <c r="A1655" s="53" t="s">
        <v>3285</v>
      </c>
      <c r="B1655" s="83"/>
      <c r="C1655" s="53" t="s">
        <v>32</v>
      </c>
      <c r="D1655" s="84" t="s">
        <v>3278</v>
      </c>
      <c r="E1655" s="85" t="s">
        <v>3284</v>
      </c>
      <c r="F1655" s="85" t="s">
        <v>46</v>
      </c>
      <c r="G1655" s="76"/>
      <c r="H1655" s="76">
        <f>STOCK[[#This Row],[Precio Final]]</f>
        <v>21.075</v>
      </c>
      <c r="I1655" s="80">
        <f>STOCK[[#This Row],[Precio Venta Ideal (x1.5)]]</f>
        <v>3.16125</v>
      </c>
      <c r="J1655" s="86">
        <v>3</v>
      </c>
      <c r="K1655" s="78">
        <f>SUMIFS(VENTAS[Cantidad],VENTAS[Código del producto Vendido],STOCK[[#This Row],[Code]])</f>
        <v>0</v>
      </c>
      <c r="L1655" s="78">
        <f>STOCK[[#This Row],[Entradas]]-STOCK[[#This Row],[Salidas]]</f>
        <v>3</v>
      </c>
      <c r="M1655" s="76">
        <f>STOCK[[#This Row],[Precio Final]]*10%</f>
        <v>2.1075</v>
      </c>
      <c r="N1655" s="54">
        <v>0</v>
      </c>
      <c r="O1655" s="76">
        <v>0</v>
      </c>
      <c r="P1655" s="76"/>
      <c r="Q1655" s="76">
        <v>11</v>
      </c>
      <c r="R1655" s="78"/>
      <c r="S1655" s="76"/>
      <c r="T1655" s="76">
        <f>STOCK[[#This Row],[Costo Unitario (USD)]]+STOCK[[#This Row],[Costo Envío (USD)]]+STOCK[[#This Row],[Comisión 10%]]</f>
        <v>2.1075</v>
      </c>
      <c r="U1655" s="53">
        <f>STOCK[[#This Row],[Costo total]]*1.5</f>
        <v>3.16125</v>
      </c>
      <c r="V1655" s="53">
        <v>21.075</v>
      </c>
      <c r="W1655" s="76">
        <f>STOCK[[#This Row],[Precio Final]]-STOCK[[#This Row],[Costo total]]</f>
        <v>18.9675</v>
      </c>
      <c r="X1655" s="76">
        <f>STOCK[[#This Row],[Ganancia Unitaria]]*STOCK[[#This Row],[Salidas]]</f>
        <v>0</v>
      </c>
      <c r="Y1655" s="76">
        <v>0</v>
      </c>
      <c r="Z1655" s="87"/>
      <c r="AA1655" s="54">
        <f>STOCK[[#This Row],[Costo total]]*STOCK[[#This Row],[Entradas]]</f>
        <v>6.3225</v>
      </c>
      <c r="AB1655" s="54">
        <f>STOCK[[#This Row],[Stock Actual]]*STOCK[[#This Row],[Costo total]]</f>
        <v>6.3225</v>
      </c>
      <c r="AC1655" s="76">
        <v>42.15</v>
      </c>
      <c r="AD1655" s="76"/>
    </row>
    <row r="1656" s="53" customFormat="1" ht="50" customHeight="1" spans="1:30">
      <c r="A1656" s="53" t="s">
        <v>3286</v>
      </c>
      <c r="B1656" s="83"/>
      <c r="C1656" s="53" t="s">
        <v>32</v>
      </c>
      <c r="D1656" s="84" t="s">
        <v>3278</v>
      </c>
      <c r="E1656" s="85" t="s">
        <v>3287</v>
      </c>
      <c r="F1656" s="85" t="s">
        <v>49</v>
      </c>
      <c r="G1656" s="76"/>
      <c r="H1656" s="76">
        <f>STOCK[[#This Row],[Precio Final]]</f>
        <v>18.075</v>
      </c>
      <c r="I1656" s="80">
        <f>STOCK[[#This Row],[Precio Venta Ideal (x1.5)]]</f>
        <v>2.71125</v>
      </c>
      <c r="J1656" s="86">
        <v>1</v>
      </c>
      <c r="K1656" s="78">
        <f>SUMIFS(VENTAS[Cantidad],VENTAS[Código del producto Vendido],STOCK[[#This Row],[Code]])</f>
        <v>0</v>
      </c>
      <c r="L1656" s="78">
        <f>STOCK[[#This Row],[Entradas]]-STOCK[[#This Row],[Salidas]]</f>
        <v>1</v>
      </c>
      <c r="M1656" s="76">
        <f>STOCK[[#This Row],[Precio Final]]*10%</f>
        <v>1.8075</v>
      </c>
      <c r="N1656" s="54">
        <v>0</v>
      </c>
      <c r="O1656" s="76">
        <v>0</v>
      </c>
      <c r="P1656" s="76"/>
      <c r="Q1656" s="76">
        <v>9</v>
      </c>
      <c r="R1656" s="78"/>
      <c r="S1656" s="76"/>
      <c r="T1656" s="76">
        <f>STOCK[[#This Row],[Costo Unitario (USD)]]+STOCK[[#This Row],[Costo Envío (USD)]]+STOCK[[#This Row],[Comisión 10%]]</f>
        <v>1.8075</v>
      </c>
      <c r="U1656" s="53">
        <f>STOCK[[#This Row],[Costo total]]*1.5</f>
        <v>2.71125</v>
      </c>
      <c r="V1656" s="53">
        <v>18.075</v>
      </c>
      <c r="W1656" s="76">
        <f>STOCK[[#This Row],[Precio Final]]-STOCK[[#This Row],[Costo total]]</f>
        <v>16.2675</v>
      </c>
      <c r="X1656" s="76">
        <f>STOCK[[#This Row],[Ganancia Unitaria]]*STOCK[[#This Row],[Salidas]]</f>
        <v>0</v>
      </c>
      <c r="Y1656" s="76">
        <v>0</v>
      </c>
      <c r="Z1656" s="87"/>
      <c r="AA1656" s="54">
        <f>STOCK[[#This Row],[Costo total]]*STOCK[[#This Row],[Entradas]]</f>
        <v>1.8075</v>
      </c>
      <c r="AB1656" s="54">
        <f>STOCK[[#This Row],[Stock Actual]]*STOCK[[#This Row],[Costo total]]</f>
        <v>1.8075</v>
      </c>
      <c r="AC1656" s="76">
        <v>12.05</v>
      </c>
      <c r="AD1656" s="76"/>
    </row>
    <row r="1657" s="53" customFormat="1" ht="50" customHeight="1" spans="1:30">
      <c r="A1657" s="53" t="s">
        <v>3288</v>
      </c>
      <c r="B1657" s="83"/>
      <c r="C1657" s="53" t="s">
        <v>32</v>
      </c>
      <c r="D1657" s="84" t="s">
        <v>3278</v>
      </c>
      <c r="E1657" s="85" t="s">
        <v>3287</v>
      </c>
      <c r="F1657" s="85" t="s">
        <v>40</v>
      </c>
      <c r="G1657" s="76"/>
      <c r="H1657" s="76">
        <f>STOCK[[#This Row],[Precio Final]]</f>
        <v>18.825</v>
      </c>
      <c r="I1657" s="80">
        <f>STOCK[[#This Row],[Precio Venta Ideal (x1.5)]]</f>
        <v>2.82375</v>
      </c>
      <c r="J1657" s="86">
        <v>2</v>
      </c>
      <c r="K1657" s="78">
        <f>SUMIFS(VENTAS[Cantidad],VENTAS[Código del producto Vendido],STOCK[[#This Row],[Code]])</f>
        <v>1</v>
      </c>
      <c r="L1657" s="78">
        <f>STOCK[[#This Row],[Entradas]]-STOCK[[#This Row],[Salidas]]</f>
        <v>1</v>
      </c>
      <c r="M1657" s="76">
        <f>STOCK[[#This Row],[Precio Final]]*10%</f>
        <v>1.8825</v>
      </c>
      <c r="N1657" s="54">
        <v>0</v>
      </c>
      <c r="O1657" s="76">
        <v>0</v>
      </c>
      <c r="P1657" s="76"/>
      <c r="Q1657" s="76">
        <v>9</v>
      </c>
      <c r="R1657" s="78"/>
      <c r="S1657" s="76"/>
      <c r="T1657" s="76">
        <f>STOCK[[#This Row],[Costo Unitario (USD)]]+STOCK[[#This Row],[Costo Envío (USD)]]+STOCK[[#This Row],[Comisión 10%]]</f>
        <v>1.8825</v>
      </c>
      <c r="U1657" s="53">
        <f>STOCK[[#This Row],[Costo total]]*1.5</f>
        <v>2.82375</v>
      </c>
      <c r="V1657" s="53">
        <v>18.825</v>
      </c>
      <c r="W1657" s="76">
        <f>STOCK[[#This Row],[Precio Final]]-STOCK[[#This Row],[Costo total]]</f>
        <v>16.9425</v>
      </c>
      <c r="X1657" s="76">
        <f>STOCK[[#This Row],[Ganancia Unitaria]]*STOCK[[#This Row],[Salidas]]</f>
        <v>16.9425</v>
      </c>
      <c r="Y1657" s="76">
        <v>0</v>
      </c>
      <c r="Z1657" s="87"/>
      <c r="AA1657" s="54">
        <f>STOCK[[#This Row],[Costo total]]*STOCK[[#This Row],[Entradas]]</f>
        <v>3.765</v>
      </c>
      <c r="AB1657" s="54">
        <f>STOCK[[#This Row],[Stock Actual]]*STOCK[[#This Row],[Costo total]]</f>
        <v>1.8825</v>
      </c>
      <c r="AC1657" s="76">
        <v>25.1</v>
      </c>
      <c r="AD1657" s="76"/>
    </row>
    <row r="1658" s="53" customFormat="1" ht="50" customHeight="1" spans="1:30">
      <c r="A1658" s="53" t="s">
        <v>3289</v>
      </c>
      <c r="B1658" s="83"/>
      <c r="C1658" s="53" t="s">
        <v>32</v>
      </c>
      <c r="D1658" s="84" t="s">
        <v>3278</v>
      </c>
      <c r="E1658" s="85" t="s">
        <v>3287</v>
      </c>
      <c r="F1658" s="85" t="s">
        <v>46</v>
      </c>
      <c r="G1658" s="76"/>
      <c r="H1658" s="76">
        <f>STOCK[[#This Row],[Precio Final]]</f>
        <v>18.825</v>
      </c>
      <c r="I1658" s="80">
        <f>STOCK[[#This Row],[Precio Venta Ideal (x1.5)]]</f>
        <v>2.82375</v>
      </c>
      <c r="J1658" s="86">
        <v>2</v>
      </c>
      <c r="K1658" s="78">
        <f>SUMIFS(VENTAS[Cantidad],VENTAS[Código del producto Vendido],STOCK[[#This Row],[Code]])</f>
        <v>0</v>
      </c>
      <c r="L1658" s="78">
        <f>STOCK[[#This Row],[Entradas]]-STOCK[[#This Row],[Salidas]]</f>
        <v>2</v>
      </c>
      <c r="M1658" s="76">
        <f>STOCK[[#This Row],[Precio Final]]*10%</f>
        <v>1.8825</v>
      </c>
      <c r="N1658" s="54">
        <v>0</v>
      </c>
      <c r="O1658" s="76">
        <v>0</v>
      </c>
      <c r="P1658" s="76"/>
      <c r="Q1658" s="76">
        <v>9</v>
      </c>
      <c r="R1658" s="78"/>
      <c r="S1658" s="76"/>
      <c r="T1658" s="76">
        <f>STOCK[[#This Row],[Costo Unitario (USD)]]+STOCK[[#This Row],[Costo Envío (USD)]]+STOCK[[#This Row],[Comisión 10%]]</f>
        <v>1.8825</v>
      </c>
      <c r="U1658" s="53">
        <f>STOCK[[#This Row],[Costo total]]*1.5</f>
        <v>2.82375</v>
      </c>
      <c r="V1658" s="53">
        <v>18.825</v>
      </c>
      <c r="W1658" s="76">
        <f>STOCK[[#This Row],[Precio Final]]-STOCK[[#This Row],[Costo total]]</f>
        <v>16.9425</v>
      </c>
      <c r="X1658" s="76">
        <f>STOCK[[#This Row],[Ganancia Unitaria]]*STOCK[[#This Row],[Salidas]]</f>
        <v>0</v>
      </c>
      <c r="Y1658" s="76">
        <v>0</v>
      </c>
      <c r="Z1658" s="87"/>
      <c r="AA1658" s="54">
        <f>STOCK[[#This Row],[Costo total]]*STOCK[[#This Row],[Entradas]]</f>
        <v>3.765</v>
      </c>
      <c r="AB1658" s="54">
        <f>STOCK[[#This Row],[Stock Actual]]*STOCK[[#This Row],[Costo total]]</f>
        <v>3.765</v>
      </c>
      <c r="AC1658" s="76">
        <v>25.1</v>
      </c>
      <c r="AD1658" s="76"/>
    </row>
    <row r="1659" s="53" customFormat="1" ht="50" customHeight="1" spans="1:30">
      <c r="A1659" s="53" t="s">
        <v>3290</v>
      </c>
      <c r="B1659" s="83"/>
      <c r="C1659" s="53" t="s">
        <v>32</v>
      </c>
      <c r="D1659" s="84" t="s">
        <v>3278</v>
      </c>
      <c r="E1659" s="85" t="s">
        <v>3291</v>
      </c>
      <c r="F1659" s="85" t="s">
        <v>525</v>
      </c>
      <c r="G1659" s="76"/>
      <c r="H1659" s="76">
        <f>STOCK[[#This Row],[Precio Final]]</f>
        <v>12.075</v>
      </c>
      <c r="I1659" s="80">
        <f>STOCK[[#This Row],[Precio Venta Ideal (x1.5)]]</f>
        <v>1.81125</v>
      </c>
      <c r="J1659" s="86">
        <v>7</v>
      </c>
      <c r="K1659" s="78">
        <f>SUMIFS(VENTAS[Cantidad],VENTAS[Código del producto Vendido],STOCK[[#This Row],[Code]])</f>
        <v>3</v>
      </c>
      <c r="L1659" s="78">
        <f>STOCK[[#This Row],[Entradas]]-STOCK[[#This Row],[Salidas]]</f>
        <v>4</v>
      </c>
      <c r="M1659" s="76">
        <f>STOCK[[#This Row],[Precio Final]]*10%</f>
        <v>1.2075</v>
      </c>
      <c r="N1659" s="54">
        <v>0</v>
      </c>
      <c r="O1659" s="76">
        <v>0</v>
      </c>
      <c r="P1659" s="76"/>
      <c r="Q1659" s="76">
        <v>4.5</v>
      </c>
      <c r="R1659" s="78"/>
      <c r="S1659" s="76"/>
      <c r="T1659" s="76">
        <f>STOCK[[#This Row],[Costo Unitario (USD)]]+STOCK[[#This Row],[Costo Envío (USD)]]+STOCK[[#This Row],[Comisión 10%]]</f>
        <v>1.2075</v>
      </c>
      <c r="U1659" s="53">
        <f>STOCK[[#This Row],[Costo total]]*1.5</f>
        <v>1.81125</v>
      </c>
      <c r="V1659" s="53">
        <v>12.075</v>
      </c>
      <c r="W1659" s="76">
        <f>STOCK[[#This Row],[Precio Final]]-STOCK[[#This Row],[Costo total]]</f>
        <v>10.8675</v>
      </c>
      <c r="X1659" s="76">
        <f>STOCK[[#This Row],[Ganancia Unitaria]]*STOCK[[#This Row],[Salidas]]</f>
        <v>32.6025</v>
      </c>
      <c r="Y1659" s="76">
        <v>0</v>
      </c>
      <c r="Z1659" s="87"/>
      <c r="AA1659" s="54">
        <f>STOCK[[#This Row],[Costo total]]*STOCK[[#This Row],[Entradas]]</f>
        <v>8.4525</v>
      </c>
      <c r="AB1659" s="54">
        <f>STOCK[[#This Row],[Stock Actual]]*STOCK[[#This Row],[Costo total]]</f>
        <v>4.83</v>
      </c>
      <c r="AC1659" s="76">
        <v>56.35</v>
      </c>
      <c r="AD1659" s="76"/>
    </row>
    <row r="1660" s="53" customFormat="1" ht="50" customHeight="1" spans="1:30">
      <c r="A1660" s="53" t="s">
        <v>3292</v>
      </c>
      <c r="B1660" s="83"/>
      <c r="C1660" s="53" t="s">
        <v>32</v>
      </c>
      <c r="D1660" s="84" t="s">
        <v>3278</v>
      </c>
      <c r="E1660" s="85" t="s">
        <v>3293</v>
      </c>
      <c r="F1660" s="85" t="s">
        <v>525</v>
      </c>
      <c r="G1660" s="76"/>
      <c r="H1660" s="76">
        <f>STOCK[[#This Row],[Precio Final]]</f>
        <v>5.295</v>
      </c>
      <c r="I1660" s="80">
        <f>STOCK[[#This Row],[Precio Venta Ideal (x1.5)]]</f>
        <v>0.79425</v>
      </c>
      <c r="J1660" s="86">
        <v>2</v>
      </c>
      <c r="K1660" s="78">
        <f>SUMIFS(VENTAS[Cantidad],VENTAS[Código del producto Vendido],STOCK[[#This Row],[Code]])</f>
        <v>2</v>
      </c>
      <c r="L1660" s="78">
        <f>STOCK[[#This Row],[Entradas]]-STOCK[[#This Row],[Salidas]]</f>
        <v>0</v>
      </c>
      <c r="M1660" s="76">
        <f>STOCK[[#This Row],[Precio Final]]*10%</f>
        <v>0.5295</v>
      </c>
      <c r="N1660" s="54">
        <v>0</v>
      </c>
      <c r="O1660" s="76">
        <v>0</v>
      </c>
      <c r="P1660" s="76"/>
      <c r="Q1660" s="76">
        <v>1.68</v>
      </c>
      <c r="R1660" s="78"/>
      <c r="S1660" s="76"/>
      <c r="T1660" s="76">
        <f>STOCK[[#This Row],[Costo Unitario (USD)]]+STOCK[[#This Row],[Costo Envío (USD)]]+STOCK[[#This Row],[Comisión 10%]]</f>
        <v>0.5295</v>
      </c>
      <c r="U1660" s="53">
        <f>STOCK[[#This Row],[Costo total]]*1.5</f>
        <v>0.79425</v>
      </c>
      <c r="V1660" s="53">
        <v>5.295</v>
      </c>
      <c r="W1660" s="76">
        <f>STOCK[[#This Row],[Precio Final]]-STOCK[[#This Row],[Costo total]]</f>
        <v>4.7655</v>
      </c>
      <c r="X1660" s="76">
        <f>STOCK[[#This Row],[Ganancia Unitaria]]*STOCK[[#This Row],[Salidas]]</f>
        <v>9.531</v>
      </c>
      <c r="Y1660" s="76">
        <v>0</v>
      </c>
      <c r="Z1660" s="87"/>
      <c r="AA1660" s="54">
        <f>STOCK[[#This Row],[Costo total]]*STOCK[[#This Row],[Entradas]]</f>
        <v>1.059</v>
      </c>
      <c r="AB1660" s="54">
        <f>STOCK[[#This Row],[Stock Actual]]*STOCK[[#This Row],[Costo total]]</f>
        <v>0</v>
      </c>
      <c r="AC1660" s="76">
        <v>7.06</v>
      </c>
      <c r="AD1660" s="76"/>
    </row>
    <row r="1661" s="53" customFormat="1" ht="50" customHeight="1" spans="1:30">
      <c r="A1661" s="53" t="s">
        <v>3294</v>
      </c>
      <c r="B1661" s="83"/>
      <c r="C1661" s="53" t="s">
        <v>32</v>
      </c>
      <c r="D1661" s="84" t="s">
        <v>3278</v>
      </c>
      <c r="E1661" s="85" t="s">
        <v>3295</v>
      </c>
      <c r="F1661" s="85" t="s">
        <v>62</v>
      </c>
      <c r="G1661" s="76"/>
      <c r="H1661" s="76">
        <f>STOCK[[#This Row],[Precio Final]]</f>
        <v>17.7</v>
      </c>
      <c r="I1661" s="80">
        <f>STOCK[[#This Row],[Precio Venta Ideal (x1.5)]]</f>
        <v>2.655</v>
      </c>
      <c r="J1661" s="86">
        <v>2</v>
      </c>
      <c r="K1661" s="78">
        <f>SUMIFS(VENTAS[Cantidad],VENTAS[Código del producto Vendido],STOCK[[#This Row],[Code]])</f>
        <v>2</v>
      </c>
      <c r="L1661" s="78">
        <f>STOCK[[#This Row],[Entradas]]-STOCK[[#This Row],[Salidas]]</f>
        <v>0</v>
      </c>
      <c r="M1661" s="76">
        <f>STOCK[[#This Row],[Precio Final]]*10%</f>
        <v>1.77</v>
      </c>
      <c r="N1661" s="54">
        <v>0</v>
      </c>
      <c r="O1661" s="76">
        <v>0</v>
      </c>
      <c r="P1661" s="76"/>
      <c r="Q1661" s="76">
        <v>8.55</v>
      </c>
      <c r="R1661" s="78"/>
      <c r="S1661" s="76"/>
      <c r="T1661" s="76">
        <f>STOCK[[#This Row],[Costo Unitario (USD)]]+STOCK[[#This Row],[Costo Envío (USD)]]+STOCK[[#This Row],[Comisión 10%]]</f>
        <v>1.77</v>
      </c>
      <c r="U1661" s="53">
        <f>STOCK[[#This Row],[Costo total]]*1.5</f>
        <v>2.655</v>
      </c>
      <c r="V1661" s="53">
        <v>17.7</v>
      </c>
      <c r="W1661" s="76">
        <f>STOCK[[#This Row],[Precio Final]]-STOCK[[#This Row],[Costo total]]</f>
        <v>15.93</v>
      </c>
      <c r="X1661" s="76">
        <f>STOCK[[#This Row],[Ganancia Unitaria]]*STOCK[[#This Row],[Salidas]]</f>
        <v>31.86</v>
      </c>
      <c r="Y1661" s="76">
        <v>10.2</v>
      </c>
      <c r="Z1661" s="87"/>
      <c r="AA1661" s="54">
        <f>STOCK[[#This Row],[Costo total]]*STOCK[[#This Row],[Entradas]]</f>
        <v>3.54</v>
      </c>
      <c r="AB1661" s="54">
        <f>STOCK[[#This Row],[Stock Actual]]*STOCK[[#This Row],[Costo total]]</f>
        <v>0</v>
      </c>
      <c r="AC1661" s="76">
        <v>11.8</v>
      </c>
      <c r="AD1661" s="76"/>
    </row>
    <row r="1662" s="53" customFormat="1" ht="50" customHeight="1" spans="1:30">
      <c r="A1662" s="53" t="s">
        <v>3296</v>
      </c>
      <c r="B1662" s="83"/>
      <c r="C1662" s="53" t="s">
        <v>32</v>
      </c>
      <c r="D1662" s="84" t="s">
        <v>3278</v>
      </c>
      <c r="E1662" s="85" t="s">
        <v>3297</v>
      </c>
      <c r="F1662" s="85" t="s">
        <v>525</v>
      </c>
      <c r="G1662" s="76"/>
      <c r="H1662" s="76">
        <f>STOCK[[#This Row],[Precio Final]]</f>
        <v>4.83</v>
      </c>
      <c r="I1662" s="80">
        <f>STOCK[[#This Row],[Precio Venta Ideal (x1.5)]]</f>
        <v>0.7245</v>
      </c>
      <c r="J1662" s="86">
        <v>5</v>
      </c>
      <c r="K1662" s="78">
        <f>SUMIFS(VENTAS[Cantidad],VENTAS[Código del producto Vendido],STOCK[[#This Row],[Code]])</f>
        <v>5</v>
      </c>
      <c r="L1662" s="78">
        <f>STOCK[[#This Row],[Entradas]]-STOCK[[#This Row],[Salidas]]</f>
        <v>0</v>
      </c>
      <c r="M1662" s="76">
        <f>STOCK[[#This Row],[Precio Final]]*10%</f>
        <v>0.483</v>
      </c>
      <c r="N1662" s="54">
        <v>0</v>
      </c>
      <c r="O1662" s="76">
        <v>0</v>
      </c>
      <c r="P1662" s="76"/>
      <c r="Q1662" s="76">
        <v>1.67</v>
      </c>
      <c r="R1662" s="78"/>
      <c r="S1662" s="76"/>
      <c r="T1662" s="76">
        <f>STOCK[[#This Row],[Costo Unitario (USD)]]+STOCK[[#This Row],[Costo Envío (USD)]]+STOCK[[#This Row],[Comisión 10%]]</f>
        <v>0.483</v>
      </c>
      <c r="U1662" s="53">
        <f>STOCK[[#This Row],[Costo total]]*1.5</f>
        <v>0.7245</v>
      </c>
      <c r="V1662" s="53">
        <v>4.83</v>
      </c>
      <c r="W1662" s="76">
        <f>STOCK[[#This Row],[Precio Final]]-STOCK[[#This Row],[Costo total]]</f>
        <v>4.347</v>
      </c>
      <c r="X1662" s="76">
        <f>STOCK[[#This Row],[Ganancia Unitaria]]*STOCK[[#This Row],[Salidas]]</f>
        <v>21.735</v>
      </c>
      <c r="Y1662" s="76">
        <v>0</v>
      </c>
      <c r="Z1662" s="87"/>
      <c r="AA1662" s="54">
        <f>STOCK[[#This Row],[Costo total]]*STOCK[[#This Row],[Entradas]]</f>
        <v>2.415</v>
      </c>
      <c r="AB1662" s="54">
        <f>STOCK[[#This Row],[Stock Actual]]*STOCK[[#This Row],[Costo total]]</f>
        <v>0</v>
      </c>
      <c r="AC1662" s="76">
        <v>16.1</v>
      </c>
      <c r="AD1662" s="76"/>
    </row>
    <row r="1663" s="53" customFormat="1" ht="50" customHeight="1" spans="1:30">
      <c r="A1663" s="53" t="s">
        <v>3298</v>
      </c>
      <c r="B1663" s="83"/>
      <c r="C1663" s="53" t="s">
        <v>32</v>
      </c>
      <c r="D1663" s="84" t="s">
        <v>3278</v>
      </c>
      <c r="E1663" s="85" t="s">
        <v>3299</v>
      </c>
      <c r="F1663" s="85" t="s">
        <v>525</v>
      </c>
      <c r="G1663" s="76"/>
      <c r="H1663" s="76">
        <f>STOCK[[#This Row],[Precio Final]]</f>
        <v>2.97</v>
      </c>
      <c r="I1663" s="80">
        <f>STOCK[[#This Row],[Precio Venta Ideal (x1.5)]]</f>
        <v>0.4455</v>
      </c>
      <c r="J1663" s="86">
        <v>8</v>
      </c>
      <c r="K1663" s="78">
        <f>SUMIFS(VENTAS[Cantidad],VENTAS[Código del producto Vendido],STOCK[[#This Row],[Code]])</f>
        <v>5</v>
      </c>
      <c r="L1663" s="78">
        <f>STOCK[[#This Row],[Entradas]]-STOCK[[#This Row],[Salidas]]</f>
        <v>3</v>
      </c>
      <c r="M1663" s="76">
        <f>STOCK[[#This Row],[Precio Final]]*10%</f>
        <v>0.297</v>
      </c>
      <c r="N1663" s="54">
        <v>0</v>
      </c>
      <c r="O1663" s="76">
        <v>0</v>
      </c>
      <c r="P1663" s="76"/>
      <c r="Q1663" s="76">
        <v>0.63</v>
      </c>
      <c r="R1663" s="78"/>
      <c r="S1663" s="76"/>
      <c r="T1663" s="76">
        <f>STOCK[[#This Row],[Costo Unitario (USD)]]+STOCK[[#This Row],[Costo Envío (USD)]]+STOCK[[#This Row],[Comisión 10%]]</f>
        <v>0.297</v>
      </c>
      <c r="U1663" s="53">
        <f>STOCK[[#This Row],[Costo total]]*1.5</f>
        <v>0.4455</v>
      </c>
      <c r="V1663" s="53">
        <v>2.97</v>
      </c>
      <c r="W1663" s="76">
        <f>STOCK[[#This Row],[Precio Final]]-STOCK[[#This Row],[Costo total]]</f>
        <v>2.673</v>
      </c>
      <c r="X1663" s="76">
        <f>STOCK[[#This Row],[Ganancia Unitaria]]*STOCK[[#This Row],[Salidas]]</f>
        <v>13.365</v>
      </c>
      <c r="Y1663" s="76">
        <v>0</v>
      </c>
      <c r="Z1663" s="87"/>
      <c r="AA1663" s="54">
        <f>STOCK[[#This Row],[Costo total]]*STOCK[[#This Row],[Entradas]]</f>
        <v>2.376</v>
      </c>
      <c r="AB1663" s="54">
        <f>STOCK[[#This Row],[Stock Actual]]*STOCK[[#This Row],[Costo total]]</f>
        <v>0.891</v>
      </c>
      <c r="AC1663" s="76">
        <v>15.84</v>
      </c>
      <c r="AD1663" s="76"/>
    </row>
    <row r="1664" s="53" customFormat="1" ht="50" customHeight="1" spans="1:30">
      <c r="A1664" s="53" t="s">
        <v>3300</v>
      </c>
      <c r="B1664" s="83"/>
      <c r="C1664" s="53" t="s">
        <v>32</v>
      </c>
      <c r="D1664" s="84" t="s">
        <v>3278</v>
      </c>
      <c r="E1664" s="85" t="s">
        <v>3301</v>
      </c>
      <c r="F1664" s="85" t="s">
        <v>49</v>
      </c>
      <c r="G1664" s="76"/>
      <c r="H1664" s="76">
        <f>STOCK[[#This Row],[Precio Final]]</f>
        <v>18.15</v>
      </c>
      <c r="I1664" s="80">
        <f>STOCK[[#This Row],[Precio Venta Ideal (x1.5)]]</f>
        <v>2.7225</v>
      </c>
      <c r="J1664" s="86">
        <v>3</v>
      </c>
      <c r="K1664" s="78">
        <f>SUMIFS(VENTAS[Cantidad],VENTAS[Código del producto Vendido],STOCK[[#This Row],[Code]])</f>
        <v>3</v>
      </c>
      <c r="L1664" s="78">
        <f>STOCK[[#This Row],[Entradas]]-STOCK[[#This Row],[Salidas]]</f>
        <v>0</v>
      </c>
      <c r="M1664" s="76">
        <f>STOCK[[#This Row],[Precio Final]]*10%</f>
        <v>1.815</v>
      </c>
      <c r="N1664" s="54">
        <v>0</v>
      </c>
      <c r="O1664" s="76">
        <v>0</v>
      </c>
      <c r="P1664" s="76"/>
      <c r="Q1664" s="76">
        <v>8.55</v>
      </c>
      <c r="R1664" s="78"/>
      <c r="S1664" s="76"/>
      <c r="T1664" s="76">
        <f>STOCK[[#This Row],[Costo Unitario (USD)]]+STOCK[[#This Row],[Costo Envío (USD)]]+STOCK[[#This Row],[Comisión 10%]]</f>
        <v>1.815</v>
      </c>
      <c r="U1664" s="53">
        <f>STOCK[[#This Row],[Costo total]]*1.5</f>
        <v>2.7225</v>
      </c>
      <c r="V1664" s="53">
        <v>18.15</v>
      </c>
      <c r="W1664" s="76">
        <f>STOCK[[#This Row],[Precio Final]]-STOCK[[#This Row],[Costo total]]</f>
        <v>16.335</v>
      </c>
      <c r="X1664" s="76">
        <f>STOCK[[#This Row],[Ganancia Unitaria]]*STOCK[[#This Row],[Salidas]]</f>
        <v>49.005</v>
      </c>
      <c r="Y1664" s="76">
        <v>0</v>
      </c>
      <c r="Z1664" s="87"/>
      <c r="AA1664" s="54">
        <f>STOCK[[#This Row],[Costo total]]*STOCK[[#This Row],[Entradas]]</f>
        <v>5.445</v>
      </c>
      <c r="AB1664" s="54">
        <f>STOCK[[#This Row],[Stock Actual]]*STOCK[[#This Row],[Costo total]]</f>
        <v>0</v>
      </c>
      <c r="AC1664" s="76">
        <v>36.3</v>
      </c>
      <c r="AD1664" s="76"/>
    </row>
    <row r="1665" s="53" customFormat="1" ht="50" customHeight="1" spans="1:30">
      <c r="A1665" s="53" t="s">
        <v>3302</v>
      </c>
      <c r="B1665" s="83"/>
      <c r="C1665" s="53" t="s">
        <v>32</v>
      </c>
      <c r="D1665" s="84" t="s">
        <v>3278</v>
      </c>
      <c r="E1665" s="85" t="s">
        <v>3303</v>
      </c>
      <c r="F1665" s="85" t="s">
        <v>525</v>
      </c>
      <c r="G1665" s="76"/>
      <c r="H1665" s="76">
        <f>STOCK[[#This Row],[Precio Final]]</f>
        <v>7.215</v>
      </c>
      <c r="I1665" s="80">
        <f>STOCK[[#This Row],[Precio Venta Ideal (x1.5)]]</f>
        <v>1.08225</v>
      </c>
      <c r="J1665" s="86">
        <v>4</v>
      </c>
      <c r="K1665" s="78">
        <f>SUMIFS(VENTAS[Cantidad],VENTAS[Código del producto Vendido],STOCK[[#This Row],[Code]])</f>
        <v>4</v>
      </c>
      <c r="L1665" s="78">
        <f>STOCK[[#This Row],[Entradas]]-STOCK[[#This Row],[Salidas]]</f>
        <v>0</v>
      </c>
      <c r="M1665" s="76">
        <f>STOCK[[#This Row],[Precio Final]]*10%</f>
        <v>0.7215</v>
      </c>
      <c r="N1665" s="54">
        <v>0</v>
      </c>
      <c r="O1665" s="76">
        <v>0</v>
      </c>
      <c r="P1665" s="76"/>
      <c r="Q1665" s="76">
        <v>2.56</v>
      </c>
      <c r="R1665" s="78"/>
      <c r="S1665" s="76"/>
      <c r="T1665" s="76">
        <f>STOCK[[#This Row],[Costo Unitario (USD)]]+STOCK[[#This Row],[Costo Envío (USD)]]+STOCK[[#This Row],[Comisión 10%]]</f>
        <v>0.7215</v>
      </c>
      <c r="U1665" s="53">
        <f>STOCK[[#This Row],[Costo total]]*1.5</f>
        <v>1.08225</v>
      </c>
      <c r="V1665" s="53">
        <v>7.215</v>
      </c>
      <c r="W1665" s="76">
        <f>STOCK[[#This Row],[Precio Final]]-STOCK[[#This Row],[Costo total]]</f>
        <v>6.4935</v>
      </c>
      <c r="X1665" s="76">
        <f>STOCK[[#This Row],[Ganancia Unitaria]]*STOCK[[#This Row],[Salidas]]</f>
        <v>25.974</v>
      </c>
      <c r="Y1665" s="76">
        <v>0</v>
      </c>
      <c r="Z1665" s="87"/>
      <c r="AA1665" s="54">
        <f>STOCK[[#This Row],[Costo total]]*STOCK[[#This Row],[Entradas]]</f>
        <v>2.886</v>
      </c>
      <c r="AB1665" s="54">
        <f>STOCK[[#This Row],[Stock Actual]]*STOCK[[#This Row],[Costo total]]</f>
        <v>0</v>
      </c>
      <c r="AC1665" s="76">
        <v>19.24</v>
      </c>
      <c r="AD1665" s="76"/>
    </row>
    <row r="1666" s="53" customFormat="1" ht="50" customHeight="1" spans="1:30">
      <c r="A1666" s="53" t="s">
        <v>3304</v>
      </c>
      <c r="B1666" s="83"/>
      <c r="C1666" s="53" t="s">
        <v>32</v>
      </c>
      <c r="D1666" s="84" t="s">
        <v>3278</v>
      </c>
      <c r="E1666" s="85" t="s">
        <v>3305</v>
      </c>
      <c r="F1666" s="85" t="s">
        <v>525</v>
      </c>
      <c r="G1666" s="76"/>
      <c r="H1666" s="76">
        <f>STOCK[[#This Row],[Precio Final]]</f>
        <v>6.225</v>
      </c>
      <c r="I1666" s="80">
        <f>STOCK[[#This Row],[Precio Venta Ideal (x1.5)]]</f>
        <v>0.93375</v>
      </c>
      <c r="J1666" s="86">
        <v>4</v>
      </c>
      <c r="K1666" s="78">
        <f>SUMIFS(VENTAS[Cantidad],VENTAS[Código del producto Vendido],STOCK[[#This Row],[Code]])</f>
        <v>1</v>
      </c>
      <c r="L1666" s="78">
        <f>STOCK[[#This Row],[Entradas]]-STOCK[[#This Row],[Salidas]]</f>
        <v>3</v>
      </c>
      <c r="M1666" s="76">
        <f>STOCK[[#This Row],[Precio Final]]*10%</f>
        <v>0.6225</v>
      </c>
      <c r="N1666" s="54">
        <v>0</v>
      </c>
      <c r="O1666" s="76">
        <v>0</v>
      </c>
      <c r="P1666" s="76"/>
      <c r="Q1666" s="76">
        <v>2.3</v>
      </c>
      <c r="R1666" s="78"/>
      <c r="S1666" s="76"/>
      <c r="T1666" s="76">
        <f>STOCK[[#This Row],[Costo Unitario (USD)]]+STOCK[[#This Row],[Costo Envío (USD)]]+STOCK[[#This Row],[Comisión 10%]]</f>
        <v>0.6225</v>
      </c>
      <c r="U1666" s="53">
        <f>STOCK[[#This Row],[Costo total]]*1.5</f>
        <v>0.93375</v>
      </c>
      <c r="V1666" s="53">
        <v>6.225</v>
      </c>
      <c r="W1666" s="76">
        <f>STOCK[[#This Row],[Precio Final]]-STOCK[[#This Row],[Costo total]]</f>
        <v>5.6025</v>
      </c>
      <c r="X1666" s="76">
        <f>STOCK[[#This Row],[Ganancia Unitaria]]*STOCK[[#This Row],[Salidas]]</f>
        <v>5.6025</v>
      </c>
      <c r="Y1666" s="76">
        <v>0</v>
      </c>
      <c r="Z1666" s="87"/>
      <c r="AA1666" s="54">
        <f>STOCK[[#This Row],[Costo total]]*STOCK[[#This Row],[Entradas]]</f>
        <v>2.49</v>
      </c>
      <c r="AB1666" s="54">
        <f>STOCK[[#This Row],[Stock Actual]]*STOCK[[#This Row],[Costo total]]</f>
        <v>1.8675</v>
      </c>
      <c r="AC1666" s="76">
        <v>16.6</v>
      </c>
      <c r="AD1666" s="76"/>
    </row>
    <row r="1667" s="53" customFormat="1" ht="50" customHeight="1" spans="1:30">
      <c r="A1667" s="53" t="s">
        <v>3306</v>
      </c>
      <c r="B1667" s="83"/>
      <c r="C1667" s="53" t="s">
        <v>32</v>
      </c>
      <c r="D1667" s="84" t="s">
        <v>3278</v>
      </c>
      <c r="E1667" s="85" t="s">
        <v>3307</v>
      </c>
      <c r="F1667" s="85" t="s">
        <v>525</v>
      </c>
      <c r="G1667" s="76"/>
      <c r="H1667" s="76">
        <f>STOCK[[#This Row],[Precio Final]]</f>
        <v>9.225</v>
      </c>
      <c r="I1667" s="80">
        <f>STOCK[[#This Row],[Precio Venta Ideal (x1.5)]]</f>
        <v>1.38375</v>
      </c>
      <c r="J1667" s="86">
        <v>6</v>
      </c>
      <c r="K1667" s="78">
        <f>SUMIFS(VENTAS[Cantidad],VENTAS[Código del producto Vendido],STOCK[[#This Row],[Code]])</f>
        <v>6</v>
      </c>
      <c r="L1667" s="78">
        <f>STOCK[[#This Row],[Entradas]]-STOCK[[#This Row],[Salidas]]</f>
        <v>0</v>
      </c>
      <c r="M1667" s="76">
        <f>STOCK[[#This Row],[Precio Final]]*10%</f>
        <v>0.9225</v>
      </c>
      <c r="N1667" s="54">
        <v>0</v>
      </c>
      <c r="O1667" s="76">
        <v>0</v>
      </c>
      <c r="P1667" s="76"/>
      <c r="Q1667" s="76">
        <v>3.6</v>
      </c>
      <c r="R1667" s="78"/>
      <c r="S1667" s="76"/>
      <c r="T1667" s="76">
        <f>STOCK[[#This Row],[Costo Unitario (USD)]]+STOCK[[#This Row],[Costo Envío (USD)]]+STOCK[[#This Row],[Comisión 10%]]</f>
        <v>0.9225</v>
      </c>
      <c r="U1667" s="53">
        <f>STOCK[[#This Row],[Costo total]]*1.5</f>
        <v>1.38375</v>
      </c>
      <c r="V1667" s="53">
        <v>9.225</v>
      </c>
      <c r="W1667" s="76">
        <f>STOCK[[#This Row],[Precio Final]]-STOCK[[#This Row],[Costo total]]</f>
        <v>8.3025</v>
      </c>
      <c r="X1667" s="76">
        <f>STOCK[[#This Row],[Ganancia Unitaria]]*STOCK[[#This Row],[Salidas]]</f>
        <v>49.815</v>
      </c>
      <c r="Y1667" s="76">
        <v>0</v>
      </c>
      <c r="Z1667" s="87"/>
      <c r="AA1667" s="54">
        <f>STOCK[[#This Row],[Costo total]]*STOCK[[#This Row],[Entradas]]</f>
        <v>5.535</v>
      </c>
      <c r="AB1667" s="54">
        <f>STOCK[[#This Row],[Stock Actual]]*STOCK[[#This Row],[Costo total]]</f>
        <v>0</v>
      </c>
      <c r="AC1667" s="76">
        <v>36.9</v>
      </c>
      <c r="AD1667" s="76"/>
    </row>
    <row r="1668" s="53" customFormat="1" ht="50" customHeight="1" spans="1:30">
      <c r="A1668" s="53" t="s">
        <v>3308</v>
      </c>
      <c r="B1668" s="83"/>
      <c r="C1668" s="53" t="s">
        <v>32</v>
      </c>
      <c r="D1668" s="84" t="s">
        <v>3278</v>
      </c>
      <c r="E1668" s="85" t="s">
        <v>3309</v>
      </c>
      <c r="F1668" s="85" t="s">
        <v>525</v>
      </c>
      <c r="G1668" s="76"/>
      <c r="H1668" s="76">
        <f>STOCK[[#This Row],[Precio Final]]</f>
        <v>2.685</v>
      </c>
      <c r="I1668" s="80">
        <f>STOCK[[#This Row],[Precio Venta Ideal (x1.5)]]</f>
        <v>0.40275</v>
      </c>
      <c r="J1668" s="86">
        <v>0</v>
      </c>
      <c r="K1668" s="78">
        <f>SUMIFS(VENTAS[Cantidad],VENTAS[Código del producto Vendido],STOCK[[#This Row],[Code]])</f>
        <v>0</v>
      </c>
      <c r="L1668" s="78">
        <f>STOCK[[#This Row],[Entradas]]-STOCK[[#This Row],[Salidas]]</f>
        <v>0</v>
      </c>
      <c r="M1668" s="76">
        <f>STOCK[[#This Row],[Precio Final]]*10%</f>
        <v>0.2685</v>
      </c>
      <c r="N1668" s="54">
        <v>0</v>
      </c>
      <c r="O1668" s="76">
        <v>0</v>
      </c>
      <c r="P1668" s="76"/>
      <c r="Q1668" s="76">
        <v>0.74</v>
      </c>
      <c r="R1668" s="78"/>
      <c r="S1668" s="76"/>
      <c r="T1668" s="76">
        <f>STOCK[[#This Row],[Costo Unitario (USD)]]+STOCK[[#This Row],[Costo Envío (USD)]]+STOCK[[#This Row],[Comisión 10%]]</f>
        <v>0.2685</v>
      </c>
      <c r="U1668" s="53">
        <f>STOCK[[#This Row],[Costo total]]*1.5</f>
        <v>0.40275</v>
      </c>
      <c r="V1668" s="53">
        <v>2.685</v>
      </c>
      <c r="W1668" s="76">
        <f>STOCK[[#This Row],[Precio Final]]-STOCK[[#This Row],[Costo total]]</f>
        <v>2.4165</v>
      </c>
      <c r="X1668" s="76">
        <f>STOCK[[#This Row],[Ganancia Unitaria]]*STOCK[[#This Row],[Salidas]]</f>
        <v>0</v>
      </c>
      <c r="Y1668" s="76">
        <v>0</v>
      </c>
      <c r="Z1668" s="87"/>
      <c r="AA1668" s="54">
        <f>STOCK[[#This Row],[Costo total]]*STOCK[[#This Row],[Entradas]]</f>
        <v>0</v>
      </c>
      <c r="AB1668" s="54">
        <f>STOCK[[#This Row],[Stock Actual]]*STOCK[[#This Row],[Costo total]]</f>
        <v>0</v>
      </c>
      <c r="AC1668" s="76">
        <v>0</v>
      </c>
      <c r="AD1668" s="76"/>
    </row>
    <row r="1669" s="53" customFormat="1" ht="50" customHeight="1" spans="1:30">
      <c r="A1669" s="53" t="s">
        <v>3310</v>
      </c>
      <c r="B1669" s="83"/>
      <c r="C1669" s="53" t="s">
        <v>32</v>
      </c>
      <c r="D1669" s="84" t="s">
        <v>3278</v>
      </c>
      <c r="E1669" s="85" t="s">
        <v>3311</v>
      </c>
      <c r="F1669" s="85" t="s">
        <v>46</v>
      </c>
      <c r="G1669" s="76"/>
      <c r="H1669" s="76">
        <f>STOCK[[#This Row],[Precio Final]]</f>
        <v>8.745</v>
      </c>
      <c r="I1669" s="80">
        <f>STOCK[[#This Row],[Precio Venta Ideal (x1.5)]]</f>
        <v>1.31175</v>
      </c>
      <c r="J1669" s="86">
        <v>2</v>
      </c>
      <c r="K1669" s="78">
        <f>SUMIFS(VENTAS[Cantidad],VENTAS[Código del producto Vendido],STOCK[[#This Row],[Code]])</f>
        <v>2</v>
      </c>
      <c r="L1669" s="78">
        <f>STOCK[[#This Row],[Entradas]]-STOCK[[#This Row],[Salidas]]</f>
        <v>0</v>
      </c>
      <c r="M1669" s="76">
        <f>STOCK[[#This Row],[Precio Final]]*10%</f>
        <v>0.8745</v>
      </c>
      <c r="N1669" s="54">
        <v>0</v>
      </c>
      <c r="O1669" s="76">
        <v>0</v>
      </c>
      <c r="P1669" s="76"/>
      <c r="Q1669" s="76">
        <v>3.58</v>
      </c>
      <c r="R1669" s="78"/>
      <c r="S1669" s="76"/>
      <c r="T1669" s="76">
        <f>STOCK[[#This Row],[Costo Unitario (USD)]]+STOCK[[#This Row],[Costo Envío (USD)]]+STOCK[[#This Row],[Comisión 10%]]</f>
        <v>0.8745</v>
      </c>
      <c r="U1669" s="53">
        <f>STOCK[[#This Row],[Costo total]]*1.5</f>
        <v>1.31175</v>
      </c>
      <c r="V1669" s="53">
        <v>8.745</v>
      </c>
      <c r="W1669" s="76">
        <f>STOCK[[#This Row],[Precio Final]]-STOCK[[#This Row],[Costo total]]</f>
        <v>7.8705</v>
      </c>
      <c r="X1669" s="76">
        <f>STOCK[[#This Row],[Ganancia Unitaria]]*STOCK[[#This Row],[Salidas]]</f>
        <v>15.741</v>
      </c>
      <c r="Y1669" s="76">
        <v>0</v>
      </c>
      <c r="Z1669" s="87"/>
      <c r="AA1669" s="54">
        <f>STOCK[[#This Row],[Costo total]]*STOCK[[#This Row],[Entradas]]</f>
        <v>1.749</v>
      </c>
      <c r="AB1669" s="54">
        <f>STOCK[[#This Row],[Stock Actual]]*STOCK[[#This Row],[Costo total]]</f>
        <v>0</v>
      </c>
      <c r="AC1669" s="76">
        <v>11.66</v>
      </c>
      <c r="AD1669" s="76"/>
    </row>
    <row r="1670" s="53" customFormat="1" ht="50" customHeight="1" spans="1:30">
      <c r="A1670" s="53" t="s">
        <v>3312</v>
      </c>
      <c r="B1670" s="83"/>
      <c r="C1670" s="53" t="s">
        <v>32</v>
      </c>
      <c r="D1670" s="84" t="s">
        <v>3278</v>
      </c>
      <c r="E1670" s="85" t="s">
        <v>3311</v>
      </c>
      <c r="F1670" s="85" t="s">
        <v>49</v>
      </c>
      <c r="G1670" s="76"/>
      <c r="H1670" s="76">
        <f>STOCK[[#This Row],[Precio Final]]</f>
        <v>8.745</v>
      </c>
      <c r="I1670" s="80">
        <f>STOCK[[#This Row],[Precio Venta Ideal (x1.5)]]</f>
        <v>1.31175</v>
      </c>
      <c r="J1670" s="86">
        <v>2</v>
      </c>
      <c r="K1670" s="78">
        <f>SUMIFS(VENTAS[Cantidad],VENTAS[Código del producto Vendido],STOCK[[#This Row],[Code]])</f>
        <v>2</v>
      </c>
      <c r="L1670" s="78">
        <f>STOCK[[#This Row],[Entradas]]-STOCK[[#This Row],[Salidas]]</f>
        <v>0</v>
      </c>
      <c r="M1670" s="76">
        <f>STOCK[[#This Row],[Precio Final]]*10%</f>
        <v>0.8745</v>
      </c>
      <c r="N1670" s="54">
        <v>0</v>
      </c>
      <c r="O1670" s="76">
        <v>0</v>
      </c>
      <c r="P1670" s="76"/>
      <c r="Q1670" s="76">
        <v>3.58</v>
      </c>
      <c r="R1670" s="78"/>
      <c r="S1670" s="76"/>
      <c r="T1670" s="76">
        <f>STOCK[[#This Row],[Costo Unitario (USD)]]+STOCK[[#This Row],[Costo Envío (USD)]]+STOCK[[#This Row],[Comisión 10%]]</f>
        <v>0.8745</v>
      </c>
      <c r="U1670" s="53">
        <f>STOCK[[#This Row],[Costo total]]*1.5</f>
        <v>1.31175</v>
      </c>
      <c r="V1670" s="53">
        <v>8.745</v>
      </c>
      <c r="W1670" s="76">
        <f>STOCK[[#This Row],[Precio Final]]-STOCK[[#This Row],[Costo total]]</f>
        <v>7.8705</v>
      </c>
      <c r="X1670" s="76">
        <f>STOCK[[#This Row],[Ganancia Unitaria]]*STOCK[[#This Row],[Salidas]]</f>
        <v>15.741</v>
      </c>
      <c r="Y1670" s="76">
        <v>0</v>
      </c>
      <c r="Z1670" s="87"/>
      <c r="AA1670" s="54">
        <f>STOCK[[#This Row],[Costo total]]*STOCK[[#This Row],[Entradas]]</f>
        <v>1.749</v>
      </c>
      <c r="AB1670" s="54">
        <f>STOCK[[#This Row],[Stock Actual]]*STOCK[[#This Row],[Costo total]]</f>
        <v>0</v>
      </c>
      <c r="AC1670" s="76">
        <v>11.66</v>
      </c>
      <c r="AD1670" s="76"/>
    </row>
    <row r="1671" s="53" customFormat="1" ht="50" customHeight="1" spans="1:30">
      <c r="A1671" s="53" t="s">
        <v>3313</v>
      </c>
      <c r="B1671" s="83"/>
      <c r="C1671" s="53" t="s">
        <v>32</v>
      </c>
      <c r="D1671" s="84" t="s">
        <v>3278</v>
      </c>
      <c r="E1671" s="85" t="s">
        <v>3311</v>
      </c>
      <c r="F1671" s="85" t="s">
        <v>62</v>
      </c>
      <c r="G1671" s="76"/>
      <c r="H1671" s="76">
        <f>STOCK[[#This Row],[Precio Final]]</f>
        <v>8.745</v>
      </c>
      <c r="I1671" s="80">
        <f>STOCK[[#This Row],[Precio Venta Ideal (x1.5)]]</f>
        <v>1.31175</v>
      </c>
      <c r="J1671" s="86">
        <v>2</v>
      </c>
      <c r="K1671" s="78">
        <f>SUMIFS(VENTAS[Cantidad],VENTAS[Código del producto Vendido],STOCK[[#This Row],[Code]])</f>
        <v>2</v>
      </c>
      <c r="L1671" s="78">
        <f>STOCK[[#This Row],[Entradas]]-STOCK[[#This Row],[Salidas]]</f>
        <v>0</v>
      </c>
      <c r="M1671" s="76">
        <f>STOCK[[#This Row],[Precio Final]]*10%</f>
        <v>0.8745</v>
      </c>
      <c r="N1671" s="54">
        <v>0</v>
      </c>
      <c r="O1671" s="76">
        <v>0</v>
      </c>
      <c r="P1671" s="76"/>
      <c r="Q1671" s="76">
        <v>3.58</v>
      </c>
      <c r="R1671" s="78"/>
      <c r="S1671" s="76"/>
      <c r="T1671" s="76">
        <f>STOCK[[#This Row],[Costo Unitario (USD)]]+STOCK[[#This Row],[Costo Envío (USD)]]+STOCK[[#This Row],[Comisión 10%]]</f>
        <v>0.8745</v>
      </c>
      <c r="U1671" s="53">
        <f>STOCK[[#This Row],[Costo total]]*1.5</f>
        <v>1.31175</v>
      </c>
      <c r="V1671" s="53">
        <v>8.745</v>
      </c>
      <c r="W1671" s="76">
        <f>STOCK[[#This Row],[Precio Final]]-STOCK[[#This Row],[Costo total]]</f>
        <v>7.8705</v>
      </c>
      <c r="X1671" s="76">
        <f>STOCK[[#This Row],[Ganancia Unitaria]]*STOCK[[#This Row],[Salidas]]</f>
        <v>15.741</v>
      </c>
      <c r="Y1671" s="76">
        <v>0</v>
      </c>
      <c r="Z1671" s="87"/>
      <c r="AA1671" s="54">
        <f>STOCK[[#This Row],[Costo total]]*STOCK[[#This Row],[Entradas]]</f>
        <v>1.749</v>
      </c>
      <c r="AB1671" s="54">
        <f>STOCK[[#This Row],[Stock Actual]]*STOCK[[#This Row],[Costo total]]</f>
        <v>0</v>
      </c>
      <c r="AC1671" s="76">
        <v>11.66</v>
      </c>
      <c r="AD1671" s="76"/>
    </row>
    <row r="1672" s="53" customFormat="1" ht="50" customHeight="1" spans="1:30">
      <c r="A1672" s="53" t="s">
        <v>3314</v>
      </c>
      <c r="B1672" s="83"/>
      <c r="C1672" s="53" t="s">
        <v>32</v>
      </c>
      <c r="D1672" s="84" t="s">
        <v>3278</v>
      </c>
      <c r="E1672" s="85" t="s">
        <v>3315</v>
      </c>
      <c r="F1672" s="85" t="s">
        <v>40</v>
      </c>
      <c r="G1672" s="76"/>
      <c r="H1672" s="76">
        <f>STOCK[[#This Row],[Precio Final]]</f>
        <v>15.555</v>
      </c>
      <c r="I1672" s="80">
        <f>STOCK[[#This Row],[Precio Venta Ideal (x1.5)]]</f>
        <v>2.33325</v>
      </c>
      <c r="J1672" s="86">
        <v>2</v>
      </c>
      <c r="K1672" s="78">
        <f>SUMIFS(VENTAS[Cantidad],VENTAS[Código del producto Vendido],STOCK[[#This Row],[Code]])</f>
        <v>2</v>
      </c>
      <c r="L1672" s="78">
        <f>STOCK[[#This Row],[Entradas]]-STOCK[[#This Row],[Salidas]]</f>
        <v>0</v>
      </c>
      <c r="M1672" s="76">
        <f>STOCK[[#This Row],[Precio Final]]*10%</f>
        <v>1.5555</v>
      </c>
      <c r="N1672" s="54">
        <v>0</v>
      </c>
      <c r="O1672" s="76">
        <v>0</v>
      </c>
      <c r="P1672" s="76"/>
      <c r="Q1672" s="76">
        <v>7.32</v>
      </c>
      <c r="R1672" s="78"/>
      <c r="S1672" s="76"/>
      <c r="T1672" s="76">
        <f>STOCK[[#This Row],[Costo Unitario (USD)]]+STOCK[[#This Row],[Costo Envío (USD)]]+STOCK[[#This Row],[Comisión 10%]]</f>
        <v>1.5555</v>
      </c>
      <c r="U1672" s="53">
        <f>STOCK[[#This Row],[Costo total]]*1.5</f>
        <v>2.33325</v>
      </c>
      <c r="V1672" s="53">
        <v>15.555</v>
      </c>
      <c r="W1672" s="76">
        <f>STOCK[[#This Row],[Precio Final]]-STOCK[[#This Row],[Costo total]]</f>
        <v>13.9995</v>
      </c>
      <c r="X1672" s="76">
        <f>STOCK[[#This Row],[Ganancia Unitaria]]*STOCK[[#This Row],[Salidas]]</f>
        <v>27.999</v>
      </c>
      <c r="Y1672" s="76">
        <v>0</v>
      </c>
      <c r="Z1672" s="87"/>
      <c r="AA1672" s="54">
        <f>STOCK[[#This Row],[Costo total]]*STOCK[[#This Row],[Entradas]]</f>
        <v>3.111</v>
      </c>
      <c r="AB1672" s="54">
        <f>STOCK[[#This Row],[Stock Actual]]*STOCK[[#This Row],[Costo total]]</f>
        <v>0</v>
      </c>
      <c r="AC1672" s="76">
        <v>20.74</v>
      </c>
      <c r="AD1672" s="76"/>
    </row>
    <row r="1673" s="53" customFormat="1" ht="50" customHeight="1" spans="1:30">
      <c r="A1673" s="53" t="s">
        <v>3316</v>
      </c>
      <c r="B1673" s="83"/>
      <c r="C1673" s="53" t="s">
        <v>32</v>
      </c>
      <c r="D1673" s="84" t="s">
        <v>3278</v>
      </c>
      <c r="E1673" s="85" t="s">
        <v>3317</v>
      </c>
      <c r="F1673" s="85" t="s">
        <v>62</v>
      </c>
      <c r="G1673" s="76"/>
      <c r="H1673" s="76">
        <f>STOCK[[#This Row],[Precio Final]]</f>
        <v>17.445</v>
      </c>
      <c r="I1673" s="80">
        <f>STOCK[[#This Row],[Precio Venta Ideal (x1.5)]]</f>
        <v>2.61675</v>
      </c>
      <c r="J1673" s="86">
        <v>2</v>
      </c>
      <c r="K1673" s="78">
        <f>SUMIFS(VENTAS[Cantidad],VENTAS[Código del producto Vendido],STOCK[[#This Row],[Code]])</f>
        <v>0</v>
      </c>
      <c r="L1673" s="78">
        <f>STOCK[[#This Row],[Entradas]]-STOCK[[#This Row],[Salidas]]</f>
        <v>2</v>
      </c>
      <c r="M1673" s="76">
        <f>STOCK[[#This Row],[Precio Final]]*10%</f>
        <v>1.7445</v>
      </c>
      <c r="N1673" s="54">
        <v>0</v>
      </c>
      <c r="O1673" s="76">
        <v>0</v>
      </c>
      <c r="P1673" s="76"/>
      <c r="Q1673" s="76">
        <v>8.38</v>
      </c>
      <c r="R1673" s="78"/>
      <c r="S1673" s="76"/>
      <c r="T1673" s="76">
        <f>STOCK[[#This Row],[Costo Unitario (USD)]]+STOCK[[#This Row],[Costo Envío (USD)]]+STOCK[[#This Row],[Comisión 10%]]</f>
        <v>1.7445</v>
      </c>
      <c r="U1673" s="53">
        <f>STOCK[[#This Row],[Costo total]]*1.5</f>
        <v>2.61675</v>
      </c>
      <c r="V1673" s="53">
        <v>17.445</v>
      </c>
      <c r="W1673" s="76">
        <f>STOCK[[#This Row],[Precio Final]]-STOCK[[#This Row],[Costo total]]</f>
        <v>15.7005</v>
      </c>
      <c r="X1673" s="76">
        <f>STOCK[[#This Row],[Ganancia Unitaria]]*STOCK[[#This Row],[Salidas]]</f>
        <v>0</v>
      </c>
      <c r="Y1673" s="76">
        <v>0</v>
      </c>
      <c r="Z1673" s="87"/>
      <c r="AA1673" s="54">
        <f>STOCK[[#This Row],[Costo total]]*STOCK[[#This Row],[Entradas]]</f>
        <v>3.489</v>
      </c>
      <c r="AB1673" s="54">
        <f>STOCK[[#This Row],[Stock Actual]]*STOCK[[#This Row],[Costo total]]</f>
        <v>3.489</v>
      </c>
      <c r="AC1673" s="76">
        <v>23.26</v>
      </c>
      <c r="AD1673" s="76"/>
    </row>
    <row r="1674" s="53" customFormat="1" ht="50" customHeight="1" spans="1:29">
      <c r="A1674" s="53" t="s">
        <v>3318</v>
      </c>
      <c r="B1674" s="83"/>
      <c r="C1674" s="53" t="s">
        <v>32</v>
      </c>
      <c r="D1674" s="84" t="s">
        <v>3278</v>
      </c>
      <c r="E1674" s="85" t="s">
        <v>3317</v>
      </c>
      <c r="F1674" s="88" t="s">
        <v>49</v>
      </c>
      <c r="H1674" s="76">
        <f>STOCK[[#This Row],[Precio Final]]</f>
        <v>17.445</v>
      </c>
      <c r="I1674" s="80">
        <f>STOCK[[#This Row],[Precio Venta Ideal (x1.5)]]</f>
        <v>2.61675</v>
      </c>
      <c r="J1674" s="89">
        <v>2</v>
      </c>
      <c r="K1674" s="78">
        <f>SUMIFS(VENTAS[Cantidad],VENTAS[Código del producto Vendido],STOCK[[#This Row],[Code]])</f>
        <v>1</v>
      </c>
      <c r="L1674" s="78">
        <f>STOCK[[#This Row],[Entradas]]-STOCK[[#This Row],[Salidas]]</f>
        <v>1</v>
      </c>
      <c r="M1674" s="76">
        <f>STOCK[[#This Row],[Precio Final]]*10%</f>
        <v>1.7445</v>
      </c>
      <c r="N1674" s="54">
        <v>0</v>
      </c>
      <c r="O1674" s="76">
        <v>0</v>
      </c>
      <c r="P1674" s="76"/>
      <c r="Q1674" s="76">
        <v>8.38</v>
      </c>
      <c r="R1674" s="70"/>
      <c r="T1674" s="76">
        <f>STOCK[[#This Row],[Costo Unitario (USD)]]+STOCK[[#This Row],[Costo Envío (USD)]]+STOCK[[#This Row],[Comisión 10%]]</f>
        <v>1.7445</v>
      </c>
      <c r="U1674" s="53">
        <f>STOCK[[#This Row],[Costo total]]*1.5</f>
        <v>2.61675</v>
      </c>
      <c r="V1674" s="53">
        <v>17.445</v>
      </c>
      <c r="W1674" s="76">
        <f>STOCK[[#This Row],[Precio Final]]-STOCK[[#This Row],[Costo total]]</f>
        <v>15.7005</v>
      </c>
      <c r="X1674" s="76">
        <f>STOCK[[#This Row],[Ganancia Unitaria]]*STOCK[[#This Row],[Salidas]]</f>
        <v>15.7005</v>
      </c>
      <c r="Y1674" s="53">
        <v>0</v>
      </c>
      <c r="Z1674" s="90"/>
      <c r="AA1674" s="54">
        <f>STOCK[[#This Row],[Costo total]]*STOCK[[#This Row],[Entradas]]</f>
        <v>3.489</v>
      </c>
      <c r="AB1674" s="54">
        <f>STOCK[[#This Row],[Stock Actual]]*STOCK[[#This Row],[Costo total]]</f>
        <v>1.7445</v>
      </c>
      <c r="AC1674" s="53">
        <v>23.26</v>
      </c>
    </row>
    <row r="1675" s="53" customFormat="1" ht="50" customHeight="1" spans="1:30">
      <c r="A1675" s="53" t="s">
        <v>3319</v>
      </c>
      <c r="B1675" s="83"/>
      <c r="C1675" s="53" t="s">
        <v>32</v>
      </c>
      <c r="D1675" s="84" t="s">
        <v>3278</v>
      </c>
      <c r="E1675" s="85" t="s">
        <v>3317</v>
      </c>
      <c r="F1675" s="85" t="s">
        <v>46</v>
      </c>
      <c r="G1675" s="76"/>
      <c r="H1675" s="76">
        <f>STOCK[[#This Row],[Precio Final]]</f>
        <v>17.445</v>
      </c>
      <c r="I1675" s="80">
        <f>STOCK[[#This Row],[Precio Venta Ideal (x1.5)]]</f>
        <v>2.61675</v>
      </c>
      <c r="J1675" s="86">
        <v>2</v>
      </c>
      <c r="K1675" s="78">
        <f>SUMIFS(VENTAS[Cantidad],VENTAS[Código del producto Vendido],STOCK[[#This Row],[Code]])</f>
        <v>0</v>
      </c>
      <c r="L1675" s="78">
        <f>STOCK[[#This Row],[Entradas]]-STOCK[[#This Row],[Salidas]]</f>
        <v>2</v>
      </c>
      <c r="M1675" s="76">
        <f>STOCK[[#This Row],[Precio Final]]*10%</f>
        <v>1.7445</v>
      </c>
      <c r="N1675" s="54">
        <v>0</v>
      </c>
      <c r="O1675" s="76">
        <v>0</v>
      </c>
      <c r="P1675" s="76"/>
      <c r="Q1675" s="76">
        <v>8.38</v>
      </c>
      <c r="R1675" s="78"/>
      <c r="S1675" s="76"/>
      <c r="T1675" s="76">
        <f>STOCK[[#This Row],[Costo Unitario (USD)]]+STOCK[[#This Row],[Costo Envío (USD)]]+STOCK[[#This Row],[Comisión 10%]]</f>
        <v>1.7445</v>
      </c>
      <c r="U1675" s="53">
        <f>STOCK[[#This Row],[Costo total]]*1.5</f>
        <v>2.61675</v>
      </c>
      <c r="V1675" s="53">
        <v>17.445</v>
      </c>
      <c r="W1675" s="76">
        <f>STOCK[[#This Row],[Precio Final]]-STOCK[[#This Row],[Costo total]]</f>
        <v>15.7005</v>
      </c>
      <c r="X1675" s="76">
        <f>STOCK[[#This Row],[Ganancia Unitaria]]*STOCK[[#This Row],[Salidas]]</f>
        <v>0</v>
      </c>
      <c r="Y1675" s="76">
        <v>0</v>
      </c>
      <c r="Z1675" s="87"/>
      <c r="AA1675" s="54">
        <f>STOCK[[#This Row],[Costo total]]*STOCK[[#This Row],[Entradas]]</f>
        <v>3.489</v>
      </c>
      <c r="AB1675" s="54">
        <f>STOCK[[#This Row],[Stock Actual]]*STOCK[[#This Row],[Costo total]]</f>
        <v>3.489</v>
      </c>
      <c r="AC1675" s="76">
        <v>23.26</v>
      </c>
      <c r="AD1675" s="76"/>
    </row>
    <row r="1676" s="53" customFormat="1" ht="50" customHeight="1" spans="1:30">
      <c r="A1676" s="53" t="s">
        <v>3320</v>
      </c>
      <c r="B1676" s="83"/>
      <c r="C1676" s="53" t="s">
        <v>32</v>
      </c>
      <c r="D1676" s="84" t="s">
        <v>3278</v>
      </c>
      <c r="E1676" s="85" t="s">
        <v>3321</v>
      </c>
      <c r="F1676" s="85" t="s">
        <v>3322</v>
      </c>
      <c r="G1676" s="76"/>
      <c r="H1676" s="76">
        <f>STOCK[[#This Row],[Precio Final]]</f>
        <v>17.655</v>
      </c>
      <c r="I1676" s="80">
        <f>STOCK[[#This Row],[Precio Venta Ideal (x1.5)]]</f>
        <v>2.64825</v>
      </c>
      <c r="J1676" s="86">
        <v>2</v>
      </c>
      <c r="K1676" s="78">
        <f>SUMIFS(VENTAS[Cantidad],VENTAS[Código del producto Vendido],STOCK[[#This Row],[Code]])</f>
        <v>0</v>
      </c>
      <c r="L1676" s="78">
        <f>STOCK[[#This Row],[Entradas]]-STOCK[[#This Row],[Salidas]]</f>
        <v>2</v>
      </c>
      <c r="M1676" s="76">
        <f>STOCK[[#This Row],[Precio Final]]*10%</f>
        <v>1.7655</v>
      </c>
      <c r="N1676" s="54">
        <v>0</v>
      </c>
      <c r="O1676" s="76">
        <v>0</v>
      </c>
      <c r="P1676" s="76"/>
      <c r="Q1676" s="76">
        <v>8.52</v>
      </c>
      <c r="R1676" s="78"/>
      <c r="S1676" s="76"/>
      <c r="T1676" s="76">
        <f>STOCK[[#This Row],[Costo Unitario (USD)]]+STOCK[[#This Row],[Costo Envío (USD)]]+STOCK[[#This Row],[Comisión 10%]]</f>
        <v>1.7655</v>
      </c>
      <c r="U1676" s="53">
        <f>STOCK[[#This Row],[Costo total]]*1.5</f>
        <v>2.64825</v>
      </c>
      <c r="V1676" s="53">
        <v>17.655</v>
      </c>
      <c r="W1676" s="76">
        <f>STOCK[[#This Row],[Precio Final]]-STOCK[[#This Row],[Costo total]]</f>
        <v>15.8895</v>
      </c>
      <c r="X1676" s="76">
        <f>STOCK[[#This Row],[Ganancia Unitaria]]*STOCK[[#This Row],[Salidas]]</f>
        <v>0</v>
      </c>
      <c r="Y1676" s="76">
        <v>0</v>
      </c>
      <c r="Z1676" s="87"/>
      <c r="AA1676" s="54">
        <f>STOCK[[#This Row],[Costo total]]*STOCK[[#This Row],[Entradas]]</f>
        <v>3.531</v>
      </c>
      <c r="AB1676" s="54">
        <f>STOCK[[#This Row],[Stock Actual]]*STOCK[[#This Row],[Costo total]]</f>
        <v>3.531</v>
      </c>
      <c r="AC1676" s="76">
        <v>23.54</v>
      </c>
      <c r="AD1676" s="76"/>
    </row>
    <row r="1677" s="53" customFormat="1" ht="50" customHeight="1" spans="1:30">
      <c r="A1677" s="53" t="s">
        <v>3323</v>
      </c>
      <c r="B1677" s="83"/>
      <c r="C1677" s="53" t="s">
        <v>32</v>
      </c>
      <c r="D1677" s="84" t="s">
        <v>3278</v>
      </c>
      <c r="E1677" s="85" t="s">
        <v>3324</v>
      </c>
      <c r="F1677" s="85" t="s">
        <v>525</v>
      </c>
      <c r="G1677" s="76"/>
      <c r="H1677" s="76">
        <f>STOCK[[#This Row],[Precio Final]]</f>
        <v>8.46</v>
      </c>
      <c r="I1677" s="80">
        <f>STOCK[[#This Row],[Precio Venta Ideal (x1.5)]]</f>
        <v>1.269</v>
      </c>
      <c r="J1677" s="86">
        <v>7</v>
      </c>
      <c r="K1677" s="78">
        <f>SUMIFS(VENTAS[Cantidad],VENTAS[Código del producto Vendido],STOCK[[#This Row],[Code]])</f>
        <v>3</v>
      </c>
      <c r="L1677" s="78">
        <f>STOCK[[#This Row],[Entradas]]-STOCK[[#This Row],[Salidas]]</f>
        <v>4</v>
      </c>
      <c r="M1677" s="76">
        <f>STOCK[[#This Row],[Precio Final]]*10%</f>
        <v>0.846</v>
      </c>
      <c r="N1677" s="54">
        <v>0</v>
      </c>
      <c r="O1677" s="76">
        <v>0</v>
      </c>
      <c r="P1677" s="76"/>
      <c r="Q1677" s="76">
        <v>3.69</v>
      </c>
      <c r="R1677" s="78"/>
      <c r="S1677" s="76"/>
      <c r="T1677" s="76">
        <f>STOCK[[#This Row],[Costo Unitario (USD)]]+STOCK[[#This Row],[Costo Envío (USD)]]+STOCK[[#This Row],[Comisión 10%]]</f>
        <v>0.846</v>
      </c>
      <c r="U1677" s="53">
        <f>STOCK[[#This Row],[Costo total]]*1.5</f>
        <v>1.269</v>
      </c>
      <c r="V1677" s="53">
        <v>8.46</v>
      </c>
      <c r="W1677" s="76">
        <f>STOCK[[#This Row],[Precio Final]]-STOCK[[#This Row],[Costo total]]</f>
        <v>7.614</v>
      </c>
      <c r="X1677" s="76">
        <f>STOCK[[#This Row],[Ganancia Unitaria]]*STOCK[[#This Row],[Salidas]]</f>
        <v>22.842</v>
      </c>
      <c r="Y1677" s="76">
        <v>0</v>
      </c>
      <c r="Z1677" s="87"/>
      <c r="AA1677" s="54">
        <f>STOCK[[#This Row],[Costo total]]*STOCK[[#This Row],[Entradas]]</f>
        <v>5.922</v>
      </c>
      <c r="AB1677" s="54">
        <f>STOCK[[#This Row],[Stock Actual]]*STOCK[[#This Row],[Costo total]]</f>
        <v>3.384</v>
      </c>
      <c r="AC1677" s="76">
        <v>39.48</v>
      </c>
      <c r="AD1677" s="76"/>
    </row>
    <row r="1678" s="53" customFormat="1" ht="50" customHeight="1" spans="1:30">
      <c r="A1678" s="53" t="s">
        <v>3325</v>
      </c>
      <c r="B1678" s="83"/>
      <c r="C1678" s="53" t="s">
        <v>32</v>
      </c>
      <c r="D1678" s="84" t="s">
        <v>3278</v>
      </c>
      <c r="E1678" s="85" t="s">
        <v>3326</v>
      </c>
      <c r="F1678" s="85" t="s">
        <v>525</v>
      </c>
      <c r="G1678" s="76"/>
      <c r="H1678" s="76">
        <f>STOCK[[#This Row],[Precio Final]]</f>
        <v>14.58</v>
      </c>
      <c r="I1678" s="80">
        <f>STOCK[[#This Row],[Precio Venta Ideal (x1.5)]]</f>
        <v>2.187</v>
      </c>
      <c r="J1678" s="86">
        <v>3</v>
      </c>
      <c r="K1678" s="78">
        <f>SUMIFS(VENTAS[Cantidad],VENTAS[Código del producto Vendido],STOCK[[#This Row],[Code]])</f>
        <v>5</v>
      </c>
      <c r="L1678" s="78">
        <f>STOCK[[#This Row],[Entradas]]-STOCK[[#This Row],[Salidas]]</f>
        <v>-2</v>
      </c>
      <c r="M1678" s="76">
        <f>STOCK[[#This Row],[Precio Final]]*10%</f>
        <v>1.458</v>
      </c>
      <c r="N1678" s="54">
        <v>0</v>
      </c>
      <c r="O1678" s="76">
        <v>0</v>
      </c>
      <c r="P1678" s="76"/>
      <c r="Q1678" s="76">
        <v>6.67</v>
      </c>
      <c r="R1678" s="78"/>
      <c r="S1678" s="76"/>
      <c r="T1678" s="76">
        <f>STOCK[[#This Row],[Costo Unitario (USD)]]+STOCK[[#This Row],[Costo Envío (USD)]]+STOCK[[#This Row],[Comisión 10%]]</f>
        <v>1.458</v>
      </c>
      <c r="U1678" s="53">
        <f>STOCK[[#This Row],[Costo total]]*1.5</f>
        <v>2.187</v>
      </c>
      <c r="V1678" s="53">
        <v>14.58</v>
      </c>
      <c r="W1678" s="76">
        <f>STOCK[[#This Row],[Precio Final]]-STOCK[[#This Row],[Costo total]]</f>
        <v>13.122</v>
      </c>
      <c r="X1678" s="76">
        <f>STOCK[[#This Row],[Ganancia Unitaria]]*STOCK[[#This Row],[Salidas]]</f>
        <v>65.61</v>
      </c>
      <c r="Y1678" s="76">
        <v>0</v>
      </c>
      <c r="Z1678" s="87"/>
      <c r="AA1678" s="54">
        <f>STOCK[[#This Row],[Costo total]]*STOCK[[#This Row],[Entradas]]</f>
        <v>4.374</v>
      </c>
      <c r="AB1678" s="54">
        <f>STOCK[[#This Row],[Stock Actual]]*STOCK[[#This Row],[Costo total]]</f>
        <v>-2.916</v>
      </c>
      <c r="AC1678" s="76">
        <v>29.16</v>
      </c>
      <c r="AD1678" s="76"/>
    </row>
    <row r="1679" s="53" customFormat="1" ht="50" customHeight="1" spans="1:30">
      <c r="A1679" s="53" t="s">
        <v>3327</v>
      </c>
      <c r="B1679" s="83"/>
      <c r="C1679" s="53" t="s">
        <v>32</v>
      </c>
      <c r="D1679" s="84" t="s">
        <v>3278</v>
      </c>
      <c r="E1679" s="85" t="s">
        <v>3328</v>
      </c>
      <c r="F1679" s="85" t="s">
        <v>525</v>
      </c>
      <c r="G1679" s="76"/>
      <c r="H1679" s="76">
        <f>STOCK[[#This Row],[Precio Final]]</f>
        <v>4.5</v>
      </c>
      <c r="I1679" s="80">
        <f>STOCK[[#This Row],[Precio Venta Ideal (x1.5)]]</f>
        <v>0.675</v>
      </c>
      <c r="J1679" s="86">
        <v>8</v>
      </c>
      <c r="K1679" s="78">
        <f>SUMIFS(VENTAS[Cantidad],VENTAS[Código del producto Vendido],STOCK[[#This Row],[Code]])</f>
        <v>11</v>
      </c>
      <c r="L1679" s="78">
        <f>STOCK[[#This Row],[Entradas]]-STOCK[[#This Row],[Salidas]]</f>
        <v>-3</v>
      </c>
      <c r="M1679" s="76">
        <f>STOCK[[#This Row],[Precio Final]]*10%</f>
        <v>0.45</v>
      </c>
      <c r="N1679" s="54">
        <v>0</v>
      </c>
      <c r="O1679" s="76">
        <v>0</v>
      </c>
      <c r="P1679" s="76"/>
      <c r="Q1679" s="76">
        <v>1.25</v>
      </c>
      <c r="R1679" s="78"/>
      <c r="S1679" s="76"/>
      <c r="T1679" s="76">
        <f>STOCK[[#This Row],[Costo Unitario (USD)]]+STOCK[[#This Row],[Costo Envío (USD)]]+STOCK[[#This Row],[Comisión 10%]]</f>
        <v>0.45</v>
      </c>
      <c r="U1679" s="53">
        <f>STOCK[[#This Row],[Costo total]]*1.5</f>
        <v>0.675</v>
      </c>
      <c r="V1679" s="53">
        <v>4.5</v>
      </c>
      <c r="W1679" s="76">
        <f>STOCK[[#This Row],[Precio Final]]-STOCK[[#This Row],[Costo total]]</f>
        <v>4.05</v>
      </c>
      <c r="X1679" s="76">
        <f>STOCK[[#This Row],[Ganancia Unitaria]]*STOCK[[#This Row],[Salidas]]</f>
        <v>44.55</v>
      </c>
      <c r="Y1679" s="76">
        <v>0</v>
      </c>
      <c r="Z1679" s="87"/>
      <c r="AA1679" s="54">
        <f>STOCK[[#This Row],[Costo total]]*STOCK[[#This Row],[Entradas]]</f>
        <v>3.6</v>
      </c>
      <c r="AB1679" s="54">
        <f>STOCK[[#This Row],[Stock Actual]]*STOCK[[#This Row],[Costo total]]</f>
        <v>-1.35</v>
      </c>
      <c r="AC1679" s="76">
        <v>24</v>
      </c>
      <c r="AD1679" s="76"/>
    </row>
    <row r="1680" s="53" customFormat="1" ht="50" customHeight="1" spans="1:30">
      <c r="A1680" s="53" t="s">
        <v>3329</v>
      </c>
      <c r="B1680" s="83"/>
      <c r="C1680" s="53" t="s">
        <v>32</v>
      </c>
      <c r="D1680" s="84" t="s">
        <v>3278</v>
      </c>
      <c r="E1680" s="85" t="s">
        <v>3330</v>
      </c>
      <c r="F1680" s="85" t="s">
        <v>2108</v>
      </c>
      <c r="G1680" s="76"/>
      <c r="H1680" s="76">
        <f>STOCK[[#This Row],[Precio Final]]</f>
        <v>6.405</v>
      </c>
      <c r="I1680" s="80">
        <f>STOCK[[#This Row],[Precio Venta Ideal (x1.5)]]</f>
        <v>0.96075</v>
      </c>
      <c r="J1680" s="86">
        <v>0</v>
      </c>
      <c r="K1680" s="78">
        <f>SUMIFS(VENTAS[Cantidad],VENTAS[Código del producto Vendido],STOCK[[#This Row],[Code]])</f>
        <v>0</v>
      </c>
      <c r="L1680" s="78">
        <f>STOCK[[#This Row],[Entradas]]-STOCK[[#This Row],[Salidas]]</f>
        <v>0</v>
      </c>
      <c r="M1680" s="76">
        <f>STOCK[[#This Row],[Precio Final]]*10%</f>
        <v>0.6405</v>
      </c>
      <c r="N1680" s="54">
        <v>0</v>
      </c>
      <c r="O1680" s="76">
        <v>0</v>
      </c>
      <c r="P1680" s="76"/>
      <c r="Q1680" s="76">
        <v>3.22</v>
      </c>
      <c r="R1680" s="78"/>
      <c r="S1680" s="76"/>
      <c r="T1680" s="76">
        <f>STOCK[[#This Row],[Costo Unitario (USD)]]+STOCK[[#This Row],[Costo Envío (USD)]]+STOCK[[#This Row],[Comisión 10%]]</f>
        <v>0.6405</v>
      </c>
      <c r="U1680" s="53">
        <f>STOCK[[#This Row],[Costo total]]*1.5</f>
        <v>0.96075</v>
      </c>
      <c r="V1680" s="53">
        <v>6.405</v>
      </c>
      <c r="W1680" s="76">
        <f>STOCK[[#This Row],[Precio Final]]-STOCK[[#This Row],[Costo total]]</f>
        <v>5.7645</v>
      </c>
      <c r="X1680" s="76">
        <f>STOCK[[#This Row],[Ganancia Unitaria]]*STOCK[[#This Row],[Salidas]]</f>
        <v>0</v>
      </c>
      <c r="Y1680" s="76">
        <v>0</v>
      </c>
      <c r="Z1680" s="87"/>
      <c r="AA1680" s="54">
        <f>STOCK[[#This Row],[Costo total]]*STOCK[[#This Row],[Entradas]]</f>
        <v>0</v>
      </c>
      <c r="AB1680" s="54">
        <f>STOCK[[#This Row],[Stock Actual]]*STOCK[[#This Row],[Costo total]]</f>
        <v>0</v>
      </c>
      <c r="AC1680" s="76">
        <v>0</v>
      </c>
      <c r="AD1680" s="76"/>
    </row>
    <row r="1681" s="53" customFormat="1" ht="50" customHeight="1" spans="1:30">
      <c r="A1681" s="53" t="s">
        <v>3331</v>
      </c>
      <c r="B1681" s="83"/>
      <c r="C1681" s="53" t="s">
        <v>32</v>
      </c>
      <c r="D1681" s="84" t="s">
        <v>3278</v>
      </c>
      <c r="E1681" s="85" t="s">
        <v>3332</v>
      </c>
      <c r="F1681" s="85" t="s">
        <v>3333</v>
      </c>
      <c r="G1681" s="76"/>
      <c r="H1681" s="76">
        <f>STOCK[[#This Row],[Precio Final]]</f>
        <v>4.74</v>
      </c>
      <c r="I1681" s="80">
        <f>STOCK[[#This Row],[Precio Venta Ideal (x1.5)]]</f>
        <v>0.711</v>
      </c>
      <c r="J1681" s="86">
        <v>8</v>
      </c>
      <c r="K1681" s="78">
        <f>SUMIFS(VENTAS[Cantidad],VENTAS[Código del producto Vendido],STOCK[[#This Row],[Code]])</f>
        <v>0</v>
      </c>
      <c r="L1681" s="78">
        <f>STOCK[[#This Row],[Entradas]]-STOCK[[#This Row],[Salidas]]</f>
        <v>8</v>
      </c>
      <c r="M1681" s="76">
        <f>STOCK[[#This Row],[Precio Final]]*10%</f>
        <v>0.474</v>
      </c>
      <c r="N1681" s="54">
        <v>0</v>
      </c>
      <c r="O1681" s="76">
        <v>0</v>
      </c>
      <c r="P1681" s="76"/>
      <c r="Q1681" s="76">
        <v>1.61</v>
      </c>
      <c r="R1681" s="78"/>
      <c r="S1681" s="76"/>
      <c r="T1681" s="76">
        <f>STOCK[[#This Row],[Costo Unitario (USD)]]+STOCK[[#This Row],[Costo Envío (USD)]]+STOCK[[#This Row],[Comisión 10%]]</f>
        <v>0.474</v>
      </c>
      <c r="U1681" s="53">
        <f>STOCK[[#This Row],[Costo total]]*1.5</f>
        <v>0.711</v>
      </c>
      <c r="V1681" s="53">
        <v>4.74</v>
      </c>
      <c r="W1681" s="76">
        <f>STOCK[[#This Row],[Precio Final]]-STOCK[[#This Row],[Costo total]]</f>
        <v>4.266</v>
      </c>
      <c r="X1681" s="76">
        <f>STOCK[[#This Row],[Ganancia Unitaria]]*STOCK[[#This Row],[Salidas]]</f>
        <v>0</v>
      </c>
      <c r="Y1681" s="76">
        <v>0</v>
      </c>
      <c r="Z1681" s="87"/>
      <c r="AA1681" s="54">
        <f>STOCK[[#This Row],[Costo total]]*STOCK[[#This Row],[Entradas]]</f>
        <v>3.792</v>
      </c>
      <c r="AB1681" s="54">
        <f>STOCK[[#This Row],[Stock Actual]]*STOCK[[#This Row],[Costo total]]</f>
        <v>3.792</v>
      </c>
      <c r="AC1681" s="76">
        <v>25.28</v>
      </c>
      <c r="AD1681" s="76"/>
    </row>
    <row r="1682" s="53" customFormat="1" ht="50" customHeight="1" spans="1:30">
      <c r="A1682" s="53" t="s">
        <v>3334</v>
      </c>
      <c r="B1682" s="83"/>
      <c r="C1682" s="53" t="s">
        <v>32</v>
      </c>
      <c r="D1682" s="84" t="s">
        <v>3278</v>
      </c>
      <c r="E1682" s="85" t="s">
        <v>3335</v>
      </c>
      <c r="F1682" s="85" t="s">
        <v>3336</v>
      </c>
      <c r="G1682" s="76"/>
      <c r="H1682" s="76">
        <f>STOCK[[#This Row],[Precio Final]]</f>
        <v>3.6</v>
      </c>
      <c r="I1682" s="80">
        <f>STOCK[[#This Row],[Precio Venta Ideal (x1.5)]]</f>
        <v>0.54</v>
      </c>
      <c r="J1682" s="86">
        <v>5</v>
      </c>
      <c r="K1682" s="78">
        <f>SUMIFS(VENTAS[Cantidad],VENTAS[Código del producto Vendido],STOCK[[#This Row],[Code]])</f>
        <v>5</v>
      </c>
      <c r="L1682" s="78">
        <f>STOCK[[#This Row],[Entradas]]-STOCK[[#This Row],[Salidas]]</f>
        <v>0</v>
      </c>
      <c r="M1682" s="76">
        <f>STOCK[[#This Row],[Precio Final]]*10%</f>
        <v>0.36</v>
      </c>
      <c r="N1682" s="54">
        <v>0</v>
      </c>
      <c r="O1682" s="76">
        <v>0</v>
      </c>
      <c r="P1682" s="76"/>
      <c r="Q1682" s="76">
        <v>0.85</v>
      </c>
      <c r="R1682" s="78"/>
      <c r="S1682" s="76"/>
      <c r="T1682" s="76">
        <f>STOCK[[#This Row],[Costo Unitario (USD)]]+STOCK[[#This Row],[Costo Envío (USD)]]+STOCK[[#This Row],[Comisión 10%]]</f>
        <v>0.36</v>
      </c>
      <c r="U1682" s="53">
        <f>STOCK[[#This Row],[Costo total]]*1.5</f>
        <v>0.54</v>
      </c>
      <c r="V1682" s="53">
        <v>3.6</v>
      </c>
      <c r="W1682" s="76">
        <f>STOCK[[#This Row],[Precio Final]]-STOCK[[#This Row],[Costo total]]</f>
        <v>3.24</v>
      </c>
      <c r="X1682" s="76">
        <f>STOCK[[#This Row],[Ganancia Unitaria]]*STOCK[[#This Row],[Salidas]]</f>
        <v>16.2</v>
      </c>
      <c r="Y1682" s="76">
        <v>0</v>
      </c>
      <c r="Z1682" s="87"/>
      <c r="AA1682" s="54">
        <f>STOCK[[#This Row],[Costo total]]*STOCK[[#This Row],[Entradas]]</f>
        <v>1.8</v>
      </c>
      <c r="AB1682" s="54">
        <f>STOCK[[#This Row],[Stock Actual]]*STOCK[[#This Row],[Costo total]]</f>
        <v>0</v>
      </c>
      <c r="AC1682" s="76">
        <v>12</v>
      </c>
      <c r="AD1682" s="76"/>
    </row>
    <row r="1683" s="53" customFormat="1" ht="50" customHeight="1" spans="1:30">
      <c r="A1683" s="53" t="s">
        <v>3337</v>
      </c>
      <c r="B1683" s="83"/>
      <c r="C1683" s="53" t="s">
        <v>32</v>
      </c>
      <c r="D1683" s="84" t="s">
        <v>3278</v>
      </c>
      <c r="E1683" s="85" t="s">
        <v>3338</v>
      </c>
      <c r="F1683" s="85" t="s">
        <v>3339</v>
      </c>
      <c r="G1683" s="76"/>
      <c r="H1683" s="76">
        <f>STOCK[[#This Row],[Precio Final]]</f>
        <v>8.67</v>
      </c>
      <c r="I1683" s="80">
        <f>STOCK[[#This Row],[Precio Venta Ideal (x1.5)]]</f>
        <v>1.3005</v>
      </c>
      <c r="J1683" s="86">
        <v>0</v>
      </c>
      <c r="K1683" s="78">
        <f>SUMIFS(VENTAS[Cantidad],VENTAS[Código del producto Vendido],STOCK[[#This Row],[Code]])</f>
        <v>0</v>
      </c>
      <c r="L1683" s="78">
        <f>STOCK[[#This Row],[Entradas]]-STOCK[[#This Row],[Salidas]]</f>
        <v>0</v>
      </c>
      <c r="M1683" s="76">
        <f>STOCK[[#This Row],[Precio Final]]*10%</f>
        <v>0.867</v>
      </c>
      <c r="N1683" s="54">
        <v>0</v>
      </c>
      <c r="O1683" s="76">
        <v>0</v>
      </c>
      <c r="P1683" s="76"/>
      <c r="Q1683" s="76">
        <v>4.73</v>
      </c>
      <c r="R1683" s="78"/>
      <c r="S1683" s="76"/>
      <c r="T1683" s="76">
        <f>STOCK[[#This Row],[Costo Unitario (USD)]]+STOCK[[#This Row],[Costo Envío (USD)]]+STOCK[[#This Row],[Comisión 10%]]</f>
        <v>0.867</v>
      </c>
      <c r="U1683" s="53">
        <f>STOCK[[#This Row],[Costo total]]*1.5</f>
        <v>1.3005</v>
      </c>
      <c r="V1683" s="53">
        <v>8.67</v>
      </c>
      <c r="W1683" s="76">
        <f>STOCK[[#This Row],[Precio Final]]-STOCK[[#This Row],[Costo total]]</f>
        <v>7.803</v>
      </c>
      <c r="X1683" s="76">
        <f>STOCK[[#This Row],[Ganancia Unitaria]]*STOCK[[#This Row],[Salidas]]</f>
        <v>0</v>
      </c>
      <c r="Y1683" s="76">
        <v>0</v>
      </c>
      <c r="Z1683" s="87"/>
      <c r="AA1683" s="54">
        <f>STOCK[[#This Row],[Costo total]]*STOCK[[#This Row],[Entradas]]</f>
        <v>0</v>
      </c>
      <c r="AB1683" s="54">
        <f>STOCK[[#This Row],[Stock Actual]]*STOCK[[#This Row],[Costo total]]</f>
        <v>0</v>
      </c>
      <c r="AC1683" s="76">
        <v>0</v>
      </c>
      <c r="AD1683" s="76"/>
    </row>
    <row r="1684" s="53" customFormat="1" ht="50" customHeight="1" spans="1:30">
      <c r="A1684" s="53" t="s">
        <v>3340</v>
      </c>
      <c r="B1684" s="83"/>
      <c r="C1684" s="53" t="s">
        <v>32</v>
      </c>
      <c r="D1684" s="84" t="s">
        <v>3278</v>
      </c>
      <c r="E1684" s="85" t="s">
        <v>3341</v>
      </c>
      <c r="F1684" s="85" t="s">
        <v>62</v>
      </c>
      <c r="G1684" s="76"/>
      <c r="H1684" s="76">
        <f>STOCK[[#This Row],[Precio Final]]</f>
        <v>19.755</v>
      </c>
      <c r="I1684" s="80">
        <f>STOCK[[#This Row],[Precio Venta Ideal (x1.5)]]</f>
        <v>2.96325</v>
      </c>
      <c r="J1684" s="86">
        <v>1</v>
      </c>
      <c r="K1684" s="78">
        <f>SUMIFS(VENTAS[Cantidad],VENTAS[Código del producto Vendido],STOCK[[#This Row],[Code]])</f>
        <v>1</v>
      </c>
      <c r="L1684" s="78">
        <f>STOCK[[#This Row],[Entradas]]-STOCK[[#This Row],[Salidas]]</f>
        <v>0</v>
      </c>
      <c r="M1684" s="76">
        <f>STOCK[[#This Row],[Precio Final]]*10%</f>
        <v>1.9755</v>
      </c>
      <c r="N1684" s="54">
        <v>0</v>
      </c>
      <c r="O1684" s="76">
        <v>0</v>
      </c>
      <c r="P1684" s="76"/>
      <c r="Q1684" s="76">
        <v>9.62</v>
      </c>
      <c r="R1684" s="78"/>
      <c r="S1684" s="76"/>
      <c r="T1684" s="76">
        <f>STOCK[[#This Row],[Costo Unitario (USD)]]+STOCK[[#This Row],[Costo Envío (USD)]]+STOCK[[#This Row],[Comisión 10%]]</f>
        <v>1.9755</v>
      </c>
      <c r="U1684" s="53">
        <f>STOCK[[#This Row],[Costo total]]*1.5</f>
        <v>2.96325</v>
      </c>
      <c r="V1684" s="53">
        <v>19.755</v>
      </c>
      <c r="W1684" s="76">
        <f>STOCK[[#This Row],[Precio Final]]-STOCK[[#This Row],[Costo total]]</f>
        <v>17.7795</v>
      </c>
      <c r="X1684" s="76">
        <f>STOCK[[#This Row],[Ganancia Unitaria]]*STOCK[[#This Row],[Salidas]]</f>
        <v>17.7795</v>
      </c>
      <c r="Y1684" s="76">
        <v>0</v>
      </c>
      <c r="Z1684" s="87"/>
      <c r="AA1684" s="54">
        <f>STOCK[[#This Row],[Costo total]]*STOCK[[#This Row],[Entradas]]</f>
        <v>1.9755</v>
      </c>
      <c r="AB1684" s="54">
        <f>STOCK[[#This Row],[Stock Actual]]*STOCK[[#This Row],[Costo total]]</f>
        <v>0</v>
      </c>
      <c r="AC1684" s="76">
        <v>13.17</v>
      </c>
      <c r="AD1684" s="76"/>
    </row>
    <row r="1685" s="53" customFormat="1" ht="50" customHeight="1" spans="1:30">
      <c r="A1685" s="53" t="s">
        <v>3342</v>
      </c>
      <c r="B1685" s="83"/>
      <c r="C1685" s="53" t="s">
        <v>32</v>
      </c>
      <c r="D1685" s="84" t="s">
        <v>3278</v>
      </c>
      <c r="E1685" s="85" t="s">
        <v>3341</v>
      </c>
      <c r="F1685" s="85" t="s">
        <v>49</v>
      </c>
      <c r="G1685" s="76"/>
      <c r="H1685" s="76">
        <f>STOCK[[#This Row],[Precio Final]]</f>
        <v>19.755</v>
      </c>
      <c r="I1685" s="80">
        <f>STOCK[[#This Row],[Precio Venta Ideal (x1.5)]]</f>
        <v>2.96325</v>
      </c>
      <c r="J1685" s="86">
        <v>1</v>
      </c>
      <c r="K1685" s="78">
        <f>SUMIFS(VENTAS[Cantidad],VENTAS[Código del producto Vendido],STOCK[[#This Row],[Code]])</f>
        <v>1</v>
      </c>
      <c r="L1685" s="78">
        <f>STOCK[[#This Row],[Entradas]]-STOCK[[#This Row],[Salidas]]</f>
        <v>0</v>
      </c>
      <c r="M1685" s="76">
        <f>STOCK[[#This Row],[Precio Final]]*10%</f>
        <v>1.9755</v>
      </c>
      <c r="N1685" s="54">
        <v>0</v>
      </c>
      <c r="O1685" s="76">
        <v>0</v>
      </c>
      <c r="P1685" s="76"/>
      <c r="Q1685" s="76">
        <v>9.62</v>
      </c>
      <c r="R1685" s="78"/>
      <c r="S1685" s="76"/>
      <c r="T1685" s="76">
        <f>STOCK[[#This Row],[Costo Unitario (USD)]]+STOCK[[#This Row],[Costo Envío (USD)]]+STOCK[[#This Row],[Comisión 10%]]</f>
        <v>1.9755</v>
      </c>
      <c r="U1685" s="53">
        <f>STOCK[[#This Row],[Costo total]]*1.5</f>
        <v>2.96325</v>
      </c>
      <c r="V1685" s="53">
        <v>19.755</v>
      </c>
      <c r="W1685" s="76">
        <f>STOCK[[#This Row],[Precio Final]]-STOCK[[#This Row],[Costo total]]</f>
        <v>17.7795</v>
      </c>
      <c r="X1685" s="76">
        <f>STOCK[[#This Row],[Ganancia Unitaria]]*STOCK[[#This Row],[Salidas]]</f>
        <v>17.7795</v>
      </c>
      <c r="Y1685" s="76">
        <v>0</v>
      </c>
      <c r="Z1685" s="87"/>
      <c r="AA1685" s="54">
        <f>STOCK[[#This Row],[Costo total]]*STOCK[[#This Row],[Entradas]]</f>
        <v>1.9755</v>
      </c>
      <c r="AB1685" s="54">
        <f>STOCK[[#This Row],[Stock Actual]]*STOCK[[#This Row],[Costo total]]</f>
        <v>0</v>
      </c>
      <c r="AC1685" s="76">
        <v>13.17</v>
      </c>
      <c r="AD1685" s="76"/>
    </row>
    <row r="1686" s="53" customFormat="1" ht="50" customHeight="1" spans="1:30">
      <c r="A1686" s="53" t="s">
        <v>3343</v>
      </c>
      <c r="B1686" s="83"/>
      <c r="C1686" s="53" t="s">
        <v>32</v>
      </c>
      <c r="D1686" s="84" t="s">
        <v>3278</v>
      </c>
      <c r="E1686" s="85" t="s">
        <v>3344</v>
      </c>
      <c r="F1686" s="85" t="s">
        <v>49</v>
      </c>
      <c r="G1686" s="76"/>
      <c r="H1686" s="76">
        <f>STOCK[[#This Row],[Precio Final]]</f>
        <v>17.91</v>
      </c>
      <c r="I1686" s="80">
        <f>STOCK[[#This Row],[Precio Venta Ideal (x1.5)]]</f>
        <v>2.6865</v>
      </c>
      <c r="J1686" s="86">
        <v>2</v>
      </c>
      <c r="K1686" s="78">
        <f>SUMIFS(VENTAS[Cantidad],VENTAS[Código del producto Vendido],STOCK[[#This Row],[Code]])</f>
        <v>2</v>
      </c>
      <c r="L1686" s="78">
        <f>STOCK[[#This Row],[Entradas]]-STOCK[[#This Row],[Salidas]]</f>
        <v>0</v>
      </c>
      <c r="M1686" s="76">
        <f>STOCK[[#This Row],[Precio Final]]*10%</f>
        <v>1.791</v>
      </c>
      <c r="N1686" s="54">
        <v>0</v>
      </c>
      <c r="O1686" s="76">
        <v>0</v>
      </c>
      <c r="P1686" s="76"/>
      <c r="Q1686" s="76">
        <v>8.39</v>
      </c>
      <c r="R1686" s="78"/>
      <c r="S1686" s="76"/>
      <c r="T1686" s="76">
        <f>STOCK[[#This Row],[Costo Unitario (USD)]]+STOCK[[#This Row],[Costo Envío (USD)]]+STOCK[[#This Row],[Comisión 10%]]</f>
        <v>1.791</v>
      </c>
      <c r="U1686" s="53">
        <f>STOCK[[#This Row],[Costo total]]*1.5</f>
        <v>2.6865</v>
      </c>
      <c r="V1686" s="53">
        <v>17.91</v>
      </c>
      <c r="W1686" s="76">
        <f>STOCK[[#This Row],[Precio Final]]-STOCK[[#This Row],[Costo total]]</f>
        <v>16.119</v>
      </c>
      <c r="X1686" s="76">
        <f>STOCK[[#This Row],[Ganancia Unitaria]]*STOCK[[#This Row],[Salidas]]</f>
        <v>32.238</v>
      </c>
      <c r="Y1686" s="76">
        <v>0</v>
      </c>
      <c r="Z1686" s="87"/>
      <c r="AA1686" s="54">
        <f>STOCK[[#This Row],[Costo total]]*STOCK[[#This Row],[Entradas]]</f>
        <v>3.582</v>
      </c>
      <c r="AB1686" s="54">
        <f>STOCK[[#This Row],[Stock Actual]]*STOCK[[#This Row],[Costo total]]</f>
        <v>0</v>
      </c>
      <c r="AC1686" s="76">
        <v>23.88</v>
      </c>
      <c r="AD1686" s="76"/>
    </row>
    <row r="1687" s="53" customFormat="1" ht="50" customHeight="1" spans="1:30">
      <c r="A1687" s="53" t="s">
        <v>3345</v>
      </c>
      <c r="B1687" s="83"/>
      <c r="C1687" s="53" t="s">
        <v>32</v>
      </c>
      <c r="D1687" s="84" t="s">
        <v>3278</v>
      </c>
      <c r="E1687" s="85" t="s">
        <v>3344</v>
      </c>
      <c r="F1687" s="85" t="s">
        <v>46</v>
      </c>
      <c r="G1687" s="76"/>
      <c r="H1687" s="76">
        <f>STOCK[[#This Row],[Precio Final]]</f>
        <v>17.91</v>
      </c>
      <c r="I1687" s="80">
        <f>STOCK[[#This Row],[Precio Venta Ideal (x1.5)]]</f>
        <v>2.6865</v>
      </c>
      <c r="J1687" s="86">
        <v>1</v>
      </c>
      <c r="K1687" s="78">
        <f>SUMIFS(VENTAS[Cantidad],VENTAS[Código del producto Vendido],STOCK[[#This Row],[Code]])</f>
        <v>0</v>
      </c>
      <c r="L1687" s="78">
        <f>STOCK[[#This Row],[Entradas]]-STOCK[[#This Row],[Salidas]]</f>
        <v>1</v>
      </c>
      <c r="M1687" s="76">
        <f>STOCK[[#This Row],[Precio Final]]*10%</f>
        <v>1.791</v>
      </c>
      <c r="N1687" s="54">
        <v>0</v>
      </c>
      <c r="O1687" s="76">
        <v>0</v>
      </c>
      <c r="P1687" s="76"/>
      <c r="Q1687" s="76">
        <v>8.39</v>
      </c>
      <c r="R1687" s="78"/>
      <c r="S1687" s="76"/>
      <c r="T1687" s="76">
        <f>STOCK[[#This Row],[Costo Unitario (USD)]]+STOCK[[#This Row],[Costo Envío (USD)]]+STOCK[[#This Row],[Comisión 10%]]</f>
        <v>1.791</v>
      </c>
      <c r="U1687" s="53">
        <f>STOCK[[#This Row],[Costo total]]*1.5</f>
        <v>2.6865</v>
      </c>
      <c r="V1687" s="53">
        <v>17.91</v>
      </c>
      <c r="W1687" s="76">
        <f>STOCK[[#This Row],[Precio Final]]-STOCK[[#This Row],[Costo total]]</f>
        <v>16.119</v>
      </c>
      <c r="X1687" s="76">
        <f>STOCK[[#This Row],[Ganancia Unitaria]]*STOCK[[#This Row],[Salidas]]</f>
        <v>0</v>
      </c>
      <c r="Y1687" s="76">
        <v>0</v>
      </c>
      <c r="Z1687" s="87"/>
      <c r="AA1687" s="54">
        <f>STOCK[[#This Row],[Costo total]]*STOCK[[#This Row],[Entradas]]</f>
        <v>1.791</v>
      </c>
      <c r="AB1687" s="54">
        <f>STOCK[[#This Row],[Stock Actual]]*STOCK[[#This Row],[Costo total]]</f>
        <v>1.791</v>
      </c>
      <c r="AC1687" s="76">
        <v>11.94</v>
      </c>
      <c r="AD1687" s="76"/>
    </row>
    <row r="1688" s="53" customFormat="1" ht="50" customHeight="1" spans="1:30">
      <c r="A1688" s="53" t="s">
        <v>3346</v>
      </c>
      <c r="B1688" s="83"/>
      <c r="C1688" s="53" t="s">
        <v>32</v>
      </c>
      <c r="D1688" s="84" t="s">
        <v>3278</v>
      </c>
      <c r="E1688" s="85" t="s">
        <v>3347</v>
      </c>
      <c r="F1688" s="85" t="s">
        <v>62</v>
      </c>
      <c r="G1688" s="76"/>
      <c r="H1688" s="76">
        <f>STOCK[[#This Row],[Precio Final]]</f>
        <v>20.205</v>
      </c>
      <c r="I1688" s="80">
        <f>STOCK[[#This Row],[Precio Venta Ideal (x1.5)]]</f>
        <v>3.03075</v>
      </c>
      <c r="J1688" s="86">
        <v>2</v>
      </c>
      <c r="K1688" s="78">
        <f>SUMIFS(VENTAS[Cantidad],VENTAS[Código del producto Vendido],STOCK[[#This Row],[Code]])</f>
        <v>2</v>
      </c>
      <c r="L1688" s="78">
        <f>STOCK[[#This Row],[Entradas]]-STOCK[[#This Row],[Salidas]]</f>
        <v>0</v>
      </c>
      <c r="M1688" s="76">
        <f>STOCK[[#This Row],[Precio Final]]*10%</f>
        <v>2.0205</v>
      </c>
      <c r="N1688" s="54">
        <v>0</v>
      </c>
      <c r="O1688" s="76">
        <v>0</v>
      </c>
      <c r="P1688" s="76"/>
      <c r="Q1688" s="76">
        <v>9.92</v>
      </c>
      <c r="R1688" s="78"/>
      <c r="S1688" s="76"/>
      <c r="T1688" s="76">
        <f>STOCK[[#This Row],[Costo Unitario (USD)]]+STOCK[[#This Row],[Costo Envío (USD)]]+STOCK[[#This Row],[Comisión 10%]]</f>
        <v>2.0205</v>
      </c>
      <c r="U1688" s="53">
        <f>STOCK[[#This Row],[Costo total]]*1.5</f>
        <v>3.03075</v>
      </c>
      <c r="V1688" s="53">
        <v>20.205</v>
      </c>
      <c r="W1688" s="76">
        <f>STOCK[[#This Row],[Precio Final]]-STOCK[[#This Row],[Costo total]]</f>
        <v>18.1845</v>
      </c>
      <c r="X1688" s="76">
        <f>STOCK[[#This Row],[Ganancia Unitaria]]*STOCK[[#This Row],[Salidas]]</f>
        <v>36.369</v>
      </c>
      <c r="Y1688" s="76">
        <v>0</v>
      </c>
      <c r="Z1688" s="87"/>
      <c r="AA1688" s="54">
        <f>STOCK[[#This Row],[Costo total]]*STOCK[[#This Row],[Entradas]]</f>
        <v>4.041</v>
      </c>
      <c r="AB1688" s="54">
        <f>STOCK[[#This Row],[Stock Actual]]*STOCK[[#This Row],[Costo total]]</f>
        <v>0</v>
      </c>
      <c r="AC1688" s="76">
        <v>26.94</v>
      </c>
      <c r="AD1688" s="76"/>
    </row>
    <row r="1689" s="53" customFormat="1" ht="50" customHeight="1" spans="1:30">
      <c r="A1689" s="53" t="s">
        <v>3348</v>
      </c>
      <c r="B1689" s="83"/>
      <c r="C1689" s="53" t="s">
        <v>32</v>
      </c>
      <c r="D1689" s="84" t="s">
        <v>3278</v>
      </c>
      <c r="E1689" s="85" t="s">
        <v>3347</v>
      </c>
      <c r="F1689" s="85" t="s">
        <v>49</v>
      </c>
      <c r="G1689" s="76"/>
      <c r="H1689" s="76">
        <f>STOCK[[#This Row],[Precio Final]]</f>
        <v>20.205</v>
      </c>
      <c r="I1689" s="80">
        <f>STOCK[[#This Row],[Precio Venta Ideal (x1.5)]]</f>
        <v>3.03075</v>
      </c>
      <c r="J1689" s="86">
        <v>2</v>
      </c>
      <c r="K1689" s="78">
        <f>SUMIFS(VENTAS[Cantidad],VENTAS[Código del producto Vendido],STOCK[[#This Row],[Code]])</f>
        <v>2</v>
      </c>
      <c r="L1689" s="78">
        <f>STOCK[[#This Row],[Entradas]]-STOCK[[#This Row],[Salidas]]</f>
        <v>0</v>
      </c>
      <c r="M1689" s="76">
        <f>STOCK[[#This Row],[Precio Final]]*10%</f>
        <v>2.0205</v>
      </c>
      <c r="N1689" s="54">
        <v>0</v>
      </c>
      <c r="O1689" s="76">
        <v>0</v>
      </c>
      <c r="P1689" s="76"/>
      <c r="Q1689" s="76">
        <v>9.92</v>
      </c>
      <c r="R1689" s="78"/>
      <c r="S1689" s="76"/>
      <c r="T1689" s="76">
        <f>STOCK[[#This Row],[Costo Unitario (USD)]]+STOCK[[#This Row],[Costo Envío (USD)]]+STOCK[[#This Row],[Comisión 10%]]</f>
        <v>2.0205</v>
      </c>
      <c r="U1689" s="53">
        <f>STOCK[[#This Row],[Costo total]]*1.5</f>
        <v>3.03075</v>
      </c>
      <c r="V1689" s="53">
        <v>20.205</v>
      </c>
      <c r="W1689" s="76">
        <f>STOCK[[#This Row],[Precio Final]]-STOCK[[#This Row],[Costo total]]</f>
        <v>18.1845</v>
      </c>
      <c r="X1689" s="76">
        <f>STOCK[[#This Row],[Ganancia Unitaria]]*STOCK[[#This Row],[Salidas]]</f>
        <v>36.369</v>
      </c>
      <c r="Y1689" s="76">
        <v>0</v>
      </c>
      <c r="Z1689" s="87"/>
      <c r="AA1689" s="54">
        <f>STOCK[[#This Row],[Costo total]]*STOCK[[#This Row],[Entradas]]</f>
        <v>4.041</v>
      </c>
      <c r="AB1689" s="54">
        <f>STOCK[[#This Row],[Stock Actual]]*STOCK[[#This Row],[Costo total]]</f>
        <v>0</v>
      </c>
      <c r="AC1689" s="76">
        <v>26.94</v>
      </c>
      <c r="AD1689" s="76"/>
    </row>
    <row r="1690" s="53" customFormat="1" ht="50" customHeight="1" spans="1:30">
      <c r="A1690" s="53" t="s">
        <v>3349</v>
      </c>
      <c r="B1690" s="83"/>
      <c r="C1690" s="53" t="s">
        <v>32</v>
      </c>
      <c r="D1690" s="84" t="s">
        <v>3278</v>
      </c>
      <c r="E1690" s="85" t="s">
        <v>3350</v>
      </c>
      <c r="F1690" s="85" t="s">
        <v>49</v>
      </c>
      <c r="G1690" s="76"/>
      <c r="H1690" s="76">
        <f>STOCK[[#This Row],[Precio Final]]</f>
        <v>19.905</v>
      </c>
      <c r="I1690" s="80">
        <f>STOCK[[#This Row],[Precio Venta Ideal (x1.5)]]</f>
        <v>2.98575</v>
      </c>
      <c r="J1690" s="86">
        <v>2</v>
      </c>
      <c r="K1690" s="78">
        <f>SUMIFS(VENTAS[Cantidad],VENTAS[Código del producto Vendido],STOCK[[#This Row],[Code]])</f>
        <v>2</v>
      </c>
      <c r="L1690" s="78">
        <f>STOCK[[#This Row],[Entradas]]-STOCK[[#This Row],[Salidas]]</f>
        <v>0</v>
      </c>
      <c r="M1690" s="76">
        <f>STOCK[[#This Row],[Precio Final]]*10%</f>
        <v>1.9905</v>
      </c>
      <c r="N1690" s="54">
        <v>0</v>
      </c>
      <c r="O1690" s="76">
        <v>0</v>
      </c>
      <c r="P1690" s="76"/>
      <c r="Q1690" s="76">
        <v>9.72</v>
      </c>
      <c r="R1690" s="78"/>
      <c r="S1690" s="76"/>
      <c r="T1690" s="76">
        <f>STOCK[[#This Row],[Costo Unitario (USD)]]+STOCK[[#This Row],[Costo Envío (USD)]]+STOCK[[#This Row],[Comisión 10%]]</f>
        <v>1.9905</v>
      </c>
      <c r="U1690" s="53">
        <f>STOCK[[#This Row],[Costo total]]*1.5</f>
        <v>2.98575</v>
      </c>
      <c r="V1690" s="53">
        <v>19.905</v>
      </c>
      <c r="W1690" s="76">
        <f>STOCK[[#This Row],[Precio Final]]-STOCK[[#This Row],[Costo total]]</f>
        <v>17.9145</v>
      </c>
      <c r="X1690" s="76">
        <f>STOCK[[#This Row],[Ganancia Unitaria]]*STOCK[[#This Row],[Salidas]]</f>
        <v>35.829</v>
      </c>
      <c r="Y1690" s="76">
        <v>0</v>
      </c>
      <c r="Z1690" s="87"/>
      <c r="AA1690" s="54">
        <f>STOCK[[#This Row],[Costo total]]*STOCK[[#This Row],[Entradas]]</f>
        <v>3.981</v>
      </c>
      <c r="AB1690" s="54">
        <f>STOCK[[#This Row],[Stock Actual]]*STOCK[[#This Row],[Costo total]]</f>
        <v>0</v>
      </c>
      <c r="AC1690" s="76">
        <v>26.54</v>
      </c>
      <c r="AD1690" s="76"/>
    </row>
    <row r="1691" s="53" customFormat="1" ht="50" customHeight="1" spans="1:30">
      <c r="A1691" s="53" t="s">
        <v>3351</v>
      </c>
      <c r="B1691" s="83"/>
      <c r="C1691" s="53" t="s">
        <v>32</v>
      </c>
      <c r="D1691" s="84" t="s">
        <v>3278</v>
      </c>
      <c r="E1691" s="85" t="s">
        <v>3350</v>
      </c>
      <c r="F1691" s="85" t="s">
        <v>46</v>
      </c>
      <c r="G1691" s="76"/>
      <c r="H1691" s="76">
        <f>STOCK[[#This Row],[Precio Final]]</f>
        <v>19.905</v>
      </c>
      <c r="I1691" s="80">
        <f>STOCK[[#This Row],[Precio Venta Ideal (x1.5)]]</f>
        <v>2.98575</v>
      </c>
      <c r="J1691" s="86">
        <v>1</v>
      </c>
      <c r="K1691" s="78">
        <f>SUMIFS(VENTAS[Cantidad],VENTAS[Código del producto Vendido],STOCK[[#This Row],[Code]])</f>
        <v>1</v>
      </c>
      <c r="L1691" s="78">
        <f>STOCK[[#This Row],[Entradas]]-STOCK[[#This Row],[Salidas]]</f>
        <v>0</v>
      </c>
      <c r="M1691" s="76">
        <f>STOCK[[#This Row],[Precio Final]]*10%</f>
        <v>1.9905</v>
      </c>
      <c r="N1691" s="54">
        <v>0</v>
      </c>
      <c r="O1691" s="76">
        <v>0</v>
      </c>
      <c r="P1691" s="76"/>
      <c r="Q1691" s="76">
        <v>9.72</v>
      </c>
      <c r="R1691" s="78"/>
      <c r="S1691" s="76"/>
      <c r="T1691" s="76">
        <f>STOCK[[#This Row],[Costo Unitario (USD)]]+STOCK[[#This Row],[Costo Envío (USD)]]+STOCK[[#This Row],[Comisión 10%]]</f>
        <v>1.9905</v>
      </c>
      <c r="U1691" s="53">
        <f>STOCK[[#This Row],[Costo total]]*1.5</f>
        <v>2.98575</v>
      </c>
      <c r="V1691" s="53">
        <v>19.905</v>
      </c>
      <c r="W1691" s="76">
        <f>STOCK[[#This Row],[Precio Final]]-STOCK[[#This Row],[Costo total]]</f>
        <v>17.9145</v>
      </c>
      <c r="X1691" s="76">
        <f>STOCK[[#This Row],[Ganancia Unitaria]]*STOCK[[#This Row],[Salidas]]</f>
        <v>17.9145</v>
      </c>
      <c r="Y1691" s="76">
        <v>0</v>
      </c>
      <c r="Z1691" s="87"/>
      <c r="AA1691" s="54">
        <f>STOCK[[#This Row],[Costo total]]*STOCK[[#This Row],[Entradas]]</f>
        <v>1.9905</v>
      </c>
      <c r="AB1691" s="54">
        <f>STOCK[[#This Row],[Stock Actual]]*STOCK[[#This Row],[Costo total]]</f>
        <v>0</v>
      </c>
      <c r="AC1691" s="76">
        <v>13.27</v>
      </c>
      <c r="AD1691" s="76"/>
    </row>
    <row r="1692" s="53" customFormat="1" ht="50" customHeight="1" spans="1:30">
      <c r="A1692" s="53" t="s">
        <v>3352</v>
      </c>
      <c r="B1692" s="83"/>
      <c r="C1692" s="53" t="s">
        <v>32</v>
      </c>
      <c r="D1692" s="84" t="s">
        <v>3278</v>
      </c>
      <c r="E1692" s="85" t="s">
        <v>3353</v>
      </c>
      <c r="F1692" s="85" t="s">
        <v>525</v>
      </c>
      <c r="G1692" s="76"/>
      <c r="H1692" s="76">
        <f>STOCK[[#This Row],[Precio Final]]</f>
        <v>14.58</v>
      </c>
      <c r="I1692" s="80">
        <f>STOCK[[#This Row],[Precio Venta Ideal (x1.5)]]</f>
        <v>2.187</v>
      </c>
      <c r="J1692" s="86">
        <v>3</v>
      </c>
      <c r="K1692" s="78">
        <f>SUMIFS(VENTAS[Cantidad],VENTAS[Código del producto Vendido],STOCK[[#This Row],[Code]])</f>
        <v>1</v>
      </c>
      <c r="L1692" s="78">
        <f>STOCK[[#This Row],[Entradas]]-STOCK[[#This Row],[Salidas]]</f>
        <v>2</v>
      </c>
      <c r="M1692" s="76">
        <f>STOCK[[#This Row],[Precio Final]]*10%</f>
        <v>1.458</v>
      </c>
      <c r="N1692" s="54">
        <v>0</v>
      </c>
      <c r="O1692" s="76">
        <v>0</v>
      </c>
      <c r="P1692" s="76"/>
      <c r="Q1692" s="76">
        <v>6.67</v>
      </c>
      <c r="R1692" s="78"/>
      <c r="S1692" s="76"/>
      <c r="T1692" s="76">
        <f>STOCK[[#This Row],[Costo Unitario (USD)]]+STOCK[[#This Row],[Costo Envío (USD)]]+STOCK[[#This Row],[Comisión 10%]]</f>
        <v>1.458</v>
      </c>
      <c r="U1692" s="53">
        <f>STOCK[[#This Row],[Costo total]]*1.5</f>
        <v>2.187</v>
      </c>
      <c r="V1692" s="53">
        <v>14.58</v>
      </c>
      <c r="W1692" s="76">
        <f>STOCK[[#This Row],[Precio Final]]-STOCK[[#This Row],[Costo total]]</f>
        <v>13.122</v>
      </c>
      <c r="X1692" s="76">
        <f>STOCK[[#This Row],[Ganancia Unitaria]]*STOCK[[#This Row],[Salidas]]</f>
        <v>13.122</v>
      </c>
      <c r="Y1692" s="76">
        <v>0</v>
      </c>
      <c r="Z1692" s="87"/>
      <c r="AA1692" s="54">
        <f>STOCK[[#This Row],[Costo total]]*STOCK[[#This Row],[Entradas]]</f>
        <v>4.374</v>
      </c>
      <c r="AB1692" s="54">
        <f>STOCK[[#This Row],[Stock Actual]]*STOCK[[#This Row],[Costo total]]</f>
        <v>2.916</v>
      </c>
      <c r="AC1692" s="76">
        <v>29.16</v>
      </c>
      <c r="AD1692" s="76"/>
    </row>
    <row r="1693" s="53" customFormat="1" ht="50" customHeight="1" spans="1:30">
      <c r="A1693" s="53" t="s">
        <v>3354</v>
      </c>
      <c r="B1693" s="83"/>
      <c r="C1693" s="53" t="s">
        <v>32</v>
      </c>
      <c r="D1693" s="84" t="s">
        <v>3278</v>
      </c>
      <c r="E1693" s="85" t="s">
        <v>3355</v>
      </c>
      <c r="F1693" s="85" t="s">
        <v>49</v>
      </c>
      <c r="G1693" s="76"/>
      <c r="H1693" s="76">
        <f>STOCK[[#This Row],[Precio Final]]</f>
        <v>21.87</v>
      </c>
      <c r="I1693" s="80">
        <f>STOCK[[#This Row],[Precio Venta Ideal (x1.5)]]</f>
        <v>3.2805</v>
      </c>
      <c r="J1693" s="86">
        <v>2</v>
      </c>
      <c r="K1693" s="78">
        <f>SUMIFS(VENTAS[Cantidad],VENTAS[Código del producto Vendido],STOCK[[#This Row],[Code]])</f>
        <v>2</v>
      </c>
      <c r="L1693" s="78">
        <f>STOCK[[#This Row],[Entradas]]-STOCK[[#This Row],[Salidas]]</f>
        <v>0</v>
      </c>
      <c r="M1693" s="76">
        <f>STOCK[[#This Row],[Precio Final]]*10%</f>
        <v>2.187</v>
      </c>
      <c r="N1693" s="54">
        <v>0</v>
      </c>
      <c r="O1693" s="76">
        <v>0</v>
      </c>
      <c r="P1693" s="76"/>
      <c r="Q1693" s="76">
        <v>11.03</v>
      </c>
      <c r="R1693" s="78"/>
      <c r="S1693" s="76"/>
      <c r="T1693" s="76">
        <f>STOCK[[#This Row],[Costo Unitario (USD)]]+STOCK[[#This Row],[Costo Envío (USD)]]+STOCK[[#This Row],[Comisión 10%]]</f>
        <v>2.187</v>
      </c>
      <c r="U1693" s="53">
        <f>STOCK[[#This Row],[Costo total]]*1.5</f>
        <v>3.2805</v>
      </c>
      <c r="V1693" s="53">
        <v>21.87</v>
      </c>
      <c r="W1693" s="76">
        <f>STOCK[[#This Row],[Precio Final]]-STOCK[[#This Row],[Costo total]]</f>
        <v>19.683</v>
      </c>
      <c r="X1693" s="76">
        <f>STOCK[[#This Row],[Ganancia Unitaria]]*STOCK[[#This Row],[Salidas]]</f>
        <v>39.366</v>
      </c>
      <c r="Y1693" s="76">
        <v>0</v>
      </c>
      <c r="Z1693" s="87"/>
      <c r="AA1693" s="54">
        <f>STOCK[[#This Row],[Costo total]]*STOCK[[#This Row],[Entradas]]</f>
        <v>4.374</v>
      </c>
      <c r="AB1693" s="54">
        <f>STOCK[[#This Row],[Stock Actual]]*STOCK[[#This Row],[Costo total]]</f>
        <v>0</v>
      </c>
      <c r="AC1693" s="76">
        <v>29.16</v>
      </c>
      <c r="AD1693" s="76"/>
    </row>
    <row r="1694" s="53" customFormat="1" ht="50" customHeight="1" spans="1:30">
      <c r="A1694" s="53" t="s">
        <v>3356</v>
      </c>
      <c r="B1694" s="83"/>
      <c r="C1694" s="53" t="s">
        <v>32</v>
      </c>
      <c r="D1694" s="84" t="s">
        <v>3278</v>
      </c>
      <c r="E1694" s="85" t="s">
        <v>3355</v>
      </c>
      <c r="F1694" s="85" t="s">
        <v>46</v>
      </c>
      <c r="G1694" s="76"/>
      <c r="H1694" s="76">
        <f>STOCK[[#This Row],[Precio Final]]</f>
        <v>21.87</v>
      </c>
      <c r="I1694" s="80">
        <f>STOCK[[#This Row],[Precio Venta Ideal (x1.5)]]</f>
        <v>3.2805</v>
      </c>
      <c r="J1694" s="86">
        <v>1</v>
      </c>
      <c r="K1694" s="78">
        <f>SUMIFS(VENTAS[Cantidad],VENTAS[Código del producto Vendido],STOCK[[#This Row],[Code]])</f>
        <v>1</v>
      </c>
      <c r="L1694" s="78">
        <f>STOCK[[#This Row],[Entradas]]-STOCK[[#This Row],[Salidas]]</f>
        <v>0</v>
      </c>
      <c r="M1694" s="76">
        <f>STOCK[[#This Row],[Precio Final]]*10%</f>
        <v>2.187</v>
      </c>
      <c r="N1694" s="54">
        <v>0</v>
      </c>
      <c r="O1694" s="76">
        <v>0</v>
      </c>
      <c r="P1694" s="76"/>
      <c r="Q1694" s="76">
        <v>11.03</v>
      </c>
      <c r="R1694" s="78"/>
      <c r="S1694" s="76"/>
      <c r="T1694" s="76">
        <f>STOCK[[#This Row],[Costo Unitario (USD)]]+STOCK[[#This Row],[Costo Envío (USD)]]+STOCK[[#This Row],[Comisión 10%]]</f>
        <v>2.187</v>
      </c>
      <c r="U1694" s="53">
        <f>STOCK[[#This Row],[Costo total]]*1.5</f>
        <v>3.2805</v>
      </c>
      <c r="V1694" s="53">
        <v>21.87</v>
      </c>
      <c r="W1694" s="76">
        <f>STOCK[[#This Row],[Precio Final]]-STOCK[[#This Row],[Costo total]]</f>
        <v>19.683</v>
      </c>
      <c r="X1694" s="76">
        <f>STOCK[[#This Row],[Ganancia Unitaria]]*STOCK[[#This Row],[Salidas]]</f>
        <v>19.683</v>
      </c>
      <c r="Y1694" s="76">
        <v>0</v>
      </c>
      <c r="Z1694" s="87"/>
      <c r="AA1694" s="54">
        <f>STOCK[[#This Row],[Costo total]]*STOCK[[#This Row],[Entradas]]</f>
        <v>2.187</v>
      </c>
      <c r="AB1694" s="54">
        <f>STOCK[[#This Row],[Stock Actual]]*STOCK[[#This Row],[Costo total]]</f>
        <v>0</v>
      </c>
      <c r="AC1694" s="76">
        <v>14.58</v>
      </c>
      <c r="AD1694" s="76"/>
    </row>
    <row r="1695" s="53" customFormat="1" ht="50" customHeight="1" spans="1:30">
      <c r="A1695" s="53" t="s">
        <v>3357</v>
      </c>
      <c r="B1695" s="83"/>
      <c r="C1695" s="53" t="s">
        <v>32</v>
      </c>
      <c r="D1695" s="84" t="s">
        <v>3278</v>
      </c>
      <c r="E1695" s="85" t="s">
        <v>3358</v>
      </c>
      <c r="F1695" s="85" t="s">
        <v>525</v>
      </c>
      <c r="G1695" s="76"/>
      <c r="H1695" s="76">
        <f>STOCK[[#This Row],[Precio Final]]</f>
        <v>10.695</v>
      </c>
      <c r="I1695" s="80">
        <f>STOCK[[#This Row],[Precio Venta Ideal (x1.5)]]</f>
        <v>1.60425</v>
      </c>
      <c r="J1695" s="86">
        <v>4</v>
      </c>
      <c r="K1695" s="78">
        <f>SUMIFS(VENTAS[Cantidad],VENTAS[Código del producto Vendido],STOCK[[#This Row],[Code]])</f>
        <v>3</v>
      </c>
      <c r="L1695" s="78">
        <f>STOCK[[#This Row],[Entradas]]-STOCK[[#This Row],[Salidas]]</f>
        <v>1</v>
      </c>
      <c r="M1695" s="76">
        <f>STOCK[[#This Row],[Precio Final]]*10%</f>
        <v>1.0695</v>
      </c>
      <c r="N1695" s="54">
        <v>0</v>
      </c>
      <c r="O1695" s="76">
        <v>0</v>
      </c>
      <c r="P1695" s="76"/>
      <c r="Q1695" s="76">
        <v>4.58</v>
      </c>
      <c r="R1695" s="78"/>
      <c r="S1695" s="76"/>
      <c r="T1695" s="76">
        <f>STOCK[[#This Row],[Costo Unitario (USD)]]+STOCK[[#This Row],[Costo Envío (USD)]]+STOCK[[#This Row],[Comisión 10%]]</f>
        <v>1.0695</v>
      </c>
      <c r="U1695" s="53">
        <f>STOCK[[#This Row],[Costo total]]*1.5</f>
        <v>1.60425</v>
      </c>
      <c r="V1695" s="53">
        <v>10.695</v>
      </c>
      <c r="W1695" s="76">
        <f>STOCK[[#This Row],[Precio Final]]-STOCK[[#This Row],[Costo total]]</f>
        <v>9.6255</v>
      </c>
      <c r="X1695" s="76">
        <f>STOCK[[#This Row],[Ganancia Unitaria]]*STOCK[[#This Row],[Salidas]]</f>
        <v>28.8765</v>
      </c>
      <c r="Y1695" s="76">
        <v>0</v>
      </c>
      <c r="Z1695" s="87"/>
      <c r="AA1695" s="54">
        <f>STOCK[[#This Row],[Costo total]]*STOCK[[#This Row],[Entradas]]</f>
        <v>4.278</v>
      </c>
      <c r="AB1695" s="54">
        <f>STOCK[[#This Row],[Stock Actual]]*STOCK[[#This Row],[Costo total]]</f>
        <v>1.0695</v>
      </c>
      <c r="AC1695" s="76">
        <v>28.52</v>
      </c>
      <c r="AD1695" s="76"/>
    </row>
    <row r="1696" s="53" customFormat="1" ht="50" customHeight="1" spans="1:30">
      <c r="A1696" s="53" t="s">
        <v>3359</v>
      </c>
      <c r="B1696" s="83"/>
      <c r="C1696" s="53" t="s">
        <v>32</v>
      </c>
      <c r="D1696" s="84" t="s">
        <v>3278</v>
      </c>
      <c r="E1696" s="85" t="s">
        <v>3360</v>
      </c>
      <c r="F1696" s="85" t="s">
        <v>3361</v>
      </c>
      <c r="G1696" s="76"/>
      <c r="H1696" s="76">
        <f>STOCK[[#This Row],[Precio Final]]</f>
        <v>15.375</v>
      </c>
      <c r="I1696" s="80">
        <f>STOCK[[#This Row],[Precio Venta Ideal (x1.5)]]</f>
        <v>2.30625</v>
      </c>
      <c r="J1696" s="86">
        <v>4</v>
      </c>
      <c r="K1696" s="78">
        <f>SUMIFS(VENTAS[Cantidad],VENTAS[Código del producto Vendido],STOCK[[#This Row],[Code]])</f>
        <v>4</v>
      </c>
      <c r="L1696" s="78">
        <f>STOCK[[#This Row],[Entradas]]-STOCK[[#This Row],[Salidas]]</f>
        <v>0</v>
      </c>
      <c r="M1696" s="76">
        <f>STOCK[[#This Row],[Precio Final]]*10%</f>
        <v>1.5375</v>
      </c>
      <c r="N1696" s="54">
        <v>0</v>
      </c>
      <c r="O1696" s="76">
        <v>0</v>
      </c>
      <c r="P1696" s="76"/>
      <c r="Q1696" s="76">
        <v>7.2</v>
      </c>
      <c r="R1696" s="78"/>
      <c r="S1696" s="76"/>
      <c r="T1696" s="76">
        <f>STOCK[[#This Row],[Costo Unitario (USD)]]+STOCK[[#This Row],[Costo Envío (USD)]]+STOCK[[#This Row],[Comisión 10%]]</f>
        <v>1.5375</v>
      </c>
      <c r="U1696" s="53">
        <f>STOCK[[#This Row],[Costo total]]*1.5</f>
        <v>2.30625</v>
      </c>
      <c r="V1696" s="53">
        <v>15.375</v>
      </c>
      <c r="W1696" s="76">
        <f>STOCK[[#This Row],[Precio Final]]-STOCK[[#This Row],[Costo total]]</f>
        <v>13.8375</v>
      </c>
      <c r="X1696" s="76">
        <f>STOCK[[#This Row],[Ganancia Unitaria]]*STOCK[[#This Row],[Salidas]]</f>
        <v>55.35</v>
      </c>
      <c r="Y1696" s="76">
        <v>0</v>
      </c>
      <c r="Z1696" s="87"/>
      <c r="AA1696" s="54">
        <f>STOCK[[#This Row],[Costo total]]*STOCK[[#This Row],[Entradas]]</f>
        <v>6.15</v>
      </c>
      <c r="AB1696" s="54">
        <f>STOCK[[#This Row],[Stock Actual]]*STOCK[[#This Row],[Costo total]]</f>
        <v>0</v>
      </c>
      <c r="AC1696" s="76">
        <v>41</v>
      </c>
      <c r="AD1696" s="76"/>
    </row>
    <row r="1697" s="53" customFormat="1" ht="50" customHeight="1" spans="1:30">
      <c r="A1697" s="53" t="s">
        <v>3362</v>
      </c>
      <c r="B1697" s="83"/>
      <c r="C1697" s="53" t="s">
        <v>32</v>
      </c>
      <c r="D1697" s="84" t="s">
        <v>3278</v>
      </c>
      <c r="E1697" s="85" t="s">
        <v>3363</v>
      </c>
      <c r="F1697" s="85" t="s">
        <v>525</v>
      </c>
      <c r="G1697" s="76"/>
      <c r="H1697" s="76">
        <f>STOCK[[#This Row],[Precio Final]]</f>
        <v>13.68</v>
      </c>
      <c r="I1697" s="80">
        <f>STOCK[[#This Row],[Precio Venta Ideal (x1.5)]]</f>
        <v>2.052</v>
      </c>
      <c r="J1697" s="86">
        <v>5</v>
      </c>
      <c r="K1697" s="78">
        <f>SUMIFS(VENTAS[Cantidad],VENTAS[Código del producto Vendido],STOCK[[#This Row],[Code]])</f>
        <v>5</v>
      </c>
      <c r="L1697" s="78">
        <f>STOCK[[#This Row],[Entradas]]-STOCK[[#This Row],[Salidas]]</f>
        <v>0</v>
      </c>
      <c r="M1697" s="76">
        <f>STOCK[[#This Row],[Precio Final]]*10%</f>
        <v>1.368</v>
      </c>
      <c r="N1697" s="54">
        <v>0</v>
      </c>
      <c r="O1697" s="76">
        <v>0</v>
      </c>
      <c r="P1697" s="76"/>
      <c r="Q1697" s="76">
        <v>6.07</v>
      </c>
      <c r="R1697" s="78"/>
      <c r="S1697" s="76"/>
      <c r="T1697" s="76">
        <f>STOCK[[#This Row],[Costo Unitario (USD)]]+STOCK[[#This Row],[Costo Envío (USD)]]+STOCK[[#This Row],[Comisión 10%]]</f>
        <v>1.368</v>
      </c>
      <c r="U1697" s="53">
        <f>STOCK[[#This Row],[Costo total]]*1.5</f>
        <v>2.052</v>
      </c>
      <c r="V1697" s="53">
        <v>13.68</v>
      </c>
      <c r="W1697" s="76">
        <f>STOCK[[#This Row],[Precio Final]]-STOCK[[#This Row],[Costo total]]</f>
        <v>12.312</v>
      </c>
      <c r="X1697" s="76">
        <f>STOCK[[#This Row],[Ganancia Unitaria]]*STOCK[[#This Row],[Salidas]]</f>
        <v>61.56</v>
      </c>
      <c r="Y1697" s="76">
        <v>0</v>
      </c>
      <c r="Z1697" s="87"/>
      <c r="AA1697" s="54">
        <f>STOCK[[#This Row],[Costo total]]*STOCK[[#This Row],[Entradas]]</f>
        <v>6.84</v>
      </c>
      <c r="AB1697" s="54">
        <f>STOCK[[#This Row],[Stock Actual]]*STOCK[[#This Row],[Costo total]]</f>
        <v>0</v>
      </c>
      <c r="AC1697" s="76">
        <v>45.6</v>
      </c>
      <c r="AD1697" s="76"/>
    </row>
    <row r="1698" s="53" customFormat="1" ht="50" customHeight="1" spans="1:30">
      <c r="A1698" s="53" t="s">
        <v>3364</v>
      </c>
      <c r="B1698" s="83"/>
      <c r="C1698" s="53" t="s">
        <v>32</v>
      </c>
      <c r="D1698" s="84" t="s">
        <v>3278</v>
      </c>
      <c r="E1698" s="85" t="s">
        <v>3365</v>
      </c>
      <c r="F1698" s="85" t="s">
        <v>525</v>
      </c>
      <c r="G1698" s="76"/>
      <c r="H1698" s="76">
        <f>STOCK[[#This Row],[Precio Final]]</f>
        <v>7.575</v>
      </c>
      <c r="I1698" s="80">
        <f>STOCK[[#This Row],[Precio Venta Ideal (x1.5)]]</f>
        <v>1.13625</v>
      </c>
      <c r="J1698" s="86">
        <v>7</v>
      </c>
      <c r="K1698" s="78">
        <f>SUMIFS(VENTAS[Cantidad],VENTAS[Código del producto Vendido],STOCK[[#This Row],[Code]])</f>
        <v>7</v>
      </c>
      <c r="L1698" s="78">
        <f>STOCK[[#This Row],[Entradas]]-STOCK[[#This Row],[Salidas]]</f>
        <v>0</v>
      </c>
      <c r="M1698" s="76">
        <f>STOCK[[#This Row],[Precio Final]]*10%</f>
        <v>0.7575</v>
      </c>
      <c r="N1698" s="54">
        <v>0</v>
      </c>
      <c r="O1698" s="76">
        <v>0</v>
      </c>
      <c r="P1698" s="76"/>
      <c r="Q1698" s="76">
        <v>3.2</v>
      </c>
      <c r="R1698" s="78"/>
      <c r="S1698" s="76"/>
      <c r="T1698" s="76">
        <f>STOCK[[#This Row],[Costo Unitario (USD)]]+STOCK[[#This Row],[Costo Envío (USD)]]+STOCK[[#This Row],[Comisión 10%]]</f>
        <v>0.7575</v>
      </c>
      <c r="U1698" s="53">
        <f>STOCK[[#This Row],[Costo total]]*1.5</f>
        <v>1.13625</v>
      </c>
      <c r="V1698" s="53">
        <v>7.575</v>
      </c>
      <c r="W1698" s="76">
        <f>STOCK[[#This Row],[Precio Final]]-STOCK[[#This Row],[Costo total]]</f>
        <v>6.8175</v>
      </c>
      <c r="X1698" s="76">
        <f>STOCK[[#This Row],[Ganancia Unitaria]]*STOCK[[#This Row],[Salidas]]</f>
        <v>47.7225</v>
      </c>
      <c r="Y1698" s="76">
        <v>2.95</v>
      </c>
      <c r="Z1698" s="87"/>
      <c r="AA1698" s="54">
        <f>STOCK[[#This Row],[Costo total]]*STOCK[[#This Row],[Entradas]]</f>
        <v>5.3025</v>
      </c>
      <c r="AB1698" s="54">
        <f>STOCK[[#This Row],[Stock Actual]]*STOCK[[#This Row],[Costo total]]</f>
        <v>0</v>
      </c>
      <c r="AC1698" s="76">
        <v>25.25</v>
      </c>
      <c r="AD1698" s="76"/>
    </row>
    <row r="1699" s="53" customFormat="1" ht="50" customHeight="1" spans="1:30">
      <c r="A1699" s="53" t="s">
        <v>3366</v>
      </c>
      <c r="B1699" s="83"/>
      <c r="C1699" s="53" t="s">
        <v>32</v>
      </c>
      <c r="D1699" s="84" t="s">
        <v>3278</v>
      </c>
      <c r="E1699" s="85" t="s">
        <v>3367</v>
      </c>
      <c r="F1699" s="85" t="s">
        <v>525</v>
      </c>
      <c r="G1699" s="76"/>
      <c r="H1699" s="76">
        <f>STOCK[[#This Row],[Precio Final]]</f>
        <v>10.8</v>
      </c>
      <c r="I1699" s="80">
        <f>STOCK[[#This Row],[Precio Venta Ideal (x1.5)]]</f>
        <v>1.62</v>
      </c>
      <c r="J1699" s="86">
        <v>5</v>
      </c>
      <c r="K1699" s="78">
        <f>SUMIFS(VENTAS[Cantidad],VENTAS[Código del producto Vendido],STOCK[[#This Row],[Code]])</f>
        <v>0</v>
      </c>
      <c r="L1699" s="78">
        <f>STOCK[[#This Row],[Entradas]]-STOCK[[#This Row],[Salidas]]</f>
        <v>5</v>
      </c>
      <c r="M1699" s="76">
        <f>STOCK[[#This Row],[Precio Final]]*10%</f>
        <v>1.08</v>
      </c>
      <c r="N1699" s="54">
        <v>0</v>
      </c>
      <c r="O1699" s="76">
        <v>0</v>
      </c>
      <c r="P1699" s="76"/>
      <c r="Q1699" s="76">
        <v>4.35</v>
      </c>
      <c r="R1699" s="78"/>
      <c r="S1699" s="76"/>
      <c r="T1699" s="76">
        <f>STOCK[[#This Row],[Costo Unitario (USD)]]+STOCK[[#This Row],[Costo Envío (USD)]]+STOCK[[#This Row],[Comisión 10%]]</f>
        <v>1.08</v>
      </c>
      <c r="U1699" s="53">
        <f>STOCK[[#This Row],[Costo total]]*1.5</f>
        <v>1.62</v>
      </c>
      <c r="V1699" s="53">
        <v>10.8</v>
      </c>
      <c r="W1699" s="76">
        <f>STOCK[[#This Row],[Precio Final]]-STOCK[[#This Row],[Costo total]]</f>
        <v>9.72</v>
      </c>
      <c r="X1699" s="76">
        <f>STOCK[[#This Row],[Ganancia Unitaria]]*STOCK[[#This Row],[Salidas]]</f>
        <v>0</v>
      </c>
      <c r="Y1699" s="76">
        <v>0</v>
      </c>
      <c r="Z1699" s="87"/>
      <c r="AA1699" s="54">
        <f>STOCK[[#This Row],[Costo total]]*STOCK[[#This Row],[Entradas]]</f>
        <v>5.4</v>
      </c>
      <c r="AB1699" s="54">
        <f>STOCK[[#This Row],[Stock Actual]]*STOCK[[#This Row],[Costo total]]</f>
        <v>5.4</v>
      </c>
      <c r="AC1699" s="76">
        <v>36</v>
      </c>
      <c r="AD1699" s="76"/>
    </row>
    <row r="1700" s="53" customFormat="1" ht="50" customHeight="1" spans="1:30">
      <c r="A1700" s="53" t="s">
        <v>3368</v>
      </c>
      <c r="B1700" s="83"/>
      <c r="C1700" s="53" t="s">
        <v>32</v>
      </c>
      <c r="D1700" s="84" t="s">
        <v>3278</v>
      </c>
      <c r="E1700" s="85" t="s">
        <v>3369</v>
      </c>
      <c r="F1700" s="85" t="s">
        <v>525</v>
      </c>
      <c r="G1700" s="76"/>
      <c r="H1700" s="76">
        <f>STOCK[[#This Row],[Precio Final]]</f>
        <v>14.295</v>
      </c>
      <c r="I1700" s="80">
        <f>STOCK[[#This Row],[Precio Venta Ideal (x1.5)]]</f>
        <v>2.14425</v>
      </c>
      <c r="J1700" s="86">
        <v>5</v>
      </c>
      <c r="K1700" s="78">
        <f>SUMIFS(VENTAS[Cantidad],VENTAS[Código del producto Vendido],STOCK[[#This Row],[Code]])</f>
        <v>0</v>
      </c>
      <c r="L1700" s="78">
        <f>STOCK[[#This Row],[Entradas]]-STOCK[[#This Row],[Salidas]]</f>
        <v>5</v>
      </c>
      <c r="M1700" s="76">
        <f>STOCK[[#This Row],[Precio Final]]*10%</f>
        <v>1.4295</v>
      </c>
      <c r="N1700" s="54">
        <v>0</v>
      </c>
      <c r="O1700" s="76">
        <v>0</v>
      </c>
      <c r="P1700" s="76"/>
      <c r="Q1700" s="76">
        <v>6.48</v>
      </c>
      <c r="R1700" s="78"/>
      <c r="S1700" s="76"/>
      <c r="T1700" s="76">
        <f>STOCK[[#This Row],[Costo Unitario (USD)]]+STOCK[[#This Row],[Costo Envío (USD)]]+STOCK[[#This Row],[Comisión 10%]]</f>
        <v>1.4295</v>
      </c>
      <c r="U1700" s="53">
        <f>STOCK[[#This Row],[Costo total]]*1.5</f>
        <v>2.14425</v>
      </c>
      <c r="V1700" s="53">
        <v>14.295</v>
      </c>
      <c r="W1700" s="76">
        <f>STOCK[[#This Row],[Precio Final]]-STOCK[[#This Row],[Costo total]]</f>
        <v>12.8655</v>
      </c>
      <c r="X1700" s="76">
        <f>STOCK[[#This Row],[Ganancia Unitaria]]*STOCK[[#This Row],[Salidas]]</f>
        <v>0</v>
      </c>
      <c r="Y1700" s="76">
        <v>0</v>
      </c>
      <c r="Z1700" s="87"/>
      <c r="AA1700" s="54">
        <f>STOCK[[#This Row],[Costo total]]*STOCK[[#This Row],[Entradas]]</f>
        <v>7.1475</v>
      </c>
      <c r="AB1700" s="54">
        <f>STOCK[[#This Row],[Stock Actual]]*STOCK[[#This Row],[Costo total]]</f>
        <v>7.1475</v>
      </c>
      <c r="AC1700" s="76">
        <v>47.65</v>
      </c>
      <c r="AD1700" s="76"/>
    </row>
    <row r="1701" s="53" customFormat="1" ht="50" customHeight="1" spans="1:30">
      <c r="A1701" s="53" t="s">
        <v>3370</v>
      </c>
      <c r="B1701" s="83"/>
      <c r="C1701" s="53" t="s">
        <v>32</v>
      </c>
      <c r="D1701" s="84" t="s">
        <v>3278</v>
      </c>
      <c r="E1701" s="85" t="s">
        <v>3355</v>
      </c>
      <c r="F1701" s="85" t="s">
        <v>62</v>
      </c>
      <c r="G1701" s="76"/>
      <c r="H1701" s="76">
        <f>STOCK[[#This Row],[Precio Final]]</f>
        <v>21.87</v>
      </c>
      <c r="I1701" s="80">
        <f>STOCK[[#This Row],[Precio Venta Ideal (x1.5)]]</f>
        <v>3.2805</v>
      </c>
      <c r="J1701" s="86">
        <v>2</v>
      </c>
      <c r="K1701" s="78">
        <f>SUMIFS(VENTAS[Cantidad],VENTAS[Código del producto Vendido],STOCK[[#This Row],[Code]])</f>
        <v>2</v>
      </c>
      <c r="L1701" s="78">
        <f>STOCK[[#This Row],[Entradas]]-STOCK[[#This Row],[Salidas]]</f>
        <v>0</v>
      </c>
      <c r="M1701" s="76">
        <f>STOCK[[#This Row],[Precio Final]]*10%</f>
        <v>2.187</v>
      </c>
      <c r="N1701" s="54">
        <v>0</v>
      </c>
      <c r="O1701" s="76">
        <v>0</v>
      </c>
      <c r="P1701" s="76"/>
      <c r="Q1701" s="76">
        <v>11.03</v>
      </c>
      <c r="R1701" s="78"/>
      <c r="S1701" s="76"/>
      <c r="T1701" s="76">
        <f>STOCK[[#This Row],[Costo Unitario (USD)]]+STOCK[[#This Row],[Costo Envío (USD)]]+STOCK[[#This Row],[Comisión 10%]]</f>
        <v>2.187</v>
      </c>
      <c r="U1701" s="53">
        <f>STOCK[[#This Row],[Costo total]]*1.5</f>
        <v>3.2805</v>
      </c>
      <c r="V1701" s="53">
        <v>21.87</v>
      </c>
      <c r="W1701" s="76">
        <f>STOCK[[#This Row],[Precio Final]]-STOCK[[#This Row],[Costo total]]</f>
        <v>19.683</v>
      </c>
      <c r="X1701" s="76">
        <f>STOCK[[#This Row],[Ganancia Unitaria]]*STOCK[[#This Row],[Salidas]]</f>
        <v>39.366</v>
      </c>
      <c r="Y1701" s="76">
        <v>0</v>
      </c>
      <c r="Z1701" s="87"/>
      <c r="AA1701" s="54">
        <f>STOCK[[#This Row],[Costo total]]*STOCK[[#This Row],[Entradas]]</f>
        <v>4.374</v>
      </c>
      <c r="AB1701" s="54">
        <f>STOCK[[#This Row],[Stock Actual]]*STOCK[[#This Row],[Costo total]]</f>
        <v>0</v>
      </c>
      <c r="AC1701" s="76">
        <v>29.16</v>
      </c>
      <c r="AD1701" s="76"/>
    </row>
    <row r="1702" s="53" customFormat="1" ht="50" customHeight="1" spans="1:30">
      <c r="A1702" s="53" t="s">
        <v>3371</v>
      </c>
      <c r="B1702" s="83"/>
      <c r="C1702" s="53" t="s">
        <v>32</v>
      </c>
      <c r="D1702" s="84" t="s">
        <v>3278</v>
      </c>
      <c r="E1702" s="85" t="s">
        <v>3335</v>
      </c>
      <c r="F1702" s="85" t="s">
        <v>3372</v>
      </c>
      <c r="G1702" s="76"/>
      <c r="H1702" s="76">
        <f>STOCK[[#This Row],[Precio Final]]</f>
        <v>3.6</v>
      </c>
      <c r="I1702" s="80">
        <f>STOCK[[#This Row],[Precio Venta Ideal (x1.5)]]</f>
        <v>0.54</v>
      </c>
      <c r="J1702" s="86">
        <v>5</v>
      </c>
      <c r="K1702" s="78">
        <f>SUMIFS(VENTAS[Cantidad],VENTAS[Código del producto Vendido],STOCK[[#This Row],[Code]])</f>
        <v>3</v>
      </c>
      <c r="L1702" s="78">
        <f>STOCK[[#This Row],[Entradas]]-STOCK[[#This Row],[Salidas]]</f>
        <v>2</v>
      </c>
      <c r="M1702" s="76">
        <f>STOCK[[#This Row],[Precio Final]]*10%</f>
        <v>0.36</v>
      </c>
      <c r="N1702" s="54">
        <v>0</v>
      </c>
      <c r="O1702" s="76">
        <v>0</v>
      </c>
      <c r="P1702" s="76"/>
      <c r="Q1702" s="76">
        <v>0.85</v>
      </c>
      <c r="R1702" s="78"/>
      <c r="S1702" s="76"/>
      <c r="T1702" s="76">
        <f>STOCK[[#This Row],[Costo Unitario (USD)]]+STOCK[[#This Row],[Costo Envío (USD)]]+STOCK[[#This Row],[Comisión 10%]]</f>
        <v>0.36</v>
      </c>
      <c r="U1702" s="53">
        <f>STOCK[[#This Row],[Costo total]]*1.5</f>
        <v>0.54</v>
      </c>
      <c r="V1702" s="53">
        <v>3.6</v>
      </c>
      <c r="W1702" s="76">
        <f>STOCK[[#This Row],[Precio Final]]-STOCK[[#This Row],[Costo total]]</f>
        <v>3.24</v>
      </c>
      <c r="X1702" s="76">
        <f>STOCK[[#This Row],[Ganancia Unitaria]]*STOCK[[#This Row],[Salidas]]</f>
        <v>9.72</v>
      </c>
      <c r="Y1702" s="76">
        <v>0</v>
      </c>
      <c r="Z1702" s="87"/>
      <c r="AA1702" s="54">
        <f>STOCK[[#This Row],[Costo total]]*STOCK[[#This Row],[Entradas]]</f>
        <v>1.8</v>
      </c>
      <c r="AB1702" s="54">
        <f>STOCK[[#This Row],[Stock Actual]]*STOCK[[#This Row],[Costo total]]</f>
        <v>0.72</v>
      </c>
      <c r="AC1702" s="76">
        <v>12</v>
      </c>
      <c r="AD1702" s="76"/>
    </row>
    <row r="1703" s="53" customFormat="1" ht="50" customHeight="1" spans="1:30">
      <c r="A1703" s="53" t="s">
        <v>3373</v>
      </c>
      <c r="B1703" s="83"/>
      <c r="C1703" s="53" t="s">
        <v>32</v>
      </c>
      <c r="D1703" s="84" t="s">
        <v>3278</v>
      </c>
      <c r="E1703" s="85" t="s">
        <v>3374</v>
      </c>
      <c r="F1703" s="85" t="s">
        <v>3375</v>
      </c>
      <c r="G1703" s="85" t="s">
        <v>3375</v>
      </c>
      <c r="H1703" s="76">
        <f>STOCK[[#This Row],[Precio Final]]</f>
        <v>8.895</v>
      </c>
      <c r="I1703" s="80">
        <f>STOCK[[#This Row],[Precio Venta Ideal (x1.5)]]</f>
        <v>1.33425</v>
      </c>
      <c r="J1703" s="86">
        <v>3</v>
      </c>
      <c r="K1703" s="78">
        <f>SUMIFS(VENTAS[Cantidad],VENTAS[Código del producto Vendido],STOCK[[#This Row],[Code]])</f>
        <v>0</v>
      </c>
      <c r="L1703" s="78">
        <f>STOCK[[#This Row],[Entradas]]-STOCK[[#This Row],[Salidas]]</f>
        <v>3</v>
      </c>
      <c r="M1703" s="76">
        <f>STOCK[[#This Row],[Precio Final]]*10%</f>
        <v>0.8895</v>
      </c>
      <c r="N1703" s="54">
        <v>0</v>
      </c>
      <c r="O1703" s="76">
        <v>0</v>
      </c>
      <c r="P1703" s="76"/>
      <c r="Q1703" s="76">
        <v>3.68</v>
      </c>
      <c r="R1703" s="78"/>
      <c r="S1703" s="76"/>
      <c r="T1703" s="76">
        <f>STOCK[[#This Row],[Costo Unitario (USD)]]+STOCK[[#This Row],[Costo Envío (USD)]]+STOCK[[#This Row],[Comisión 10%]]</f>
        <v>0.8895</v>
      </c>
      <c r="U1703" s="53">
        <f>STOCK[[#This Row],[Costo total]]*1.5</f>
        <v>1.33425</v>
      </c>
      <c r="V1703" s="53">
        <v>8.895</v>
      </c>
      <c r="W1703" s="76">
        <f>STOCK[[#This Row],[Precio Final]]-STOCK[[#This Row],[Costo total]]</f>
        <v>8.0055</v>
      </c>
      <c r="X1703" s="76">
        <f>STOCK[[#This Row],[Ganancia Unitaria]]*STOCK[[#This Row],[Salidas]]</f>
        <v>0</v>
      </c>
      <c r="Y1703" s="76">
        <v>0</v>
      </c>
      <c r="Z1703" s="87"/>
      <c r="AA1703" s="54">
        <f>STOCK[[#This Row],[Costo total]]*STOCK[[#This Row],[Entradas]]</f>
        <v>2.6685</v>
      </c>
      <c r="AB1703" s="54">
        <f>STOCK[[#This Row],[Stock Actual]]*STOCK[[#This Row],[Costo total]]</f>
        <v>2.6685</v>
      </c>
      <c r="AC1703" s="76">
        <v>17.79</v>
      </c>
      <c r="AD1703" s="76"/>
    </row>
    <row r="1704" s="53" customFormat="1" ht="50" customHeight="1" spans="1:30">
      <c r="A1704" s="53" t="s">
        <v>3376</v>
      </c>
      <c r="B1704" s="83"/>
      <c r="C1704" s="53" t="s">
        <v>32</v>
      </c>
      <c r="D1704" s="84" t="s">
        <v>3278</v>
      </c>
      <c r="E1704" s="85" t="s">
        <v>3377</v>
      </c>
      <c r="F1704" s="85" t="s">
        <v>3375</v>
      </c>
      <c r="G1704" s="76"/>
      <c r="H1704" s="76">
        <f>STOCK[[#This Row],[Precio Final]]</f>
        <v>13.05</v>
      </c>
      <c r="I1704" s="80">
        <f>STOCK[[#This Row],[Precio Venta Ideal (x1.5)]]</f>
        <v>1.9575</v>
      </c>
      <c r="J1704" s="86">
        <v>3</v>
      </c>
      <c r="K1704" s="78">
        <f>SUMIFS(VENTAS[Cantidad],VENTAS[Código del producto Vendido],STOCK[[#This Row],[Code]])</f>
        <v>3</v>
      </c>
      <c r="L1704" s="78">
        <f>STOCK[[#This Row],[Entradas]]-STOCK[[#This Row],[Salidas]]</f>
        <v>0</v>
      </c>
      <c r="M1704" s="76">
        <f>STOCK[[#This Row],[Precio Final]]*10%</f>
        <v>1.305</v>
      </c>
      <c r="N1704" s="54">
        <v>0</v>
      </c>
      <c r="O1704" s="76">
        <v>0</v>
      </c>
      <c r="P1704" s="76"/>
      <c r="Q1704" s="76">
        <v>5.85</v>
      </c>
      <c r="R1704" s="78"/>
      <c r="S1704" s="76"/>
      <c r="T1704" s="76">
        <f>STOCK[[#This Row],[Costo Unitario (USD)]]+STOCK[[#This Row],[Costo Envío (USD)]]+STOCK[[#This Row],[Comisión 10%]]</f>
        <v>1.305</v>
      </c>
      <c r="U1704" s="53">
        <f>STOCK[[#This Row],[Costo total]]*1.5</f>
        <v>1.9575</v>
      </c>
      <c r="V1704" s="53">
        <v>13.05</v>
      </c>
      <c r="W1704" s="76">
        <f>STOCK[[#This Row],[Precio Final]]-STOCK[[#This Row],[Costo total]]</f>
        <v>11.745</v>
      </c>
      <c r="X1704" s="76">
        <f>STOCK[[#This Row],[Ganancia Unitaria]]*STOCK[[#This Row],[Salidas]]</f>
        <v>35.235</v>
      </c>
      <c r="Y1704" s="76">
        <v>0</v>
      </c>
      <c r="Z1704" s="87"/>
      <c r="AA1704" s="54">
        <f>STOCK[[#This Row],[Costo total]]*STOCK[[#This Row],[Entradas]]</f>
        <v>3.915</v>
      </c>
      <c r="AB1704" s="54">
        <f>STOCK[[#This Row],[Stock Actual]]*STOCK[[#This Row],[Costo total]]</f>
        <v>0</v>
      </c>
      <c r="AC1704" s="76">
        <v>26.1</v>
      </c>
      <c r="AD1704" s="76"/>
    </row>
    <row r="1705" s="53" customFormat="1" ht="50" customHeight="1" spans="1:30">
      <c r="A1705" s="76" t="s">
        <v>3378</v>
      </c>
      <c r="B1705" s="83"/>
      <c r="C1705" s="76"/>
      <c r="D1705" s="84" t="s">
        <v>3278</v>
      </c>
      <c r="E1705" s="85" t="s">
        <v>3379</v>
      </c>
      <c r="F1705" s="85" t="s">
        <v>3375</v>
      </c>
      <c r="G1705" s="76"/>
      <c r="H1705" s="76">
        <f>STOCK[[#This Row],[Precio Final]]</f>
        <v>12</v>
      </c>
      <c r="I1705" s="80">
        <f>STOCK[[#This Row],[Precio Venta Ideal (x1.5)]]</f>
        <v>1.8</v>
      </c>
      <c r="J1705" s="86">
        <v>1</v>
      </c>
      <c r="K1705" s="78">
        <f>SUMIFS(VENTAS[Cantidad],VENTAS[Código del producto Vendido],STOCK[[#This Row],[Code]])</f>
        <v>1</v>
      </c>
      <c r="L1705" s="78">
        <f>STOCK[[#This Row],[Entradas]]-STOCK[[#This Row],[Salidas]]</f>
        <v>0</v>
      </c>
      <c r="M1705" s="76">
        <f>STOCK[[#This Row],[Precio Final]]*10%</f>
        <v>1.2</v>
      </c>
      <c r="N1705" s="54">
        <v>0</v>
      </c>
      <c r="O1705" s="76">
        <v>0</v>
      </c>
      <c r="P1705" s="76"/>
      <c r="Q1705" s="76">
        <v>6.65</v>
      </c>
      <c r="R1705" s="78"/>
      <c r="S1705" s="76"/>
      <c r="T1705" s="76">
        <f>STOCK[[#This Row],[Costo Unitario (USD)]]+STOCK[[#This Row],[Costo Envío (USD)]]+STOCK[[#This Row],[Comisión 10%]]</f>
        <v>1.2</v>
      </c>
      <c r="U1705" s="53">
        <f>STOCK[[#This Row],[Costo total]]*1.5</f>
        <v>1.8</v>
      </c>
      <c r="V1705" s="76">
        <v>12</v>
      </c>
      <c r="W1705" s="76">
        <f>STOCK[[#This Row],[Precio Final]]-STOCK[[#This Row],[Costo total]]</f>
        <v>10.8</v>
      </c>
      <c r="X1705" s="76">
        <f>STOCK[[#This Row],[Ganancia Unitaria]]*STOCK[[#This Row],[Salidas]]</f>
        <v>10.8</v>
      </c>
      <c r="Y1705" s="76">
        <v>0</v>
      </c>
      <c r="Z1705" s="87"/>
      <c r="AA1705" s="54">
        <f>STOCK[[#This Row],[Costo total]]*STOCK[[#This Row],[Entradas]]</f>
        <v>1.2</v>
      </c>
      <c r="AB1705" s="54">
        <f>STOCK[[#This Row],[Stock Actual]]*STOCK[[#This Row],[Costo total]]</f>
        <v>0</v>
      </c>
      <c r="AC1705" s="76">
        <v>11.45</v>
      </c>
      <c r="AD1705" s="76"/>
    </row>
    <row r="1706" s="53" customFormat="1" ht="50" customHeight="1" spans="1:30">
      <c r="A1706" s="76" t="s">
        <v>3380</v>
      </c>
      <c r="B1706" s="83"/>
      <c r="C1706" s="76"/>
      <c r="D1706" s="84" t="s">
        <v>3278</v>
      </c>
      <c r="E1706" s="85" t="s">
        <v>3381</v>
      </c>
      <c r="F1706" s="85" t="s">
        <v>525</v>
      </c>
      <c r="G1706" s="76"/>
      <c r="H1706" s="76">
        <f>STOCK[[#This Row],[Precio Final]]</f>
        <v>9</v>
      </c>
      <c r="I1706" s="80">
        <f>STOCK[[#This Row],[Precio Venta Ideal (x1.5)]]</f>
        <v>1.35</v>
      </c>
      <c r="J1706" s="86">
        <v>3</v>
      </c>
      <c r="K1706" s="78">
        <f>SUMIFS(VENTAS[Cantidad],VENTAS[Código del producto Vendido],STOCK[[#This Row],[Code]])</f>
        <v>3</v>
      </c>
      <c r="L1706" s="78">
        <f>STOCK[[#This Row],[Entradas]]-STOCK[[#This Row],[Salidas]]</f>
        <v>0</v>
      </c>
      <c r="M1706" s="76">
        <f>STOCK[[#This Row],[Precio Final]]*10%</f>
        <v>0.9</v>
      </c>
      <c r="N1706" s="54">
        <v>0</v>
      </c>
      <c r="O1706" s="76">
        <v>0</v>
      </c>
      <c r="P1706" s="76"/>
      <c r="Q1706" s="76">
        <v>5</v>
      </c>
      <c r="R1706" s="78"/>
      <c r="S1706" s="76"/>
      <c r="T1706" s="76">
        <f>STOCK[[#This Row],[Costo Unitario (USD)]]+STOCK[[#This Row],[Costo Envío (USD)]]+STOCK[[#This Row],[Comisión 10%]]</f>
        <v>0.9</v>
      </c>
      <c r="U1706" s="53">
        <f>STOCK[[#This Row],[Costo total]]*1.5</f>
        <v>1.35</v>
      </c>
      <c r="V1706" s="76">
        <v>9</v>
      </c>
      <c r="W1706" s="76">
        <f>STOCK[[#This Row],[Precio Final]]-STOCK[[#This Row],[Costo total]]</f>
        <v>8.1</v>
      </c>
      <c r="X1706" s="76">
        <f>STOCK[[#This Row],[Ganancia Unitaria]]*STOCK[[#This Row],[Salidas]]</f>
        <v>24.3</v>
      </c>
      <c r="Y1706" s="76">
        <v>0</v>
      </c>
      <c r="Z1706" s="87"/>
      <c r="AA1706" s="54">
        <f>STOCK[[#This Row],[Costo total]]*STOCK[[#This Row],[Entradas]]</f>
        <v>2.7</v>
      </c>
      <c r="AB1706" s="54">
        <f>STOCK[[#This Row],[Stock Actual]]*STOCK[[#This Row],[Costo total]]</f>
        <v>0</v>
      </c>
      <c r="AC1706" s="76">
        <v>25.5</v>
      </c>
      <c r="AD1706" s="76"/>
    </row>
    <row r="1707" s="53" customFormat="1" ht="50" customHeight="1" spans="1:30">
      <c r="A1707" s="76" t="s">
        <v>3382</v>
      </c>
      <c r="B1707" s="83"/>
      <c r="C1707" s="76"/>
      <c r="D1707" s="84" t="s">
        <v>3278</v>
      </c>
      <c r="E1707" s="85" t="s">
        <v>3383</v>
      </c>
      <c r="F1707" s="85" t="s">
        <v>525</v>
      </c>
      <c r="G1707" s="76"/>
      <c r="H1707" s="76">
        <f>STOCK[[#This Row],[Precio Final]]</f>
        <v>4</v>
      </c>
      <c r="I1707" s="80">
        <f>STOCK[[#This Row],[Precio Venta Ideal (x1.5)]]</f>
        <v>0.6</v>
      </c>
      <c r="J1707" s="86">
        <v>3</v>
      </c>
      <c r="K1707" s="78">
        <f>SUMIFS(VENTAS[Cantidad],VENTAS[Código del producto Vendido],STOCK[[#This Row],[Code]])</f>
        <v>0</v>
      </c>
      <c r="L1707" s="78">
        <f>STOCK[[#This Row],[Entradas]]-STOCK[[#This Row],[Salidas]]</f>
        <v>3</v>
      </c>
      <c r="M1707" s="76">
        <f>STOCK[[#This Row],[Precio Final]]*10%</f>
        <v>0.4</v>
      </c>
      <c r="N1707" s="54">
        <v>0</v>
      </c>
      <c r="O1707" s="76">
        <v>0</v>
      </c>
      <c r="P1707" s="76"/>
      <c r="Q1707" s="76">
        <v>2</v>
      </c>
      <c r="R1707" s="78"/>
      <c r="S1707" s="76"/>
      <c r="T1707" s="76">
        <f>STOCK[[#This Row],[Costo Unitario (USD)]]+STOCK[[#This Row],[Costo Envío (USD)]]+STOCK[[#This Row],[Comisión 10%]]</f>
        <v>0.4</v>
      </c>
      <c r="U1707" s="53">
        <f>STOCK[[#This Row],[Costo total]]*1.5</f>
        <v>0.6</v>
      </c>
      <c r="V1707" s="76">
        <v>4</v>
      </c>
      <c r="W1707" s="76">
        <f>STOCK[[#This Row],[Precio Final]]-STOCK[[#This Row],[Costo total]]</f>
        <v>3.6</v>
      </c>
      <c r="X1707" s="76">
        <f>STOCK[[#This Row],[Ganancia Unitaria]]*STOCK[[#This Row],[Salidas]]</f>
        <v>0</v>
      </c>
      <c r="Y1707" s="76">
        <v>0</v>
      </c>
      <c r="Z1707" s="87"/>
      <c r="AA1707" s="54">
        <f>STOCK[[#This Row],[Costo total]]*STOCK[[#This Row],[Entradas]]</f>
        <v>1.2</v>
      </c>
      <c r="AB1707" s="54">
        <f>STOCK[[#This Row],[Stock Actual]]*STOCK[[#This Row],[Costo total]]</f>
        <v>1.2</v>
      </c>
      <c r="AC1707" s="76">
        <v>10.8</v>
      </c>
      <c r="AD1707" s="76"/>
    </row>
    <row r="1708" s="53" customFormat="1" ht="50" customHeight="1" spans="1:30">
      <c r="A1708" s="76" t="s">
        <v>3384</v>
      </c>
      <c r="B1708" s="83"/>
      <c r="C1708" s="76"/>
      <c r="D1708" s="84" t="s">
        <v>3278</v>
      </c>
      <c r="E1708" s="85" t="s">
        <v>3385</v>
      </c>
      <c r="F1708" s="85" t="s">
        <v>525</v>
      </c>
      <c r="G1708" s="76"/>
      <c r="H1708" s="76" t="e">
        <f>STOCK[[#This Row],[Precio Final]]</f>
        <v>#DIV/0!</v>
      </c>
      <c r="I1708" s="80" t="e">
        <f>STOCK[[#This Row],[Precio Venta Ideal (x1.5)]]</f>
        <v>#DIV/0!</v>
      </c>
      <c r="J1708" s="86"/>
      <c r="K1708" s="78">
        <f>SUMIFS(VENTAS[Cantidad],VENTAS[Código del producto Vendido],STOCK[[#This Row],[Code]])</f>
        <v>0</v>
      </c>
      <c r="L1708" s="78">
        <f>STOCK[[#This Row],[Entradas]]-STOCK[[#This Row],[Salidas]]</f>
        <v>0</v>
      </c>
      <c r="M1708" s="76" t="e">
        <f>STOCK[[#This Row],[Precio Final]]*10%</f>
        <v>#DIV/0!</v>
      </c>
      <c r="N1708" s="54">
        <v>0</v>
      </c>
      <c r="O1708" s="76">
        <v>0</v>
      </c>
      <c r="P1708" s="76"/>
      <c r="Q1708" s="76" t="e">
        <v>#DIV/0!</v>
      </c>
      <c r="R1708" s="78"/>
      <c r="S1708" s="76"/>
      <c r="T1708" s="76" t="e">
        <f>STOCK[[#This Row],[Costo Unitario (USD)]]+STOCK[[#This Row],[Costo Envío (USD)]]+STOCK[[#This Row],[Comisión 10%]]</f>
        <v>#DIV/0!</v>
      </c>
      <c r="U1708" s="53" t="e">
        <f>STOCK[[#This Row],[Costo total]]*1.5</f>
        <v>#DIV/0!</v>
      </c>
      <c r="V1708" s="76" t="e">
        <v>#DIV/0!</v>
      </c>
      <c r="W1708" s="76" t="e">
        <f>STOCK[[#This Row],[Precio Final]]-STOCK[[#This Row],[Costo total]]</f>
        <v>#DIV/0!</v>
      </c>
      <c r="X1708" s="76" t="e">
        <f>STOCK[[#This Row],[Ganancia Unitaria]]*STOCK[[#This Row],[Salidas]]</f>
        <v>#DIV/0!</v>
      </c>
      <c r="Y1708" s="76" t="e">
        <v>#DIV/0!</v>
      </c>
      <c r="Z1708" s="87"/>
      <c r="AA1708" s="54" t="e">
        <f>STOCK[[#This Row],[Costo total]]*STOCK[[#This Row],[Entradas]]</f>
        <v>#DIV/0!</v>
      </c>
      <c r="AB1708" s="54" t="e">
        <f>STOCK[[#This Row],[Stock Actual]]*STOCK[[#This Row],[Costo total]]</f>
        <v>#DIV/0!</v>
      </c>
      <c r="AC1708" s="76" t="e">
        <v>#DIV/0!</v>
      </c>
      <c r="AD1708" s="76"/>
    </row>
    <row r="1709" s="53" customFormat="1" ht="50" customHeight="1" spans="1:30">
      <c r="A1709" s="76" t="s">
        <v>3386</v>
      </c>
      <c r="B1709" s="83"/>
      <c r="C1709" s="76"/>
      <c r="D1709" s="84" t="s">
        <v>3278</v>
      </c>
      <c r="E1709" s="85" t="s">
        <v>3387</v>
      </c>
      <c r="F1709" s="85" t="s">
        <v>525</v>
      </c>
      <c r="G1709" s="76"/>
      <c r="H1709" s="76">
        <f>STOCK[[#This Row],[Precio Final]]</f>
        <v>4</v>
      </c>
      <c r="I1709" s="80">
        <f>STOCK[[#This Row],[Precio Venta Ideal (x1.5)]]</f>
        <v>0.6</v>
      </c>
      <c r="J1709" s="86">
        <v>1</v>
      </c>
      <c r="K1709" s="78">
        <f>SUMIFS(VENTAS[Cantidad],VENTAS[Código del producto Vendido],STOCK[[#This Row],[Code]])</f>
        <v>1</v>
      </c>
      <c r="L1709" s="78">
        <f>STOCK[[#This Row],[Entradas]]-STOCK[[#This Row],[Salidas]]</f>
        <v>0</v>
      </c>
      <c r="M1709" s="76">
        <f>STOCK[[#This Row],[Precio Final]]*10%</f>
        <v>0.4</v>
      </c>
      <c r="N1709" s="54">
        <v>0</v>
      </c>
      <c r="O1709" s="76">
        <v>0</v>
      </c>
      <c r="P1709" s="76"/>
      <c r="Q1709" s="76">
        <v>2.1</v>
      </c>
      <c r="R1709" s="78"/>
      <c r="S1709" s="76"/>
      <c r="T1709" s="76">
        <f>STOCK[[#This Row],[Costo Unitario (USD)]]+STOCK[[#This Row],[Costo Envío (USD)]]+STOCK[[#This Row],[Comisión 10%]]</f>
        <v>0.4</v>
      </c>
      <c r="U1709" s="53">
        <f>STOCK[[#This Row],[Costo total]]*1.5</f>
        <v>0.6</v>
      </c>
      <c r="V1709" s="76">
        <v>4</v>
      </c>
      <c r="W1709" s="76">
        <f>STOCK[[#This Row],[Precio Final]]-STOCK[[#This Row],[Costo total]]</f>
        <v>3.6</v>
      </c>
      <c r="X1709" s="76">
        <f>STOCK[[#This Row],[Ganancia Unitaria]]*STOCK[[#This Row],[Salidas]]</f>
        <v>3.6</v>
      </c>
      <c r="Y1709" s="76">
        <v>0</v>
      </c>
      <c r="Z1709" s="87"/>
      <c r="AA1709" s="54">
        <f>STOCK[[#This Row],[Costo total]]*STOCK[[#This Row],[Entradas]]</f>
        <v>0.4</v>
      </c>
      <c r="AB1709" s="54">
        <f>STOCK[[#This Row],[Stock Actual]]*STOCK[[#This Row],[Costo total]]</f>
        <v>0</v>
      </c>
      <c r="AC1709" s="76">
        <v>3.5</v>
      </c>
      <c r="AD1709" s="76"/>
    </row>
    <row r="1710" s="53" customFormat="1" ht="50" customHeight="1" spans="1:30">
      <c r="A1710" s="76" t="s">
        <v>3388</v>
      </c>
      <c r="B1710" s="83"/>
      <c r="C1710" s="76"/>
      <c r="D1710" s="84" t="s">
        <v>3278</v>
      </c>
      <c r="E1710" s="85" t="s">
        <v>3389</v>
      </c>
      <c r="F1710" s="85" t="s">
        <v>525</v>
      </c>
      <c r="G1710" s="76"/>
      <c r="H1710" s="76">
        <f>STOCK[[#This Row],[Precio Final]]</f>
        <v>14</v>
      </c>
      <c r="I1710" s="80">
        <f>STOCK[[#This Row],[Precio Venta Ideal (x1.5)]]</f>
        <v>2.1</v>
      </c>
      <c r="J1710" s="86">
        <v>1</v>
      </c>
      <c r="K1710" s="78">
        <f>SUMIFS(VENTAS[Cantidad],VENTAS[Código del producto Vendido],STOCK[[#This Row],[Code]])</f>
        <v>1</v>
      </c>
      <c r="L1710" s="78">
        <f>STOCK[[#This Row],[Entradas]]-STOCK[[#This Row],[Salidas]]</f>
        <v>0</v>
      </c>
      <c r="M1710" s="76">
        <f>STOCK[[#This Row],[Precio Final]]*10%</f>
        <v>1.4</v>
      </c>
      <c r="N1710" s="54">
        <v>0</v>
      </c>
      <c r="O1710" s="76">
        <v>0</v>
      </c>
      <c r="P1710" s="76"/>
      <c r="Q1710" s="76">
        <v>11</v>
      </c>
      <c r="R1710" s="78"/>
      <c r="S1710" s="76"/>
      <c r="T1710" s="76">
        <f>STOCK[[#This Row],[Costo Unitario (USD)]]+STOCK[[#This Row],[Costo Envío (USD)]]+STOCK[[#This Row],[Comisión 10%]]</f>
        <v>1.4</v>
      </c>
      <c r="U1710" s="53">
        <f>STOCK[[#This Row],[Costo total]]*1.5</f>
        <v>2.1</v>
      </c>
      <c r="V1710" s="76">
        <v>14</v>
      </c>
      <c r="W1710" s="76">
        <f>STOCK[[#This Row],[Precio Final]]-STOCK[[#This Row],[Costo total]]</f>
        <v>12.6</v>
      </c>
      <c r="X1710" s="76">
        <f>STOCK[[#This Row],[Ganancia Unitaria]]*STOCK[[#This Row],[Salidas]]</f>
        <v>12.6</v>
      </c>
      <c r="Y1710" s="76">
        <v>0</v>
      </c>
      <c r="Z1710" s="87"/>
      <c r="AA1710" s="54">
        <f>STOCK[[#This Row],[Costo total]]*STOCK[[#This Row],[Entradas]]</f>
        <v>1.4</v>
      </c>
      <c r="AB1710" s="54">
        <f>STOCK[[#This Row],[Stock Actual]]*STOCK[[#This Row],[Costo total]]</f>
        <v>0</v>
      </c>
      <c r="AC1710" s="76">
        <v>14</v>
      </c>
      <c r="AD1710" s="76"/>
    </row>
    <row r="1711" s="53" customFormat="1" ht="50" customHeight="1" spans="1:30">
      <c r="A1711" s="76" t="s">
        <v>3390</v>
      </c>
      <c r="B1711" s="83"/>
      <c r="C1711" s="76"/>
      <c r="D1711" s="84" t="s">
        <v>3278</v>
      </c>
      <c r="E1711" s="85" t="s">
        <v>3391</v>
      </c>
      <c r="F1711" s="85" t="s">
        <v>525</v>
      </c>
      <c r="G1711" s="76"/>
      <c r="H1711" s="76">
        <f>STOCK[[#This Row],[Precio Final]]</f>
        <v>5</v>
      </c>
      <c r="I1711" s="80">
        <f>STOCK[[#This Row],[Precio Venta Ideal (x1.5)]]</f>
        <v>0.75</v>
      </c>
      <c r="J1711" s="86">
        <v>1</v>
      </c>
      <c r="K1711" s="78">
        <f>SUMIFS(VENTAS[Cantidad],VENTAS[Código del producto Vendido],STOCK[[#This Row],[Code]])</f>
        <v>0</v>
      </c>
      <c r="L1711" s="78">
        <f>STOCK[[#This Row],[Entradas]]-STOCK[[#This Row],[Salidas]]</f>
        <v>1</v>
      </c>
      <c r="M1711" s="76">
        <f>STOCK[[#This Row],[Precio Final]]*10%</f>
        <v>0.5</v>
      </c>
      <c r="N1711" s="54">
        <v>0</v>
      </c>
      <c r="O1711" s="76">
        <v>0</v>
      </c>
      <c r="P1711" s="76"/>
      <c r="Q1711" s="76">
        <v>2.99</v>
      </c>
      <c r="R1711" s="78"/>
      <c r="S1711" s="76"/>
      <c r="T1711" s="76">
        <f>STOCK[[#This Row],[Costo Unitario (USD)]]+STOCK[[#This Row],[Costo Envío (USD)]]+STOCK[[#This Row],[Comisión 10%]]</f>
        <v>0.5</v>
      </c>
      <c r="U1711" s="53">
        <f>STOCK[[#This Row],[Costo total]]*1.5</f>
        <v>0.75</v>
      </c>
      <c r="V1711" s="76">
        <v>5</v>
      </c>
      <c r="W1711" s="76">
        <f>STOCK[[#This Row],[Precio Final]]-STOCK[[#This Row],[Costo total]]</f>
        <v>4.5</v>
      </c>
      <c r="X1711" s="76">
        <f>STOCK[[#This Row],[Ganancia Unitaria]]*STOCK[[#This Row],[Salidas]]</f>
        <v>0</v>
      </c>
      <c r="Y1711" s="76">
        <v>0</v>
      </c>
      <c r="Z1711" s="87"/>
      <c r="AA1711" s="54">
        <f>STOCK[[#This Row],[Costo total]]*STOCK[[#This Row],[Entradas]]</f>
        <v>0.5</v>
      </c>
      <c r="AB1711" s="54">
        <f>STOCK[[#This Row],[Stock Actual]]*STOCK[[#This Row],[Costo total]]</f>
        <v>0.5</v>
      </c>
      <c r="AC1711" s="76">
        <v>4.79</v>
      </c>
      <c r="AD1711" s="76"/>
    </row>
    <row r="1712" s="53" customFormat="1" ht="50" customHeight="1" spans="1:30">
      <c r="A1712" s="76" t="s">
        <v>3392</v>
      </c>
      <c r="B1712" s="83"/>
      <c r="C1712" s="76"/>
      <c r="D1712" s="84" t="s">
        <v>3278</v>
      </c>
      <c r="E1712" s="85" t="s">
        <v>3393</v>
      </c>
      <c r="F1712" s="85" t="s">
        <v>3394</v>
      </c>
      <c r="G1712" s="76"/>
      <c r="H1712" s="76">
        <f>STOCK[[#This Row],[Precio Final]]</f>
        <v>18</v>
      </c>
      <c r="I1712" s="80">
        <f>STOCK[[#This Row],[Precio Venta Ideal (x1.5)]]</f>
        <v>2.7</v>
      </c>
      <c r="J1712" s="86">
        <v>2</v>
      </c>
      <c r="K1712" s="78">
        <f>SUMIFS(VENTAS[Cantidad],VENTAS[Código del producto Vendido],STOCK[[#This Row],[Code]])</f>
        <v>2</v>
      </c>
      <c r="L1712" s="78">
        <f>STOCK[[#This Row],[Entradas]]-STOCK[[#This Row],[Salidas]]</f>
        <v>0</v>
      </c>
      <c r="M1712" s="76">
        <f>STOCK[[#This Row],[Precio Final]]*10%</f>
        <v>1.8</v>
      </c>
      <c r="N1712" s="54">
        <v>0</v>
      </c>
      <c r="O1712" s="76">
        <v>0</v>
      </c>
      <c r="P1712" s="76"/>
      <c r="Q1712" s="76">
        <v>13.91</v>
      </c>
      <c r="R1712" s="78"/>
      <c r="S1712" s="76"/>
      <c r="T1712" s="76">
        <f>STOCK[[#This Row],[Costo Unitario (USD)]]+STOCK[[#This Row],[Costo Envío (USD)]]+STOCK[[#This Row],[Comisión 10%]]</f>
        <v>1.8</v>
      </c>
      <c r="U1712" s="53">
        <f>STOCK[[#This Row],[Costo total]]*1.5</f>
        <v>2.7</v>
      </c>
      <c r="V1712" s="76">
        <v>18</v>
      </c>
      <c r="W1712" s="76">
        <f>STOCK[[#This Row],[Precio Final]]-STOCK[[#This Row],[Costo total]]</f>
        <v>16.2</v>
      </c>
      <c r="X1712" s="76">
        <f>STOCK[[#This Row],[Ganancia Unitaria]]*STOCK[[#This Row],[Salidas]]</f>
        <v>32.4</v>
      </c>
      <c r="Y1712" s="76">
        <v>0</v>
      </c>
      <c r="Z1712" s="87"/>
      <c r="AA1712" s="54">
        <f>STOCK[[#This Row],[Costo total]]*STOCK[[#This Row],[Entradas]]</f>
        <v>3.6</v>
      </c>
      <c r="AB1712" s="54">
        <f>STOCK[[#This Row],[Stock Actual]]*STOCK[[#This Row],[Costo total]]</f>
        <v>0</v>
      </c>
      <c r="AC1712" s="76">
        <v>17.41</v>
      </c>
      <c r="AD1712" s="76"/>
    </row>
    <row r="1713" s="53" customFormat="1" ht="50" customHeight="1" spans="1:30">
      <c r="A1713" s="76" t="s">
        <v>3395</v>
      </c>
      <c r="B1713" s="83"/>
      <c r="C1713" s="76"/>
      <c r="D1713" s="84" t="s">
        <v>3278</v>
      </c>
      <c r="E1713" s="85" t="s">
        <v>3396</v>
      </c>
      <c r="F1713" s="85" t="s">
        <v>525</v>
      </c>
      <c r="G1713" s="76"/>
      <c r="H1713" s="76">
        <f>STOCK[[#This Row],[Precio Final]]</f>
        <v>7</v>
      </c>
      <c r="I1713" s="80">
        <f>STOCK[[#This Row],[Precio Venta Ideal (x1.5)]]</f>
        <v>1.05</v>
      </c>
      <c r="J1713" s="86">
        <v>1</v>
      </c>
      <c r="K1713" s="78">
        <f>SUMIFS(VENTAS[Cantidad],VENTAS[Código del producto Vendido],STOCK[[#This Row],[Code]])</f>
        <v>1</v>
      </c>
      <c r="L1713" s="78">
        <f>STOCK[[#This Row],[Entradas]]-STOCK[[#This Row],[Salidas]]</f>
        <v>0</v>
      </c>
      <c r="M1713" s="76">
        <f>STOCK[[#This Row],[Precio Final]]*10%</f>
        <v>0.7</v>
      </c>
      <c r="N1713" s="54">
        <v>0</v>
      </c>
      <c r="O1713" s="76">
        <v>0</v>
      </c>
      <c r="P1713" s="76"/>
      <c r="Q1713" s="76">
        <v>4.81</v>
      </c>
      <c r="R1713" s="78"/>
      <c r="S1713" s="76"/>
      <c r="T1713" s="76">
        <f>STOCK[[#This Row],[Costo Unitario (USD)]]+STOCK[[#This Row],[Costo Envío (USD)]]+STOCK[[#This Row],[Comisión 10%]]</f>
        <v>0.7</v>
      </c>
      <c r="U1713" s="53">
        <f>STOCK[[#This Row],[Costo total]]*1.5</f>
        <v>1.05</v>
      </c>
      <c r="V1713" s="76">
        <v>7</v>
      </c>
      <c r="W1713" s="76">
        <f>STOCK[[#This Row],[Precio Final]]-STOCK[[#This Row],[Costo total]]</f>
        <v>6.3</v>
      </c>
      <c r="X1713" s="76">
        <f>STOCK[[#This Row],[Ganancia Unitaria]]*STOCK[[#This Row],[Salidas]]</f>
        <v>6.3</v>
      </c>
      <c r="Y1713" s="76">
        <v>0</v>
      </c>
      <c r="Z1713" s="87"/>
      <c r="AA1713" s="54">
        <f>STOCK[[#This Row],[Costo total]]*STOCK[[#This Row],[Entradas]]</f>
        <v>0.7</v>
      </c>
      <c r="AB1713" s="54">
        <f>STOCK[[#This Row],[Stock Actual]]*STOCK[[#This Row],[Costo total]]</f>
        <v>0</v>
      </c>
      <c r="AC1713" s="76">
        <v>6.71</v>
      </c>
      <c r="AD1713" s="76"/>
    </row>
    <row r="1714" s="53" customFormat="1" ht="50" customHeight="1" spans="1:30">
      <c r="A1714" s="76" t="s">
        <v>3397</v>
      </c>
      <c r="B1714" s="83"/>
      <c r="C1714" s="76"/>
      <c r="D1714" s="84" t="s">
        <v>3278</v>
      </c>
      <c r="E1714" s="85" t="s">
        <v>3398</v>
      </c>
      <c r="F1714" s="85" t="s">
        <v>525</v>
      </c>
      <c r="G1714" s="76"/>
      <c r="H1714" s="76">
        <f>STOCK[[#This Row],[Precio Final]]</f>
        <v>3</v>
      </c>
      <c r="I1714" s="80">
        <f>STOCK[[#This Row],[Precio Venta Ideal (x1.5)]]</f>
        <v>0.45</v>
      </c>
      <c r="J1714" s="86">
        <v>1</v>
      </c>
      <c r="K1714" s="78">
        <f>SUMIFS(VENTAS[Cantidad],VENTAS[Código del producto Vendido],STOCK[[#This Row],[Code]])</f>
        <v>1</v>
      </c>
      <c r="L1714" s="78">
        <f>STOCK[[#This Row],[Entradas]]-STOCK[[#This Row],[Salidas]]</f>
        <v>0</v>
      </c>
      <c r="M1714" s="76">
        <f>STOCK[[#This Row],[Precio Final]]*10%</f>
        <v>0.3</v>
      </c>
      <c r="N1714" s="54">
        <v>0</v>
      </c>
      <c r="O1714" s="76">
        <v>0</v>
      </c>
      <c r="P1714" s="76"/>
      <c r="Q1714" s="76">
        <v>1.46</v>
      </c>
      <c r="R1714" s="78"/>
      <c r="S1714" s="76"/>
      <c r="T1714" s="76">
        <f>STOCK[[#This Row],[Costo Unitario (USD)]]+STOCK[[#This Row],[Costo Envío (USD)]]+STOCK[[#This Row],[Comisión 10%]]</f>
        <v>0.3</v>
      </c>
      <c r="U1714" s="53">
        <f>STOCK[[#This Row],[Costo total]]*1.5</f>
        <v>0.45</v>
      </c>
      <c r="V1714" s="76">
        <v>3</v>
      </c>
      <c r="W1714" s="76">
        <f>STOCK[[#This Row],[Precio Final]]-STOCK[[#This Row],[Costo total]]</f>
        <v>2.7</v>
      </c>
      <c r="X1714" s="76">
        <f>STOCK[[#This Row],[Ganancia Unitaria]]*STOCK[[#This Row],[Salidas]]</f>
        <v>2.7</v>
      </c>
      <c r="Y1714" s="76">
        <v>0</v>
      </c>
      <c r="Z1714" s="87"/>
      <c r="AA1714" s="54">
        <f>STOCK[[#This Row],[Costo total]]*STOCK[[#This Row],[Entradas]]</f>
        <v>0.3</v>
      </c>
      <c r="AB1714" s="54">
        <f>STOCK[[#This Row],[Stock Actual]]*STOCK[[#This Row],[Costo total]]</f>
        <v>0</v>
      </c>
      <c r="AC1714" s="76">
        <v>2.86</v>
      </c>
      <c r="AD1714" s="76"/>
    </row>
    <row r="1715" s="53" customFormat="1" ht="50" customHeight="1" spans="1:30">
      <c r="A1715" s="76" t="s">
        <v>3399</v>
      </c>
      <c r="B1715" s="83"/>
      <c r="C1715" s="76"/>
      <c r="D1715" s="84" t="s">
        <v>3278</v>
      </c>
      <c r="E1715" s="85" t="s">
        <v>3400</v>
      </c>
      <c r="F1715" s="85" t="s">
        <v>2108</v>
      </c>
      <c r="G1715" s="76"/>
      <c r="H1715" s="76">
        <f>STOCK[[#This Row],[Precio Final]]</f>
        <v>14</v>
      </c>
      <c r="I1715" s="80">
        <f>STOCK[[#This Row],[Precio Venta Ideal (x1.5)]]</f>
        <v>2.1</v>
      </c>
      <c r="J1715" s="86">
        <v>1</v>
      </c>
      <c r="K1715" s="78">
        <f>SUMIFS(VENTAS[Cantidad],VENTAS[Código del producto Vendido],STOCK[[#This Row],[Code]])</f>
        <v>1</v>
      </c>
      <c r="L1715" s="78">
        <f>STOCK[[#This Row],[Entradas]]-STOCK[[#This Row],[Salidas]]</f>
        <v>0</v>
      </c>
      <c r="M1715" s="76">
        <f>STOCK[[#This Row],[Precio Final]]*10%</f>
        <v>1.4</v>
      </c>
      <c r="N1715" s="54">
        <v>0</v>
      </c>
      <c r="O1715" s="76">
        <v>0</v>
      </c>
      <c r="P1715" s="76"/>
      <c r="Q1715" s="76">
        <v>10.69</v>
      </c>
      <c r="R1715" s="78"/>
      <c r="S1715" s="76"/>
      <c r="T1715" s="76">
        <f>STOCK[[#This Row],[Costo Unitario (USD)]]+STOCK[[#This Row],[Costo Envío (USD)]]+STOCK[[#This Row],[Comisión 10%]]</f>
        <v>1.4</v>
      </c>
      <c r="U1715" s="53">
        <f>STOCK[[#This Row],[Costo total]]*1.5</f>
        <v>2.1</v>
      </c>
      <c r="V1715" s="76">
        <v>14</v>
      </c>
      <c r="W1715" s="76">
        <f>STOCK[[#This Row],[Precio Final]]-STOCK[[#This Row],[Costo total]]</f>
        <v>12.6</v>
      </c>
      <c r="X1715" s="76">
        <f>STOCK[[#This Row],[Ganancia Unitaria]]*STOCK[[#This Row],[Salidas]]</f>
        <v>12.6</v>
      </c>
      <c r="Y1715" s="76">
        <v>0</v>
      </c>
      <c r="Z1715" s="87"/>
      <c r="AA1715" s="54">
        <f>STOCK[[#This Row],[Costo total]]*STOCK[[#This Row],[Entradas]]</f>
        <v>1.4</v>
      </c>
      <c r="AB1715" s="54">
        <f>STOCK[[#This Row],[Stock Actual]]*STOCK[[#This Row],[Costo total]]</f>
        <v>0</v>
      </c>
      <c r="AC1715" s="76">
        <v>13.39</v>
      </c>
      <c r="AD1715" s="76"/>
    </row>
    <row r="1716" s="53" customFormat="1" ht="50" customHeight="1" spans="1:30">
      <c r="A1716" s="76" t="s">
        <v>3401</v>
      </c>
      <c r="B1716" s="83"/>
      <c r="C1716" s="76"/>
      <c r="D1716" s="84" t="s">
        <v>3278</v>
      </c>
      <c r="E1716" s="85" t="s">
        <v>3400</v>
      </c>
      <c r="F1716" s="85" t="s">
        <v>3402</v>
      </c>
      <c r="G1716" s="76"/>
      <c r="H1716" s="76">
        <f>STOCK[[#This Row],[Precio Final]]</f>
        <v>14</v>
      </c>
      <c r="I1716" s="80">
        <f>STOCK[[#This Row],[Precio Venta Ideal (x1.5)]]</f>
        <v>2.1</v>
      </c>
      <c r="J1716" s="86">
        <v>1</v>
      </c>
      <c r="K1716" s="78">
        <f>SUMIFS(VENTAS[Cantidad],VENTAS[Código del producto Vendido],STOCK[[#This Row],[Code]])</f>
        <v>1</v>
      </c>
      <c r="L1716" s="78">
        <f>STOCK[[#This Row],[Entradas]]-STOCK[[#This Row],[Salidas]]</f>
        <v>0</v>
      </c>
      <c r="M1716" s="76">
        <f>STOCK[[#This Row],[Precio Final]]*10%</f>
        <v>1.4</v>
      </c>
      <c r="N1716" s="54">
        <v>0</v>
      </c>
      <c r="O1716" s="76">
        <v>0</v>
      </c>
      <c r="P1716" s="76"/>
      <c r="Q1716" s="76">
        <v>10.69</v>
      </c>
      <c r="R1716" s="78"/>
      <c r="S1716" s="76"/>
      <c r="T1716" s="76">
        <f>STOCK[[#This Row],[Costo Unitario (USD)]]+STOCK[[#This Row],[Costo Envío (USD)]]+STOCK[[#This Row],[Comisión 10%]]</f>
        <v>1.4</v>
      </c>
      <c r="U1716" s="53">
        <f>STOCK[[#This Row],[Costo total]]*1.5</f>
        <v>2.1</v>
      </c>
      <c r="V1716" s="76">
        <v>14</v>
      </c>
      <c r="W1716" s="76">
        <f>STOCK[[#This Row],[Precio Final]]-STOCK[[#This Row],[Costo total]]</f>
        <v>12.6</v>
      </c>
      <c r="X1716" s="76">
        <f>STOCK[[#This Row],[Ganancia Unitaria]]*STOCK[[#This Row],[Salidas]]</f>
        <v>12.6</v>
      </c>
      <c r="Y1716" s="76">
        <v>0</v>
      </c>
      <c r="Z1716" s="87"/>
      <c r="AA1716" s="54">
        <f>STOCK[[#This Row],[Costo total]]*STOCK[[#This Row],[Entradas]]</f>
        <v>1.4</v>
      </c>
      <c r="AB1716" s="54">
        <f>STOCK[[#This Row],[Stock Actual]]*STOCK[[#This Row],[Costo total]]</f>
        <v>0</v>
      </c>
      <c r="AC1716" s="76">
        <v>13.39</v>
      </c>
      <c r="AD1716" s="76"/>
    </row>
    <row r="1717" s="53" customFormat="1" ht="50" customHeight="1" spans="1:30">
      <c r="A1717" s="76" t="s">
        <v>3403</v>
      </c>
      <c r="B1717" s="83"/>
      <c r="C1717" s="76"/>
      <c r="D1717" s="84" t="s">
        <v>3278</v>
      </c>
      <c r="E1717" s="85" t="s">
        <v>3404</v>
      </c>
      <c r="F1717" s="85" t="s">
        <v>62</v>
      </c>
      <c r="G1717" s="76"/>
      <c r="H1717" s="76">
        <f>STOCK[[#This Row],[Precio Final]]</f>
        <v>12</v>
      </c>
      <c r="I1717" s="80">
        <f>STOCK[[#This Row],[Precio Venta Ideal (x1.5)]]</f>
        <v>1.8</v>
      </c>
      <c r="J1717" s="86">
        <v>1</v>
      </c>
      <c r="K1717" s="78">
        <f>SUMIFS(VENTAS[Cantidad],VENTAS[Código del producto Vendido],STOCK[[#This Row],[Code]])</f>
        <v>0</v>
      </c>
      <c r="L1717" s="78">
        <f>STOCK[[#This Row],[Entradas]]-STOCK[[#This Row],[Salidas]]</f>
        <v>1</v>
      </c>
      <c r="M1717" s="76">
        <f>STOCK[[#This Row],[Precio Final]]*10%</f>
        <v>1.2</v>
      </c>
      <c r="N1717" s="54">
        <v>0</v>
      </c>
      <c r="O1717" s="76">
        <v>0</v>
      </c>
      <c r="P1717" s="76"/>
      <c r="Q1717" s="76">
        <v>8.14</v>
      </c>
      <c r="R1717" s="78"/>
      <c r="S1717" s="76"/>
      <c r="T1717" s="76">
        <f>STOCK[[#This Row],[Costo Unitario (USD)]]+STOCK[[#This Row],[Costo Envío (USD)]]+STOCK[[#This Row],[Comisión 10%]]</f>
        <v>1.2</v>
      </c>
      <c r="U1717" s="53">
        <f>STOCK[[#This Row],[Costo total]]*1.5</f>
        <v>1.8</v>
      </c>
      <c r="V1717" s="76">
        <v>12</v>
      </c>
      <c r="W1717" s="76">
        <f>STOCK[[#This Row],[Precio Final]]-STOCK[[#This Row],[Costo total]]</f>
        <v>10.8</v>
      </c>
      <c r="X1717" s="76">
        <f>STOCK[[#This Row],[Ganancia Unitaria]]*STOCK[[#This Row],[Salidas]]</f>
        <v>0</v>
      </c>
      <c r="Y1717" s="76">
        <v>0</v>
      </c>
      <c r="Z1717" s="87"/>
      <c r="AA1717" s="54">
        <f>STOCK[[#This Row],[Costo total]]*STOCK[[#This Row],[Entradas]]</f>
        <v>1.2</v>
      </c>
      <c r="AB1717" s="54">
        <f>STOCK[[#This Row],[Stock Actual]]*STOCK[[#This Row],[Costo total]]</f>
        <v>1.2</v>
      </c>
      <c r="AC1717" s="76">
        <v>11.14</v>
      </c>
      <c r="AD1717" s="76"/>
    </row>
    <row r="1718" s="53" customFormat="1" ht="50" customHeight="1" spans="1:30">
      <c r="A1718" s="76" t="s">
        <v>3405</v>
      </c>
      <c r="B1718" s="83"/>
      <c r="C1718" s="76"/>
      <c r="D1718" s="84" t="s">
        <v>3278</v>
      </c>
      <c r="E1718" s="85" t="s">
        <v>3406</v>
      </c>
      <c r="F1718" s="85" t="s">
        <v>525</v>
      </c>
      <c r="G1718" s="76"/>
      <c r="H1718" s="76">
        <f>STOCK[[#This Row],[Precio Final]]</f>
        <v>5</v>
      </c>
      <c r="I1718" s="80">
        <f>STOCK[[#This Row],[Precio Venta Ideal (x1.5)]]</f>
        <v>0.75</v>
      </c>
      <c r="J1718" s="86">
        <v>1</v>
      </c>
      <c r="K1718" s="78">
        <f>SUMIFS(VENTAS[Cantidad],VENTAS[Código del producto Vendido],STOCK[[#This Row],[Code]])</f>
        <v>0</v>
      </c>
      <c r="L1718" s="78">
        <f>STOCK[[#This Row],[Entradas]]-STOCK[[#This Row],[Salidas]]</f>
        <v>1</v>
      </c>
      <c r="M1718" s="76">
        <f>STOCK[[#This Row],[Precio Final]]*10%</f>
        <v>0.5</v>
      </c>
      <c r="N1718" s="54">
        <v>0</v>
      </c>
      <c r="O1718" s="76">
        <v>0</v>
      </c>
      <c r="P1718" s="76"/>
      <c r="Q1718" s="76">
        <v>3</v>
      </c>
      <c r="R1718" s="78"/>
      <c r="S1718" s="76"/>
      <c r="T1718" s="76">
        <f>STOCK[[#This Row],[Costo Unitario (USD)]]+STOCK[[#This Row],[Costo Envío (USD)]]+STOCK[[#This Row],[Comisión 10%]]</f>
        <v>0.5</v>
      </c>
      <c r="U1718" s="53">
        <f>STOCK[[#This Row],[Costo total]]*1.5</f>
        <v>0.75</v>
      </c>
      <c r="V1718" s="76">
        <v>5</v>
      </c>
      <c r="W1718" s="76">
        <f>STOCK[[#This Row],[Precio Final]]-STOCK[[#This Row],[Costo total]]</f>
        <v>4.5</v>
      </c>
      <c r="X1718" s="76">
        <f>STOCK[[#This Row],[Ganancia Unitaria]]*STOCK[[#This Row],[Salidas]]</f>
        <v>0</v>
      </c>
      <c r="Y1718" s="76">
        <v>0</v>
      </c>
      <c r="Z1718" s="87"/>
      <c r="AA1718" s="54">
        <f>STOCK[[#This Row],[Costo total]]*STOCK[[#This Row],[Entradas]]</f>
        <v>0.5</v>
      </c>
      <c r="AB1718" s="54">
        <f>STOCK[[#This Row],[Stock Actual]]*STOCK[[#This Row],[Costo total]]</f>
        <v>0.5</v>
      </c>
      <c r="AC1718" s="76">
        <v>4.8</v>
      </c>
      <c r="AD1718" s="76"/>
    </row>
    <row r="1719" s="53" customFormat="1" ht="50" customHeight="1" spans="1:30">
      <c r="A1719" s="76" t="s">
        <v>3407</v>
      </c>
      <c r="B1719" s="83"/>
      <c r="C1719" s="76"/>
      <c r="D1719" s="84" t="s">
        <v>3278</v>
      </c>
      <c r="E1719" s="85" t="s">
        <v>3408</v>
      </c>
      <c r="F1719" s="85" t="s">
        <v>3402</v>
      </c>
      <c r="G1719" s="76"/>
      <c r="H1719" s="76">
        <f>STOCK[[#This Row],[Precio Final]]</f>
        <v>15</v>
      </c>
      <c r="I1719" s="80">
        <f>STOCK[[#This Row],[Precio Venta Ideal (x1.5)]]</f>
        <v>2.25</v>
      </c>
      <c r="J1719" s="86">
        <v>1</v>
      </c>
      <c r="K1719" s="78">
        <f>SUMIFS(VENTAS[Cantidad],VENTAS[Código del producto Vendido],STOCK[[#This Row],[Code]])</f>
        <v>1</v>
      </c>
      <c r="L1719" s="78">
        <f>STOCK[[#This Row],[Entradas]]-STOCK[[#This Row],[Salidas]]</f>
        <v>0</v>
      </c>
      <c r="M1719" s="76">
        <f>STOCK[[#This Row],[Precio Final]]*10%</f>
        <v>1.5</v>
      </c>
      <c r="N1719" s="54">
        <v>0</v>
      </c>
      <c r="O1719" s="76">
        <v>0</v>
      </c>
      <c r="P1719" s="76"/>
      <c r="Q1719" s="76">
        <v>11.2</v>
      </c>
      <c r="R1719" s="78"/>
      <c r="S1719" s="76"/>
      <c r="T1719" s="76">
        <f>STOCK[[#This Row],[Costo Unitario (USD)]]+STOCK[[#This Row],[Costo Envío (USD)]]+STOCK[[#This Row],[Comisión 10%]]</f>
        <v>1.5</v>
      </c>
      <c r="U1719" s="53">
        <f>STOCK[[#This Row],[Costo total]]*1.5</f>
        <v>2.25</v>
      </c>
      <c r="V1719" s="76">
        <v>15</v>
      </c>
      <c r="W1719" s="76">
        <f>STOCK[[#This Row],[Precio Final]]-STOCK[[#This Row],[Costo total]]</f>
        <v>13.5</v>
      </c>
      <c r="X1719" s="76">
        <f>STOCK[[#This Row],[Ganancia Unitaria]]*STOCK[[#This Row],[Salidas]]</f>
        <v>13.5</v>
      </c>
      <c r="Y1719" s="76">
        <v>0</v>
      </c>
      <c r="Z1719" s="87"/>
      <c r="AA1719" s="54">
        <f>STOCK[[#This Row],[Costo total]]*STOCK[[#This Row],[Entradas]]</f>
        <v>1.5</v>
      </c>
      <c r="AB1719" s="54">
        <f>STOCK[[#This Row],[Stock Actual]]*STOCK[[#This Row],[Costo total]]</f>
        <v>0</v>
      </c>
      <c r="AC1719" s="76">
        <v>14.2</v>
      </c>
      <c r="AD1719" s="76"/>
    </row>
    <row r="1720" s="53" customFormat="1" ht="50" customHeight="1" spans="1:30">
      <c r="A1720" s="76" t="s">
        <v>3409</v>
      </c>
      <c r="B1720" s="83"/>
      <c r="C1720" s="76"/>
      <c r="D1720" s="84" t="s">
        <v>3278</v>
      </c>
      <c r="E1720" s="85" t="s">
        <v>3408</v>
      </c>
      <c r="F1720" s="85" t="s">
        <v>3410</v>
      </c>
      <c r="G1720" s="76"/>
      <c r="H1720" s="76">
        <f>STOCK[[#This Row],[Precio Final]]</f>
        <v>15</v>
      </c>
      <c r="I1720" s="80">
        <f>STOCK[[#This Row],[Precio Venta Ideal (x1.5)]]</f>
        <v>2.25</v>
      </c>
      <c r="J1720" s="86">
        <v>1</v>
      </c>
      <c r="K1720" s="78">
        <f>SUMIFS(VENTAS[Cantidad],VENTAS[Código del producto Vendido],STOCK[[#This Row],[Code]])</f>
        <v>1</v>
      </c>
      <c r="L1720" s="78">
        <f>STOCK[[#This Row],[Entradas]]-STOCK[[#This Row],[Salidas]]</f>
        <v>0</v>
      </c>
      <c r="M1720" s="76">
        <f>STOCK[[#This Row],[Precio Final]]*10%</f>
        <v>1.5</v>
      </c>
      <c r="N1720" s="54">
        <v>0</v>
      </c>
      <c r="O1720" s="76">
        <v>0</v>
      </c>
      <c r="P1720" s="76"/>
      <c r="Q1720" s="76">
        <v>11.2</v>
      </c>
      <c r="R1720" s="78"/>
      <c r="S1720" s="76"/>
      <c r="T1720" s="76">
        <f>STOCK[[#This Row],[Costo Unitario (USD)]]+STOCK[[#This Row],[Costo Envío (USD)]]+STOCK[[#This Row],[Comisión 10%]]</f>
        <v>1.5</v>
      </c>
      <c r="U1720" s="53">
        <f>STOCK[[#This Row],[Costo total]]*1.5</f>
        <v>2.25</v>
      </c>
      <c r="V1720" s="76">
        <v>15</v>
      </c>
      <c r="W1720" s="76">
        <f>STOCK[[#This Row],[Precio Final]]-STOCK[[#This Row],[Costo total]]</f>
        <v>13.5</v>
      </c>
      <c r="X1720" s="76">
        <f>STOCK[[#This Row],[Ganancia Unitaria]]*STOCK[[#This Row],[Salidas]]</f>
        <v>13.5</v>
      </c>
      <c r="Y1720" s="76">
        <v>0</v>
      </c>
      <c r="Z1720" s="87"/>
      <c r="AA1720" s="54">
        <f>STOCK[[#This Row],[Costo total]]*STOCK[[#This Row],[Entradas]]</f>
        <v>1.5</v>
      </c>
      <c r="AB1720" s="54">
        <f>STOCK[[#This Row],[Stock Actual]]*STOCK[[#This Row],[Costo total]]</f>
        <v>0</v>
      </c>
      <c r="AC1720" s="76">
        <v>14.2</v>
      </c>
      <c r="AD1720" s="76"/>
    </row>
    <row r="1721" s="53" customFormat="1" ht="50" customHeight="1" spans="1:30">
      <c r="A1721" s="76" t="s">
        <v>3411</v>
      </c>
      <c r="B1721" s="83"/>
      <c r="C1721" s="76"/>
      <c r="D1721" s="84" t="s">
        <v>3278</v>
      </c>
      <c r="E1721" s="85" t="s">
        <v>3412</v>
      </c>
      <c r="F1721" s="85" t="s">
        <v>525</v>
      </c>
      <c r="G1721" s="76"/>
      <c r="H1721" s="76">
        <f>STOCK[[#This Row],[Precio Final]]</f>
        <v>13</v>
      </c>
      <c r="I1721" s="80">
        <f>STOCK[[#This Row],[Precio Venta Ideal (x1.5)]]</f>
        <v>1.95</v>
      </c>
      <c r="J1721" s="86">
        <v>1</v>
      </c>
      <c r="K1721" s="78">
        <f>SUMIFS(VENTAS[Cantidad],VENTAS[Código del producto Vendido],STOCK[[#This Row],[Code]])</f>
        <v>2</v>
      </c>
      <c r="L1721" s="78">
        <f>STOCK[[#This Row],[Entradas]]-STOCK[[#This Row],[Salidas]]</f>
        <v>-1</v>
      </c>
      <c r="M1721" s="76">
        <f>STOCK[[#This Row],[Precio Final]]*10%</f>
        <v>1.3</v>
      </c>
      <c r="N1721" s="54">
        <v>0</v>
      </c>
      <c r="O1721" s="76">
        <v>0</v>
      </c>
      <c r="P1721" s="76"/>
      <c r="Q1721" s="76">
        <v>10</v>
      </c>
      <c r="R1721" s="78"/>
      <c r="S1721" s="76"/>
      <c r="T1721" s="76">
        <f>STOCK[[#This Row],[Costo Unitario (USD)]]+STOCK[[#This Row],[Costo Envío (USD)]]+STOCK[[#This Row],[Comisión 10%]]</f>
        <v>1.3</v>
      </c>
      <c r="U1721" s="53">
        <f>STOCK[[#This Row],[Costo total]]*1.5</f>
        <v>1.95</v>
      </c>
      <c r="V1721" s="76">
        <v>13</v>
      </c>
      <c r="W1721" s="76">
        <f>STOCK[[#This Row],[Precio Final]]-STOCK[[#This Row],[Costo total]]</f>
        <v>11.7</v>
      </c>
      <c r="X1721" s="76">
        <f>STOCK[[#This Row],[Ganancia Unitaria]]*STOCK[[#This Row],[Salidas]]</f>
        <v>23.4</v>
      </c>
      <c r="Y1721" s="76">
        <v>0</v>
      </c>
      <c r="Z1721" s="87"/>
      <c r="AA1721" s="54">
        <f>STOCK[[#This Row],[Costo total]]*STOCK[[#This Row],[Entradas]]</f>
        <v>1.3</v>
      </c>
      <c r="AB1721" s="54">
        <f>STOCK[[#This Row],[Stock Actual]]*STOCK[[#This Row],[Costo total]]</f>
        <v>-1.3</v>
      </c>
      <c r="AC1721" s="76">
        <v>12.8</v>
      </c>
      <c r="AD1721" s="76"/>
    </row>
    <row r="1722" s="53" customFormat="1" ht="50" customHeight="1" spans="1:30">
      <c r="A1722" s="76" t="s">
        <v>3413</v>
      </c>
      <c r="B1722" s="83"/>
      <c r="C1722" s="76"/>
      <c r="D1722" s="84" t="s">
        <v>3278</v>
      </c>
      <c r="E1722" s="85" t="s">
        <v>3414</v>
      </c>
      <c r="F1722" s="85" t="s">
        <v>525</v>
      </c>
      <c r="G1722" s="76"/>
      <c r="H1722" s="76">
        <f>STOCK[[#This Row],[Precio Final]]</f>
        <v>1</v>
      </c>
      <c r="I1722" s="80">
        <f>STOCK[[#This Row],[Precio Venta Ideal (x1.5)]]</f>
        <v>0.15</v>
      </c>
      <c r="J1722" s="86">
        <v>12</v>
      </c>
      <c r="K1722" s="78">
        <f>SUMIFS(VENTAS[Cantidad],VENTAS[Código del producto Vendido],STOCK[[#This Row],[Code]])</f>
        <v>12</v>
      </c>
      <c r="L1722" s="78">
        <f>STOCK[[#This Row],[Entradas]]-STOCK[[#This Row],[Salidas]]</f>
        <v>0</v>
      </c>
      <c r="M1722" s="76">
        <f>STOCK[[#This Row],[Precio Final]]*10%</f>
        <v>0.1</v>
      </c>
      <c r="N1722" s="54">
        <v>0</v>
      </c>
      <c r="O1722" s="76">
        <v>0</v>
      </c>
      <c r="P1722" s="76"/>
      <c r="Q1722" s="76">
        <v>0</v>
      </c>
      <c r="R1722" s="78"/>
      <c r="S1722" s="76"/>
      <c r="T1722" s="76">
        <f>STOCK[[#This Row],[Costo Unitario (USD)]]+STOCK[[#This Row],[Costo Envío (USD)]]+STOCK[[#This Row],[Comisión 10%]]</f>
        <v>0.1</v>
      </c>
      <c r="U1722" s="53">
        <f>STOCK[[#This Row],[Costo total]]*1.5</f>
        <v>0.15</v>
      </c>
      <c r="V1722" s="76">
        <v>1</v>
      </c>
      <c r="W1722" s="76">
        <f>STOCK[[#This Row],[Precio Final]]-STOCK[[#This Row],[Costo total]]</f>
        <v>0.9</v>
      </c>
      <c r="X1722" s="76">
        <f>STOCK[[#This Row],[Ganancia Unitaria]]*STOCK[[#This Row],[Salidas]]</f>
        <v>10.8</v>
      </c>
      <c r="Y1722" s="76">
        <v>0</v>
      </c>
      <c r="Z1722" s="87"/>
      <c r="AA1722" s="54">
        <f>STOCK[[#This Row],[Costo total]]*STOCK[[#This Row],[Entradas]]</f>
        <v>1.2</v>
      </c>
      <c r="AB1722" s="54">
        <f>STOCK[[#This Row],[Stock Actual]]*STOCK[[#This Row],[Costo total]]</f>
        <v>0</v>
      </c>
      <c r="AC1722" s="76">
        <v>1.8</v>
      </c>
      <c r="AD1722" s="76"/>
    </row>
    <row r="1723" s="53" customFormat="1" ht="50" customHeight="1" spans="1:30">
      <c r="A1723" s="76" t="s">
        <v>3415</v>
      </c>
      <c r="B1723" s="83"/>
      <c r="C1723" s="76"/>
      <c r="D1723" s="84" t="s">
        <v>3278</v>
      </c>
      <c r="E1723" s="85" t="s">
        <v>3416</v>
      </c>
      <c r="F1723" s="85" t="s">
        <v>525</v>
      </c>
      <c r="G1723" s="76"/>
      <c r="H1723" s="76">
        <f>STOCK[[#This Row],[Precio Final]]</f>
        <v>4</v>
      </c>
      <c r="I1723" s="80">
        <f>STOCK[[#This Row],[Precio Venta Ideal (x1.5)]]</f>
        <v>0.6</v>
      </c>
      <c r="J1723" s="86">
        <v>2</v>
      </c>
      <c r="K1723" s="78">
        <f>SUMIFS(VENTAS[Cantidad],VENTAS[Código del producto Vendido],STOCK[[#This Row],[Code]])</f>
        <v>0</v>
      </c>
      <c r="L1723" s="78">
        <f>STOCK[[#This Row],[Entradas]]-STOCK[[#This Row],[Salidas]]</f>
        <v>2</v>
      </c>
      <c r="M1723" s="76">
        <f>STOCK[[#This Row],[Precio Final]]*10%</f>
        <v>0.4</v>
      </c>
      <c r="N1723" s="54">
        <v>0</v>
      </c>
      <c r="O1723" s="76">
        <v>0</v>
      </c>
      <c r="P1723" s="76"/>
      <c r="Q1723" s="76">
        <v>1.92</v>
      </c>
      <c r="R1723" s="78"/>
      <c r="S1723" s="76"/>
      <c r="T1723" s="76">
        <f>STOCK[[#This Row],[Costo Unitario (USD)]]+STOCK[[#This Row],[Costo Envío (USD)]]+STOCK[[#This Row],[Comisión 10%]]</f>
        <v>0.4</v>
      </c>
      <c r="U1723" s="53">
        <f>STOCK[[#This Row],[Costo total]]*1.5</f>
        <v>0.6</v>
      </c>
      <c r="V1723" s="76">
        <v>4</v>
      </c>
      <c r="W1723" s="76">
        <f>STOCK[[#This Row],[Precio Final]]-STOCK[[#This Row],[Costo total]]</f>
        <v>3.6</v>
      </c>
      <c r="X1723" s="76">
        <f>STOCK[[#This Row],[Ganancia Unitaria]]*STOCK[[#This Row],[Salidas]]</f>
        <v>0</v>
      </c>
      <c r="Y1723" s="76">
        <v>0</v>
      </c>
      <c r="Z1723" s="87"/>
      <c r="AA1723" s="54">
        <f>STOCK[[#This Row],[Costo total]]*STOCK[[#This Row],[Entradas]]</f>
        <v>0.8</v>
      </c>
      <c r="AB1723" s="54">
        <f>STOCK[[#This Row],[Stock Actual]]*STOCK[[#This Row],[Costo total]]</f>
        <v>0.8</v>
      </c>
      <c r="AC1723" s="76">
        <v>6.64</v>
      </c>
      <c r="AD1723" s="76"/>
    </row>
    <row r="1724" s="53" customFormat="1" ht="50" customHeight="1" spans="1:30">
      <c r="A1724" s="76" t="s">
        <v>3417</v>
      </c>
      <c r="B1724" s="83"/>
      <c r="C1724" s="76"/>
      <c r="D1724" s="84" t="s">
        <v>3278</v>
      </c>
      <c r="E1724" s="85" t="s">
        <v>3418</v>
      </c>
      <c r="F1724" s="85" t="s">
        <v>525</v>
      </c>
      <c r="G1724" s="76"/>
      <c r="H1724" s="76">
        <f>STOCK[[#This Row],[Precio Final]]</f>
        <v>4</v>
      </c>
      <c r="I1724" s="80">
        <f>STOCK[[#This Row],[Precio Venta Ideal (x1.5)]]</f>
        <v>0.6</v>
      </c>
      <c r="J1724" s="86">
        <v>5</v>
      </c>
      <c r="K1724" s="78">
        <f>SUMIFS(VENTAS[Cantidad],VENTAS[Código del producto Vendido],STOCK[[#This Row],[Code]])</f>
        <v>1</v>
      </c>
      <c r="L1724" s="78">
        <f>STOCK[[#This Row],[Entradas]]-STOCK[[#This Row],[Salidas]]</f>
        <v>4</v>
      </c>
      <c r="M1724" s="76">
        <f>STOCK[[#This Row],[Precio Final]]*10%</f>
        <v>0.4</v>
      </c>
      <c r="N1724" s="54">
        <v>0</v>
      </c>
      <c r="O1724" s="76">
        <v>0</v>
      </c>
      <c r="P1724" s="76"/>
      <c r="Q1724" s="76">
        <v>1.92</v>
      </c>
      <c r="R1724" s="78"/>
      <c r="S1724" s="76"/>
      <c r="T1724" s="76">
        <f>STOCK[[#This Row],[Costo Unitario (USD)]]+STOCK[[#This Row],[Costo Envío (USD)]]+STOCK[[#This Row],[Comisión 10%]]</f>
        <v>0.4</v>
      </c>
      <c r="U1724" s="53">
        <f>STOCK[[#This Row],[Costo total]]*1.5</f>
        <v>0.6</v>
      </c>
      <c r="V1724" s="76">
        <v>4</v>
      </c>
      <c r="W1724" s="76">
        <f>STOCK[[#This Row],[Precio Final]]-STOCK[[#This Row],[Costo total]]</f>
        <v>3.6</v>
      </c>
      <c r="X1724" s="76">
        <f>STOCK[[#This Row],[Ganancia Unitaria]]*STOCK[[#This Row],[Salidas]]</f>
        <v>3.6</v>
      </c>
      <c r="Y1724" s="76">
        <v>0</v>
      </c>
      <c r="Z1724" s="87"/>
      <c r="AA1724" s="54">
        <f>STOCK[[#This Row],[Costo total]]*STOCK[[#This Row],[Entradas]]</f>
        <v>2</v>
      </c>
      <c r="AB1724" s="54">
        <f>STOCK[[#This Row],[Stock Actual]]*STOCK[[#This Row],[Costo total]]</f>
        <v>1.6</v>
      </c>
      <c r="AC1724" s="76">
        <v>16.6</v>
      </c>
      <c r="AD1724" s="76"/>
    </row>
    <row r="1725" s="53" customFormat="1" ht="50" customHeight="1" spans="1:30">
      <c r="A1725" s="76" t="s">
        <v>3419</v>
      </c>
      <c r="B1725" s="83"/>
      <c r="C1725" s="76"/>
      <c r="D1725" s="84" t="s">
        <v>3278</v>
      </c>
      <c r="E1725" s="85" t="s">
        <v>3420</v>
      </c>
      <c r="F1725" s="85" t="s">
        <v>525</v>
      </c>
      <c r="G1725" s="76"/>
      <c r="H1725" s="76">
        <f>STOCK[[#This Row],[Precio Final]]</f>
        <v>1</v>
      </c>
      <c r="I1725" s="80">
        <f>STOCK[[#This Row],[Precio Venta Ideal (x1.5)]]</f>
        <v>0.15</v>
      </c>
      <c r="J1725" s="86">
        <v>2</v>
      </c>
      <c r="K1725" s="78">
        <f>SUMIFS(VENTAS[Cantidad],VENTAS[Código del producto Vendido],STOCK[[#This Row],[Code]])</f>
        <v>0</v>
      </c>
      <c r="L1725" s="78">
        <f>STOCK[[#This Row],[Entradas]]-STOCK[[#This Row],[Salidas]]</f>
        <v>2</v>
      </c>
      <c r="M1725" s="76">
        <f>STOCK[[#This Row],[Precio Final]]*10%</f>
        <v>0.1</v>
      </c>
      <c r="N1725" s="54">
        <v>0</v>
      </c>
      <c r="O1725" s="76">
        <v>0</v>
      </c>
      <c r="P1725" s="76"/>
      <c r="Q1725" s="76">
        <v>0.25</v>
      </c>
      <c r="R1725" s="78"/>
      <c r="S1725" s="76"/>
      <c r="T1725" s="76">
        <f>STOCK[[#This Row],[Costo Unitario (USD)]]+STOCK[[#This Row],[Costo Envío (USD)]]+STOCK[[#This Row],[Comisión 10%]]</f>
        <v>0.1</v>
      </c>
      <c r="U1725" s="53">
        <f>STOCK[[#This Row],[Costo total]]*1.5</f>
        <v>0.15</v>
      </c>
      <c r="V1725" s="76">
        <v>1</v>
      </c>
      <c r="W1725" s="76">
        <f>STOCK[[#This Row],[Precio Final]]-STOCK[[#This Row],[Costo total]]</f>
        <v>0.9</v>
      </c>
      <c r="X1725" s="76">
        <f>STOCK[[#This Row],[Ganancia Unitaria]]*STOCK[[#This Row],[Salidas]]</f>
        <v>0</v>
      </c>
      <c r="Y1725" s="76">
        <v>0</v>
      </c>
      <c r="Z1725" s="87"/>
      <c r="AA1725" s="54">
        <f>STOCK[[#This Row],[Costo total]]*STOCK[[#This Row],[Entradas]]</f>
        <v>0.2</v>
      </c>
      <c r="AB1725" s="54">
        <f>STOCK[[#This Row],[Stock Actual]]*STOCK[[#This Row],[Costo total]]</f>
        <v>0.2</v>
      </c>
      <c r="AC1725" s="76">
        <v>1.1</v>
      </c>
      <c r="AD1725" s="76"/>
    </row>
    <row r="1726" s="53" customFormat="1" ht="50" customHeight="1" spans="1:30">
      <c r="A1726" s="76" t="s">
        <v>3421</v>
      </c>
      <c r="B1726" s="83"/>
      <c r="C1726" s="76"/>
      <c r="D1726" s="84" t="s">
        <v>3278</v>
      </c>
      <c r="E1726" s="85" t="s">
        <v>3422</v>
      </c>
      <c r="F1726" s="85" t="s">
        <v>525</v>
      </c>
      <c r="G1726" s="76"/>
      <c r="H1726" s="76">
        <f>STOCK[[#This Row],[Precio Final]]</f>
        <v>2</v>
      </c>
      <c r="I1726" s="80">
        <f>STOCK[[#This Row],[Precio Venta Ideal (x1.5)]]</f>
        <v>0.3</v>
      </c>
      <c r="J1726" s="86">
        <v>1</v>
      </c>
      <c r="K1726" s="78">
        <f>SUMIFS(VENTAS[Cantidad],VENTAS[Código del producto Vendido],STOCK[[#This Row],[Code]])</f>
        <v>0</v>
      </c>
      <c r="L1726" s="78">
        <f>STOCK[[#This Row],[Entradas]]-STOCK[[#This Row],[Salidas]]</f>
        <v>1</v>
      </c>
      <c r="M1726" s="76">
        <f>STOCK[[#This Row],[Precio Final]]*10%</f>
        <v>0.2</v>
      </c>
      <c r="N1726" s="54">
        <v>0</v>
      </c>
      <c r="O1726" s="76">
        <v>0</v>
      </c>
      <c r="P1726" s="76"/>
      <c r="Q1726" s="76">
        <v>1</v>
      </c>
      <c r="R1726" s="78"/>
      <c r="S1726" s="76"/>
      <c r="T1726" s="76">
        <f>STOCK[[#This Row],[Costo Unitario (USD)]]+STOCK[[#This Row],[Costo Envío (USD)]]+STOCK[[#This Row],[Comisión 10%]]</f>
        <v>0.2</v>
      </c>
      <c r="U1726" s="53">
        <f>STOCK[[#This Row],[Costo total]]*1.5</f>
        <v>0.3</v>
      </c>
      <c r="V1726" s="76">
        <v>2</v>
      </c>
      <c r="W1726" s="76">
        <f>STOCK[[#This Row],[Precio Final]]-STOCK[[#This Row],[Costo total]]</f>
        <v>1.8</v>
      </c>
      <c r="X1726" s="76">
        <f>STOCK[[#This Row],[Ganancia Unitaria]]*STOCK[[#This Row],[Salidas]]</f>
        <v>0</v>
      </c>
      <c r="Y1726" s="76">
        <v>0</v>
      </c>
      <c r="Z1726" s="87"/>
      <c r="AA1726" s="54">
        <f>STOCK[[#This Row],[Costo total]]*STOCK[[#This Row],[Entradas]]</f>
        <v>0.2</v>
      </c>
      <c r="AB1726" s="54">
        <f>STOCK[[#This Row],[Stock Actual]]*STOCK[[#This Row],[Costo total]]</f>
        <v>0.2</v>
      </c>
      <c r="AC1726" s="76">
        <v>1.8</v>
      </c>
      <c r="AD1726" s="76"/>
    </row>
    <row r="1727" s="53" customFormat="1" ht="50" customHeight="1" spans="1:30">
      <c r="A1727" s="76" t="s">
        <v>3423</v>
      </c>
      <c r="B1727" s="83"/>
      <c r="C1727" s="76"/>
      <c r="D1727" s="84" t="s">
        <v>3278</v>
      </c>
      <c r="E1727" s="85" t="s">
        <v>3424</v>
      </c>
      <c r="F1727" s="85" t="s">
        <v>525</v>
      </c>
      <c r="G1727" s="76"/>
      <c r="H1727" s="76">
        <f>STOCK[[#This Row],[Precio Final]]</f>
        <v>1</v>
      </c>
      <c r="I1727" s="80">
        <f>STOCK[[#This Row],[Precio Venta Ideal (x1.5)]]</f>
        <v>0.15</v>
      </c>
      <c r="J1727" s="86">
        <v>4</v>
      </c>
      <c r="K1727" s="78">
        <f>SUMIFS(VENTAS[Cantidad],VENTAS[Código del producto Vendido],STOCK[[#This Row],[Code]])</f>
        <v>4</v>
      </c>
      <c r="L1727" s="78">
        <f>STOCK[[#This Row],[Entradas]]-STOCK[[#This Row],[Salidas]]</f>
        <v>0</v>
      </c>
      <c r="M1727" s="76">
        <f>STOCK[[#This Row],[Precio Final]]*10%</f>
        <v>0.1</v>
      </c>
      <c r="N1727" s="54">
        <v>0</v>
      </c>
      <c r="O1727" s="76">
        <v>0</v>
      </c>
      <c r="P1727" s="76"/>
      <c r="Q1727" s="76">
        <v>0.2</v>
      </c>
      <c r="R1727" s="78"/>
      <c r="S1727" s="76"/>
      <c r="T1727" s="76">
        <f>STOCK[[#This Row],[Costo Unitario (USD)]]+STOCK[[#This Row],[Costo Envío (USD)]]+STOCK[[#This Row],[Comisión 10%]]</f>
        <v>0.1</v>
      </c>
      <c r="U1727" s="53">
        <f>STOCK[[#This Row],[Costo total]]*1.5</f>
        <v>0.15</v>
      </c>
      <c r="V1727" s="76">
        <v>1</v>
      </c>
      <c r="W1727" s="76">
        <f>STOCK[[#This Row],[Precio Final]]-STOCK[[#This Row],[Costo total]]</f>
        <v>0.9</v>
      </c>
      <c r="X1727" s="76">
        <f>STOCK[[#This Row],[Ganancia Unitaria]]*STOCK[[#This Row],[Salidas]]</f>
        <v>3.6</v>
      </c>
      <c r="Y1727" s="76">
        <v>0</v>
      </c>
      <c r="Z1727" s="87"/>
      <c r="AA1727" s="54">
        <f>STOCK[[#This Row],[Costo total]]*STOCK[[#This Row],[Entradas]]</f>
        <v>0.4</v>
      </c>
      <c r="AB1727" s="54">
        <f>STOCK[[#This Row],[Stock Actual]]*STOCK[[#This Row],[Costo total]]</f>
        <v>0</v>
      </c>
      <c r="AC1727" s="76">
        <v>2.6</v>
      </c>
      <c r="AD1727" s="76"/>
    </row>
    <row r="1728" s="53" customFormat="1" ht="50" customHeight="1" spans="1:30">
      <c r="A1728" s="76" t="s">
        <v>3425</v>
      </c>
      <c r="B1728" s="83"/>
      <c r="C1728" s="76"/>
      <c r="D1728" s="84" t="s">
        <v>3278</v>
      </c>
      <c r="E1728" s="85" t="s">
        <v>3426</v>
      </c>
      <c r="F1728" s="85" t="s">
        <v>525</v>
      </c>
      <c r="G1728" s="76"/>
      <c r="H1728" s="76">
        <f>STOCK[[#This Row],[Precio Final]]</f>
        <v>1</v>
      </c>
      <c r="I1728" s="80">
        <f>STOCK[[#This Row],[Precio Venta Ideal (x1.5)]]</f>
        <v>0.15</v>
      </c>
      <c r="J1728" s="86">
        <v>2</v>
      </c>
      <c r="K1728" s="78">
        <f>SUMIFS(VENTAS[Cantidad],VENTAS[Código del producto Vendido],STOCK[[#This Row],[Code]])</f>
        <v>0</v>
      </c>
      <c r="L1728" s="78">
        <f>STOCK[[#This Row],[Entradas]]-STOCK[[#This Row],[Salidas]]</f>
        <v>2</v>
      </c>
      <c r="M1728" s="76">
        <f>STOCK[[#This Row],[Precio Final]]*10%</f>
        <v>0.1</v>
      </c>
      <c r="N1728" s="54">
        <v>0</v>
      </c>
      <c r="O1728" s="76">
        <v>0</v>
      </c>
      <c r="P1728" s="76"/>
      <c r="Q1728" s="76">
        <v>0.2</v>
      </c>
      <c r="R1728" s="78"/>
      <c r="S1728" s="76"/>
      <c r="T1728" s="76">
        <f>STOCK[[#This Row],[Costo Unitario (USD)]]+STOCK[[#This Row],[Costo Envío (USD)]]+STOCK[[#This Row],[Comisión 10%]]</f>
        <v>0.1</v>
      </c>
      <c r="U1728" s="53">
        <f>STOCK[[#This Row],[Costo total]]*1.5</f>
        <v>0.15</v>
      </c>
      <c r="V1728" s="76">
        <v>1</v>
      </c>
      <c r="W1728" s="76">
        <f>STOCK[[#This Row],[Precio Final]]-STOCK[[#This Row],[Costo total]]</f>
        <v>0.9</v>
      </c>
      <c r="X1728" s="76">
        <f>STOCK[[#This Row],[Ganancia Unitaria]]*STOCK[[#This Row],[Salidas]]</f>
        <v>0</v>
      </c>
      <c r="Y1728" s="76">
        <v>0</v>
      </c>
      <c r="Z1728" s="87"/>
      <c r="AA1728" s="54">
        <f>STOCK[[#This Row],[Costo total]]*STOCK[[#This Row],[Entradas]]</f>
        <v>0.2</v>
      </c>
      <c r="AB1728" s="54">
        <f>STOCK[[#This Row],[Stock Actual]]*STOCK[[#This Row],[Costo total]]</f>
        <v>0.2</v>
      </c>
      <c r="AC1728" s="76">
        <v>1.3</v>
      </c>
      <c r="AD1728" s="76"/>
    </row>
    <row r="1729" s="53" customFormat="1" ht="50" customHeight="1" spans="1:30">
      <c r="A1729" s="76" t="s">
        <v>3427</v>
      </c>
      <c r="B1729" s="83"/>
      <c r="C1729" s="76"/>
      <c r="D1729" s="84" t="s">
        <v>3278</v>
      </c>
      <c r="E1729" s="85" t="s">
        <v>3428</v>
      </c>
      <c r="F1729" s="85" t="s">
        <v>525</v>
      </c>
      <c r="G1729" s="76"/>
      <c r="H1729" s="76">
        <f>STOCK[[#This Row],[Precio Final]]</f>
        <v>1</v>
      </c>
      <c r="I1729" s="80">
        <f>STOCK[[#This Row],[Precio Venta Ideal (x1.5)]]</f>
        <v>0.15</v>
      </c>
      <c r="J1729" s="86">
        <v>1</v>
      </c>
      <c r="K1729" s="78">
        <f>SUMIFS(VENTAS[Cantidad],VENTAS[Código del producto Vendido],STOCK[[#This Row],[Code]])</f>
        <v>1</v>
      </c>
      <c r="L1729" s="78">
        <f>STOCK[[#This Row],[Entradas]]-STOCK[[#This Row],[Salidas]]</f>
        <v>0</v>
      </c>
      <c r="M1729" s="76">
        <f>STOCK[[#This Row],[Precio Final]]*10%</f>
        <v>0.1</v>
      </c>
      <c r="N1729" s="54">
        <v>0</v>
      </c>
      <c r="O1729" s="76">
        <v>0</v>
      </c>
      <c r="P1729" s="76"/>
      <c r="Q1729" s="76">
        <v>0.2</v>
      </c>
      <c r="R1729" s="78"/>
      <c r="S1729" s="76"/>
      <c r="T1729" s="76">
        <f>STOCK[[#This Row],[Costo Unitario (USD)]]+STOCK[[#This Row],[Costo Envío (USD)]]+STOCK[[#This Row],[Comisión 10%]]</f>
        <v>0.1</v>
      </c>
      <c r="U1729" s="53">
        <f>STOCK[[#This Row],[Costo total]]*1.5</f>
        <v>0.15</v>
      </c>
      <c r="V1729" s="76">
        <v>1</v>
      </c>
      <c r="W1729" s="76">
        <f>STOCK[[#This Row],[Precio Final]]-STOCK[[#This Row],[Costo total]]</f>
        <v>0.9</v>
      </c>
      <c r="X1729" s="76">
        <f>STOCK[[#This Row],[Ganancia Unitaria]]*STOCK[[#This Row],[Salidas]]</f>
        <v>0.9</v>
      </c>
      <c r="Y1729" s="76">
        <v>0</v>
      </c>
      <c r="Z1729" s="87"/>
      <c r="AA1729" s="54">
        <f>STOCK[[#This Row],[Costo total]]*STOCK[[#This Row],[Entradas]]</f>
        <v>0.1</v>
      </c>
      <c r="AB1729" s="54">
        <f>STOCK[[#This Row],[Stock Actual]]*STOCK[[#This Row],[Costo total]]</f>
        <v>0</v>
      </c>
      <c r="AC1729" s="76">
        <v>0.65</v>
      </c>
      <c r="AD1729" s="76"/>
    </row>
    <row r="1730" s="53" customFormat="1" ht="50" customHeight="1" spans="1:30">
      <c r="A1730" s="76" t="s">
        <v>3429</v>
      </c>
      <c r="B1730" s="83"/>
      <c r="C1730" s="76"/>
      <c r="D1730" s="84" t="s">
        <v>3278</v>
      </c>
      <c r="E1730" s="85" t="s">
        <v>3430</v>
      </c>
      <c r="F1730" s="85" t="s">
        <v>3410</v>
      </c>
      <c r="G1730" s="76"/>
      <c r="H1730" s="76">
        <f>STOCK[[#This Row],[Precio Final]]</f>
        <v>9</v>
      </c>
      <c r="I1730" s="80">
        <f>STOCK[[#This Row],[Precio Venta Ideal (x1.5)]]</f>
        <v>1.35</v>
      </c>
      <c r="J1730" s="86">
        <v>1</v>
      </c>
      <c r="K1730" s="78">
        <f>SUMIFS(VENTAS[Cantidad],VENTAS[Código del producto Vendido],STOCK[[#This Row],[Code]])</f>
        <v>1</v>
      </c>
      <c r="L1730" s="78">
        <f>STOCK[[#This Row],[Entradas]]-STOCK[[#This Row],[Salidas]]</f>
        <v>0</v>
      </c>
      <c r="M1730" s="76">
        <f>STOCK[[#This Row],[Precio Final]]*10%</f>
        <v>0.9</v>
      </c>
      <c r="N1730" s="54">
        <v>0</v>
      </c>
      <c r="O1730" s="76">
        <v>0</v>
      </c>
      <c r="P1730" s="76"/>
      <c r="Q1730" s="76">
        <v>5.5</v>
      </c>
      <c r="R1730" s="78"/>
      <c r="S1730" s="76"/>
      <c r="T1730" s="76">
        <f>STOCK[[#This Row],[Costo Unitario (USD)]]+STOCK[[#This Row],[Costo Envío (USD)]]+STOCK[[#This Row],[Comisión 10%]]</f>
        <v>0.9</v>
      </c>
      <c r="U1730" s="53">
        <f>STOCK[[#This Row],[Costo total]]*1.5</f>
        <v>1.35</v>
      </c>
      <c r="V1730" s="76">
        <v>9</v>
      </c>
      <c r="W1730" s="76">
        <f>STOCK[[#This Row],[Precio Final]]-STOCK[[#This Row],[Costo total]]</f>
        <v>8.1</v>
      </c>
      <c r="X1730" s="76">
        <f>STOCK[[#This Row],[Ganancia Unitaria]]*STOCK[[#This Row],[Salidas]]</f>
        <v>8.1</v>
      </c>
      <c r="Y1730" s="76">
        <v>0</v>
      </c>
      <c r="Z1730" s="87"/>
      <c r="AA1730" s="54">
        <f>STOCK[[#This Row],[Costo total]]*STOCK[[#This Row],[Entradas]]</f>
        <v>0.9</v>
      </c>
      <c r="AB1730" s="54">
        <f>STOCK[[#This Row],[Stock Actual]]*STOCK[[#This Row],[Costo total]]</f>
        <v>0</v>
      </c>
      <c r="AC1730" s="76">
        <v>8.7</v>
      </c>
      <c r="AD1730" s="76"/>
    </row>
    <row r="1731" s="53" customFormat="1" ht="50" customHeight="1" spans="1:30">
      <c r="A1731" s="76" t="s">
        <v>3431</v>
      </c>
      <c r="B1731" s="83"/>
      <c r="C1731" s="76"/>
      <c r="D1731" s="84" t="s">
        <v>3278</v>
      </c>
      <c r="E1731" s="85" t="s">
        <v>3432</v>
      </c>
      <c r="F1731" s="85" t="s">
        <v>3410</v>
      </c>
      <c r="G1731" s="76"/>
      <c r="H1731" s="76">
        <f>STOCK[[#This Row],[Precio Final]]</f>
        <v>9</v>
      </c>
      <c r="I1731" s="80">
        <f>STOCK[[#This Row],[Precio Venta Ideal (x1.5)]]</f>
        <v>1.35</v>
      </c>
      <c r="J1731" s="86">
        <v>2</v>
      </c>
      <c r="K1731" s="78">
        <f>SUMIFS(VENTAS[Cantidad],VENTAS[Código del producto Vendido],STOCK[[#This Row],[Code]])</f>
        <v>0</v>
      </c>
      <c r="L1731" s="78">
        <f>STOCK[[#This Row],[Entradas]]-STOCK[[#This Row],[Salidas]]</f>
        <v>2</v>
      </c>
      <c r="M1731" s="76">
        <f>STOCK[[#This Row],[Precio Final]]*10%</f>
        <v>0.9</v>
      </c>
      <c r="N1731" s="54">
        <v>0</v>
      </c>
      <c r="O1731" s="76">
        <v>0</v>
      </c>
      <c r="P1731" s="76"/>
      <c r="Q1731" s="76">
        <v>5.5</v>
      </c>
      <c r="R1731" s="78"/>
      <c r="S1731" s="76"/>
      <c r="T1731" s="76">
        <f>STOCK[[#This Row],[Costo Unitario (USD)]]+STOCK[[#This Row],[Costo Envío (USD)]]+STOCK[[#This Row],[Comisión 10%]]</f>
        <v>0.9</v>
      </c>
      <c r="U1731" s="53">
        <f>STOCK[[#This Row],[Costo total]]*1.5</f>
        <v>1.35</v>
      </c>
      <c r="V1731" s="76">
        <v>9</v>
      </c>
      <c r="W1731" s="76">
        <f>STOCK[[#This Row],[Precio Final]]-STOCK[[#This Row],[Costo total]]</f>
        <v>8.1</v>
      </c>
      <c r="X1731" s="76">
        <f>STOCK[[#This Row],[Ganancia Unitaria]]*STOCK[[#This Row],[Salidas]]</f>
        <v>0</v>
      </c>
      <c r="Y1731" s="76">
        <v>0</v>
      </c>
      <c r="Z1731" s="87"/>
      <c r="AA1731" s="54">
        <f>STOCK[[#This Row],[Costo total]]*STOCK[[#This Row],[Entradas]]</f>
        <v>1.8</v>
      </c>
      <c r="AB1731" s="54">
        <f>STOCK[[#This Row],[Stock Actual]]*STOCK[[#This Row],[Costo total]]</f>
        <v>1.8</v>
      </c>
      <c r="AC1731" s="76">
        <v>17.4</v>
      </c>
      <c r="AD1731" s="76"/>
    </row>
    <row r="1732" s="53" customFormat="1" ht="50" customHeight="1" spans="1:30">
      <c r="A1732" s="76" t="s">
        <v>3433</v>
      </c>
      <c r="B1732" s="83"/>
      <c r="C1732" s="76"/>
      <c r="D1732" s="84" t="s">
        <v>3278</v>
      </c>
      <c r="E1732" s="85" t="s">
        <v>3432</v>
      </c>
      <c r="F1732" s="85" t="s">
        <v>2108</v>
      </c>
      <c r="G1732" s="76"/>
      <c r="H1732" s="76">
        <f>STOCK[[#This Row],[Precio Final]]</f>
        <v>9</v>
      </c>
      <c r="I1732" s="80">
        <f>STOCK[[#This Row],[Precio Venta Ideal (x1.5)]]</f>
        <v>1.35</v>
      </c>
      <c r="J1732" s="86">
        <v>2</v>
      </c>
      <c r="K1732" s="78">
        <f>SUMIFS(VENTAS[Cantidad],VENTAS[Código del producto Vendido],STOCK[[#This Row],[Code]])</f>
        <v>1</v>
      </c>
      <c r="L1732" s="78">
        <f>STOCK[[#This Row],[Entradas]]-STOCK[[#This Row],[Salidas]]</f>
        <v>1</v>
      </c>
      <c r="M1732" s="76">
        <f>STOCK[[#This Row],[Precio Final]]*10%</f>
        <v>0.9</v>
      </c>
      <c r="N1732" s="54">
        <v>0</v>
      </c>
      <c r="O1732" s="76">
        <v>0</v>
      </c>
      <c r="P1732" s="76"/>
      <c r="Q1732" s="76">
        <v>5.5</v>
      </c>
      <c r="R1732" s="78"/>
      <c r="S1732" s="76"/>
      <c r="T1732" s="76">
        <f>STOCK[[#This Row],[Costo Unitario (USD)]]+STOCK[[#This Row],[Costo Envío (USD)]]+STOCK[[#This Row],[Comisión 10%]]</f>
        <v>0.9</v>
      </c>
      <c r="U1732" s="53">
        <f>STOCK[[#This Row],[Costo total]]*1.5</f>
        <v>1.35</v>
      </c>
      <c r="V1732" s="76">
        <v>9</v>
      </c>
      <c r="W1732" s="76">
        <f>STOCK[[#This Row],[Precio Final]]-STOCK[[#This Row],[Costo total]]</f>
        <v>8.1</v>
      </c>
      <c r="X1732" s="76">
        <f>STOCK[[#This Row],[Ganancia Unitaria]]*STOCK[[#This Row],[Salidas]]</f>
        <v>8.1</v>
      </c>
      <c r="Y1732" s="76">
        <v>0</v>
      </c>
      <c r="Z1732" s="87"/>
      <c r="AA1732" s="54">
        <f>STOCK[[#This Row],[Costo total]]*STOCK[[#This Row],[Entradas]]</f>
        <v>1.8</v>
      </c>
      <c r="AB1732" s="54">
        <f>STOCK[[#This Row],[Stock Actual]]*STOCK[[#This Row],[Costo total]]</f>
        <v>0.9</v>
      </c>
      <c r="AC1732" s="76">
        <v>17.4</v>
      </c>
      <c r="AD1732" s="76"/>
    </row>
    <row r="1733" s="53" customFormat="1" ht="50" customHeight="1" spans="1:30">
      <c r="A1733" s="76" t="s">
        <v>3434</v>
      </c>
      <c r="B1733" s="83"/>
      <c r="C1733" s="76"/>
      <c r="D1733" s="84" t="s">
        <v>3278</v>
      </c>
      <c r="E1733" s="85" t="s">
        <v>3435</v>
      </c>
      <c r="F1733" s="85" t="s">
        <v>2108</v>
      </c>
      <c r="G1733" s="76"/>
      <c r="H1733" s="76">
        <f>STOCK[[#This Row],[Precio Final]]</f>
        <v>9</v>
      </c>
      <c r="I1733" s="80">
        <f>STOCK[[#This Row],[Precio Venta Ideal (x1.5)]]</f>
        <v>1.35</v>
      </c>
      <c r="J1733" s="86">
        <v>1</v>
      </c>
      <c r="K1733" s="78">
        <f>SUMIFS(VENTAS[Cantidad],VENTAS[Código del producto Vendido],STOCK[[#This Row],[Code]])</f>
        <v>1</v>
      </c>
      <c r="L1733" s="78">
        <f>STOCK[[#This Row],[Entradas]]-STOCK[[#This Row],[Salidas]]</f>
        <v>0</v>
      </c>
      <c r="M1733" s="76">
        <f>STOCK[[#This Row],[Precio Final]]*10%</f>
        <v>0.9</v>
      </c>
      <c r="N1733" s="54">
        <v>0</v>
      </c>
      <c r="O1733" s="76">
        <v>0</v>
      </c>
      <c r="P1733" s="76"/>
      <c r="Q1733" s="76">
        <v>5.5</v>
      </c>
      <c r="R1733" s="78"/>
      <c r="S1733" s="76"/>
      <c r="T1733" s="76">
        <f>STOCK[[#This Row],[Costo Unitario (USD)]]+STOCK[[#This Row],[Costo Envío (USD)]]+STOCK[[#This Row],[Comisión 10%]]</f>
        <v>0.9</v>
      </c>
      <c r="U1733" s="53">
        <f>STOCK[[#This Row],[Costo total]]*1.5</f>
        <v>1.35</v>
      </c>
      <c r="V1733" s="76">
        <v>9</v>
      </c>
      <c r="W1733" s="76">
        <f>STOCK[[#This Row],[Precio Final]]-STOCK[[#This Row],[Costo total]]</f>
        <v>8.1</v>
      </c>
      <c r="X1733" s="76">
        <f>STOCK[[#This Row],[Ganancia Unitaria]]*STOCK[[#This Row],[Salidas]]</f>
        <v>8.1</v>
      </c>
      <c r="Y1733" s="76">
        <v>3.3</v>
      </c>
      <c r="Z1733" s="87"/>
      <c r="AA1733" s="54">
        <f>STOCK[[#This Row],[Costo total]]*STOCK[[#This Row],[Entradas]]</f>
        <v>0.9</v>
      </c>
      <c r="AB1733" s="54">
        <f>STOCK[[#This Row],[Stock Actual]]*STOCK[[#This Row],[Costo total]]</f>
        <v>0</v>
      </c>
      <c r="AC1733" s="76">
        <v>0</v>
      </c>
      <c r="AD1733" s="76"/>
    </row>
    <row r="1734" s="53" customFormat="1" ht="50" customHeight="1" spans="1:30">
      <c r="A1734" s="76" t="s">
        <v>3436</v>
      </c>
      <c r="B1734" s="83"/>
      <c r="C1734" s="76"/>
      <c r="D1734" s="84" t="s">
        <v>3278</v>
      </c>
      <c r="E1734" s="85" t="s">
        <v>3435</v>
      </c>
      <c r="F1734" s="85" t="s">
        <v>3410</v>
      </c>
      <c r="G1734" s="76"/>
      <c r="H1734" s="76">
        <f>STOCK[[#This Row],[Precio Final]]</f>
        <v>9</v>
      </c>
      <c r="I1734" s="80">
        <f>STOCK[[#This Row],[Precio Venta Ideal (x1.5)]]</f>
        <v>1.35</v>
      </c>
      <c r="J1734" s="86">
        <v>2</v>
      </c>
      <c r="K1734" s="78">
        <f>SUMIFS(VENTAS[Cantidad],VENTAS[Código del producto Vendido],STOCK[[#This Row],[Code]])</f>
        <v>2</v>
      </c>
      <c r="L1734" s="78">
        <f>STOCK[[#This Row],[Entradas]]-STOCK[[#This Row],[Salidas]]</f>
        <v>0</v>
      </c>
      <c r="M1734" s="76">
        <f>STOCK[[#This Row],[Precio Final]]*10%</f>
        <v>0.9</v>
      </c>
      <c r="N1734" s="54">
        <v>0</v>
      </c>
      <c r="O1734" s="76">
        <v>0</v>
      </c>
      <c r="P1734" s="76"/>
      <c r="Q1734" s="76">
        <v>5.5</v>
      </c>
      <c r="R1734" s="78"/>
      <c r="S1734" s="76"/>
      <c r="T1734" s="76">
        <f>STOCK[[#This Row],[Costo Unitario (USD)]]+STOCK[[#This Row],[Costo Envío (USD)]]+STOCK[[#This Row],[Comisión 10%]]</f>
        <v>0.9</v>
      </c>
      <c r="U1734" s="53">
        <f>STOCK[[#This Row],[Costo total]]*1.5</f>
        <v>1.35</v>
      </c>
      <c r="V1734" s="76">
        <v>9</v>
      </c>
      <c r="W1734" s="76">
        <f>STOCK[[#This Row],[Precio Final]]-STOCK[[#This Row],[Costo total]]</f>
        <v>8.1</v>
      </c>
      <c r="X1734" s="76">
        <f>STOCK[[#This Row],[Ganancia Unitaria]]*STOCK[[#This Row],[Salidas]]</f>
        <v>16.2</v>
      </c>
      <c r="Y1734" s="76">
        <v>0</v>
      </c>
      <c r="Z1734" s="87"/>
      <c r="AA1734" s="54">
        <f>STOCK[[#This Row],[Costo total]]*STOCK[[#This Row],[Entradas]]</f>
        <v>1.8</v>
      </c>
      <c r="AB1734" s="54">
        <f>STOCK[[#This Row],[Stock Actual]]*STOCK[[#This Row],[Costo total]]</f>
        <v>0</v>
      </c>
      <c r="AC1734" s="76">
        <v>17.4</v>
      </c>
      <c r="AD1734" s="76"/>
    </row>
    <row r="1735" s="53" customFormat="1" ht="50" customHeight="1" spans="1:30">
      <c r="A1735" s="53" t="s">
        <v>3437</v>
      </c>
      <c r="B1735" s="83"/>
      <c r="C1735" s="53" t="s">
        <v>32</v>
      </c>
      <c r="D1735" s="84" t="s">
        <v>3278</v>
      </c>
      <c r="E1735" s="85" t="s">
        <v>3438</v>
      </c>
      <c r="F1735" s="85" t="s">
        <v>525</v>
      </c>
      <c r="G1735" s="76"/>
      <c r="H1735" s="76">
        <f>STOCK[[#This Row],[Precio Final]]</f>
        <v>9.435</v>
      </c>
      <c r="I1735" s="80">
        <f>STOCK[[#This Row],[Precio Venta Ideal (x1.5)]]</f>
        <v>1.41525</v>
      </c>
      <c r="J1735" s="86">
        <v>3</v>
      </c>
      <c r="K1735" s="78">
        <f>SUMIFS(VENTAS[Cantidad],VENTAS[Código del producto Vendido],STOCK[[#This Row],[Code]])</f>
        <v>6</v>
      </c>
      <c r="L1735" s="78">
        <f>STOCK[[#This Row],[Entradas]]-STOCK[[#This Row],[Salidas]]</f>
        <v>-3</v>
      </c>
      <c r="M1735" s="76">
        <f>STOCK[[#This Row],[Precio Final]]*10%</f>
        <v>0.9435</v>
      </c>
      <c r="N1735" s="54">
        <v>0</v>
      </c>
      <c r="O1735" s="76">
        <v>0</v>
      </c>
      <c r="P1735" s="76"/>
      <c r="Q1735" s="76">
        <v>4.04</v>
      </c>
      <c r="R1735" s="78"/>
      <c r="S1735" s="76"/>
      <c r="T1735" s="76">
        <f>STOCK[[#This Row],[Costo Unitario (USD)]]+STOCK[[#This Row],[Costo Envío (USD)]]+STOCK[[#This Row],[Comisión 10%]]</f>
        <v>0.9435</v>
      </c>
      <c r="U1735" s="53">
        <f>STOCK[[#This Row],[Costo total]]*1.5</f>
        <v>1.41525</v>
      </c>
      <c r="V1735" s="53">
        <v>9.435</v>
      </c>
      <c r="W1735" s="76">
        <f>STOCK[[#This Row],[Precio Final]]-STOCK[[#This Row],[Costo total]]</f>
        <v>8.4915</v>
      </c>
      <c r="X1735" s="76">
        <f>STOCK[[#This Row],[Ganancia Unitaria]]*STOCK[[#This Row],[Salidas]]</f>
        <v>50.949</v>
      </c>
      <c r="Y1735" s="76">
        <v>0</v>
      </c>
      <c r="Z1735" s="87"/>
      <c r="AA1735" s="54">
        <f>STOCK[[#This Row],[Costo total]]*STOCK[[#This Row],[Entradas]]</f>
        <v>2.8305</v>
      </c>
      <c r="AB1735" s="54">
        <f>STOCK[[#This Row],[Stock Actual]]*STOCK[[#This Row],[Costo total]]</f>
        <v>-2.8305</v>
      </c>
      <c r="AC1735" s="76">
        <v>18.87</v>
      </c>
      <c r="AD1735" s="76"/>
    </row>
    <row r="1736" s="53" customFormat="1" ht="50" customHeight="1" spans="1:30">
      <c r="A1736" s="53" t="s">
        <v>3439</v>
      </c>
      <c r="B1736" s="83"/>
      <c r="C1736" s="53" t="s">
        <v>32</v>
      </c>
      <c r="D1736" s="84" t="s">
        <v>3278</v>
      </c>
      <c r="E1736" s="85" t="s">
        <v>3440</v>
      </c>
      <c r="F1736" s="85" t="s">
        <v>525</v>
      </c>
      <c r="G1736" s="76"/>
      <c r="H1736" s="76">
        <f>STOCK[[#This Row],[Precio Final]]</f>
        <v>13.575</v>
      </c>
      <c r="I1736" s="80">
        <f>STOCK[[#This Row],[Precio Venta Ideal (x1.5)]]</f>
        <v>2.03625</v>
      </c>
      <c r="J1736" s="86">
        <v>3</v>
      </c>
      <c r="K1736" s="78">
        <f>SUMIFS(VENTAS[Cantidad],VENTAS[Código del producto Vendido],STOCK[[#This Row],[Code]])</f>
        <v>0</v>
      </c>
      <c r="L1736" s="78">
        <f>STOCK[[#This Row],[Entradas]]-STOCK[[#This Row],[Salidas]]</f>
        <v>3</v>
      </c>
      <c r="M1736" s="76">
        <f>STOCK[[#This Row],[Precio Final]]*10%</f>
        <v>1.3575</v>
      </c>
      <c r="N1736" s="54">
        <v>0</v>
      </c>
      <c r="O1736" s="76">
        <v>0</v>
      </c>
      <c r="P1736" s="76"/>
      <c r="Q1736" s="76">
        <v>5.5</v>
      </c>
      <c r="R1736" s="78"/>
      <c r="S1736" s="76"/>
      <c r="T1736" s="76">
        <f>STOCK[[#This Row],[Costo Unitario (USD)]]+STOCK[[#This Row],[Costo Envío (USD)]]+STOCK[[#This Row],[Comisión 10%]]</f>
        <v>1.3575</v>
      </c>
      <c r="U1736" s="53">
        <f>STOCK[[#This Row],[Costo total]]*1.5</f>
        <v>2.03625</v>
      </c>
      <c r="V1736" s="53">
        <v>13.575</v>
      </c>
      <c r="W1736" s="76">
        <f>STOCK[[#This Row],[Precio Final]]-STOCK[[#This Row],[Costo total]]</f>
        <v>12.2175</v>
      </c>
      <c r="X1736" s="76">
        <f>STOCK[[#This Row],[Ganancia Unitaria]]*STOCK[[#This Row],[Salidas]]</f>
        <v>0</v>
      </c>
      <c r="Y1736" s="76">
        <v>0</v>
      </c>
      <c r="Z1736" s="87"/>
      <c r="AA1736" s="54">
        <f>STOCK[[#This Row],[Costo total]]*STOCK[[#This Row],[Entradas]]</f>
        <v>4.0725</v>
      </c>
      <c r="AB1736" s="54">
        <f>STOCK[[#This Row],[Stock Actual]]*STOCK[[#This Row],[Costo total]]</f>
        <v>4.0725</v>
      </c>
      <c r="AC1736" s="76">
        <v>27.15</v>
      </c>
      <c r="AD1736" s="76"/>
    </row>
    <row r="1737" s="53" customFormat="1" ht="50" customHeight="1" spans="1:30">
      <c r="A1737" s="53" t="s">
        <v>3441</v>
      </c>
      <c r="B1737" s="83"/>
      <c r="C1737" s="53" t="s">
        <v>32</v>
      </c>
      <c r="D1737" s="84" t="s">
        <v>3278</v>
      </c>
      <c r="E1737" s="85" t="s">
        <v>3442</v>
      </c>
      <c r="F1737" s="85" t="s">
        <v>49</v>
      </c>
      <c r="G1737" s="76"/>
      <c r="H1737" s="76">
        <f>STOCK[[#This Row],[Precio Final]]</f>
        <v>17.265</v>
      </c>
      <c r="I1737" s="80">
        <f>STOCK[[#This Row],[Precio Venta Ideal (x1.5)]]</f>
        <v>2.58975</v>
      </c>
      <c r="J1737" s="86">
        <v>5</v>
      </c>
      <c r="K1737" s="78">
        <f>SUMIFS(VENTAS[Cantidad],VENTAS[Código del producto Vendido],STOCK[[#This Row],[Code]])</f>
        <v>3</v>
      </c>
      <c r="L1737" s="78">
        <f>STOCK[[#This Row],[Entradas]]-STOCK[[#This Row],[Salidas]]</f>
        <v>2</v>
      </c>
      <c r="M1737" s="76">
        <f>STOCK[[#This Row],[Precio Final]]*10%</f>
        <v>1.7265</v>
      </c>
      <c r="N1737" s="54">
        <v>0</v>
      </c>
      <c r="O1737" s="76">
        <v>0</v>
      </c>
      <c r="P1737" s="76"/>
      <c r="Q1737" s="76">
        <v>8.46</v>
      </c>
      <c r="R1737" s="78"/>
      <c r="S1737" s="76"/>
      <c r="T1737" s="76">
        <f>STOCK[[#This Row],[Costo Unitario (USD)]]+STOCK[[#This Row],[Costo Envío (USD)]]+STOCK[[#This Row],[Comisión 10%]]</f>
        <v>1.7265</v>
      </c>
      <c r="U1737" s="53">
        <f>STOCK[[#This Row],[Costo total]]*1.5</f>
        <v>2.58975</v>
      </c>
      <c r="V1737" s="53">
        <v>17.265</v>
      </c>
      <c r="W1737" s="76">
        <f>STOCK[[#This Row],[Precio Final]]-STOCK[[#This Row],[Costo total]]</f>
        <v>15.5385</v>
      </c>
      <c r="X1737" s="76">
        <f>STOCK[[#This Row],[Ganancia Unitaria]]*STOCK[[#This Row],[Salidas]]</f>
        <v>46.6155</v>
      </c>
      <c r="Y1737" s="76">
        <v>0</v>
      </c>
      <c r="Z1737" s="87"/>
      <c r="AA1737" s="54">
        <f>STOCK[[#This Row],[Costo total]]*STOCK[[#This Row],[Entradas]]</f>
        <v>8.6325</v>
      </c>
      <c r="AB1737" s="54">
        <f>STOCK[[#This Row],[Stock Actual]]*STOCK[[#This Row],[Costo total]]</f>
        <v>3.453</v>
      </c>
      <c r="AC1737" s="76">
        <v>57.55</v>
      </c>
      <c r="AD1737" s="76"/>
    </row>
    <row r="1738" s="53" customFormat="1" ht="50" customHeight="1" spans="1:30">
      <c r="A1738" s="53" t="s">
        <v>3443</v>
      </c>
      <c r="B1738" s="83"/>
      <c r="C1738" s="53" t="s">
        <v>32</v>
      </c>
      <c r="D1738" s="84" t="s">
        <v>3278</v>
      </c>
      <c r="E1738" s="85" t="s">
        <v>3444</v>
      </c>
      <c r="F1738" s="85" t="s">
        <v>525</v>
      </c>
      <c r="G1738" s="76"/>
      <c r="H1738" s="76">
        <f>STOCK[[#This Row],[Precio Final]]</f>
        <v>5.04</v>
      </c>
      <c r="I1738" s="80">
        <f>STOCK[[#This Row],[Precio Venta Ideal (x1.5)]]</f>
        <v>0.756</v>
      </c>
      <c r="J1738" s="86">
        <v>5</v>
      </c>
      <c r="K1738" s="78">
        <f>SUMIFS(VENTAS[Cantidad],VENTAS[Código del producto Vendido],STOCK[[#This Row],[Code]])</f>
        <v>1</v>
      </c>
      <c r="L1738" s="78">
        <f>STOCK[[#This Row],[Entradas]]-STOCK[[#This Row],[Salidas]]</f>
        <v>4</v>
      </c>
      <c r="M1738" s="76">
        <f>STOCK[[#This Row],[Precio Final]]*10%</f>
        <v>0.504</v>
      </c>
      <c r="N1738" s="54">
        <v>0</v>
      </c>
      <c r="O1738" s="76">
        <v>0</v>
      </c>
      <c r="P1738" s="76"/>
      <c r="Q1738" s="76">
        <v>1.31</v>
      </c>
      <c r="R1738" s="78"/>
      <c r="S1738" s="76"/>
      <c r="T1738" s="76">
        <f>STOCK[[#This Row],[Costo Unitario (USD)]]+STOCK[[#This Row],[Costo Envío (USD)]]+STOCK[[#This Row],[Comisión 10%]]</f>
        <v>0.504</v>
      </c>
      <c r="U1738" s="53">
        <f>STOCK[[#This Row],[Costo total]]*1.5</f>
        <v>0.756</v>
      </c>
      <c r="V1738" s="53">
        <v>5.04</v>
      </c>
      <c r="W1738" s="76">
        <f>STOCK[[#This Row],[Precio Final]]-STOCK[[#This Row],[Costo total]]</f>
        <v>4.536</v>
      </c>
      <c r="X1738" s="76">
        <f>STOCK[[#This Row],[Ganancia Unitaria]]*STOCK[[#This Row],[Salidas]]</f>
        <v>4.536</v>
      </c>
      <c r="Y1738" s="76">
        <v>0</v>
      </c>
      <c r="Z1738" s="87"/>
      <c r="AA1738" s="54">
        <f>STOCK[[#This Row],[Costo total]]*STOCK[[#This Row],[Entradas]]</f>
        <v>2.52</v>
      </c>
      <c r="AB1738" s="54">
        <f>STOCK[[#This Row],[Stock Actual]]*STOCK[[#This Row],[Costo total]]</f>
        <v>2.016</v>
      </c>
      <c r="AC1738" s="76">
        <v>16.8</v>
      </c>
      <c r="AD1738" s="76"/>
    </row>
    <row r="1739" s="53" customFormat="1" ht="50" customHeight="1" spans="1:30">
      <c r="A1739" s="53" t="s">
        <v>3445</v>
      </c>
      <c r="B1739" s="83"/>
      <c r="C1739" s="53" t="s">
        <v>32</v>
      </c>
      <c r="D1739" s="84" t="s">
        <v>3278</v>
      </c>
      <c r="E1739" s="85" t="s">
        <v>3446</v>
      </c>
      <c r="F1739" s="85" t="s">
        <v>62</v>
      </c>
      <c r="G1739" s="76"/>
      <c r="H1739" s="76">
        <f>STOCK[[#This Row],[Precio Final]]</f>
        <v>14.775</v>
      </c>
      <c r="I1739" s="80">
        <f>STOCK[[#This Row],[Precio Venta Ideal (x1.5)]]</f>
        <v>2.21625</v>
      </c>
      <c r="J1739" s="86">
        <v>1</v>
      </c>
      <c r="K1739" s="78">
        <f>SUMIFS(VENTAS[Cantidad],VENTAS[Código del producto Vendido],STOCK[[#This Row],[Code]])</f>
        <v>1</v>
      </c>
      <c r="L1739" s="78">
        <f>STOCK[[#This Row],[Entradas]]-STOCK[[#This Row],[Salidas]]</f>
        <v>0</v>
      </c>
      <c r="M1739" s="76">
        <f>STOCK[[#This Row],[Precio Final]]*10%</f>
        <v>1.4775</v>
      </c>
      <c r="N1739" s="54">
        <v>0</v>
      </c>
      <c r="O1739" s="76">
        <v>0</v>
      </c>
      <c r="P1739" s="76"/>
      <c r="Q1739" s="76">
        <v>7</v>
      </c>
      <c r="R1739" s="78"/>
      <c r="S1739" s="76"/>
      <c r="T1739" s="76">
        <f>STOCK[[#This Row],[Costo Unitario (USD)]]+STOCK[[#This Row],[Costo Envío (USD)]]+STOCK[[#This Row],[Comisión 10%]]</f>
        <v>1.4775</v>
      </c>
      <c r="U1739" s="53">
        <f>STOCK[[#This Row],[Costo total]]*1.5</f>
        <v>2.21625</v>
      </c>
      <c r="V1739" s="53">
        <v>14.775</v>
      </c>
      <c r="W1739" s="76">
        <f>STOCK[[#This Row],[Precio Final]]-STOCK[[#This Row],[Costo total]]</f>
        <v>13.2975</v>
      </c>
      <c r="X1739" s="76">
        <f>STOCK[[#This Row],[Ganancia Unitaria]]*STOCK[[#This Row],[Salidas]]</f>
        <v>13.2975</v>
      </c>
      <c r="Y1739" s="76">
        <v>0</v>
      </c>
      <c r="Z1739" s="87"/>
      <c r="AA1739" s="54">
        <f>STOCK[[#This Row],[Costo total]]*STOCK[[#This Row],[Entradas]]</f>
        <v>1.4775</v>
      </c>
      <c r="AB1739" s="54">
        <f>STOCK[[#This Row],[Stock Actual]]*STOCK[[#This Row],[Costo total]]</f>
        <v>0</v>
      </c>
      <c r="AC1739" s="76">
        <v>9.85</v>
      </c>
      <c r="AD1739" s="76"/>
    </row>
    <row r="1740" s="53" customFormat="1" ht="50" customHeight="1" spans="1:30">
      <c r="A1740" s="53" t="s">
        <v>3447</v>
      </c>
      <c r="B1740" s="83"/>
      <c r="C1740" s="53" t="s">
        <v>32</v>
      </c>
      <c r="D1740" s="84" t="s">
        <v>3278</v>
      </c>
      <c r="E1740" s="85" t="s">
        <v>3448</v>
      </c>
      <c r="F1740" s="85" t="s">
        <v>3361</v>
      </c>
      <c r="G1740" s="76"/>
      <c r="H1740" s="76">
        <f>STOCK[[#This Row],[Precio Final]]</f>
        <v>3.15</v>
      </c>
      <c r="I1740" s="80">
        <f>STOCK[[#This Row],[Precio Venta Ideal (x1.5)]]</f>
        <v>0.4725</v>
      </c>
      <c r="J1740" s="86">
        <v>10</v>
      </c>
      <c r="K1740" s="78">
        <f>SUMIFS(VENTAS[Cantidad],VENTAS[Código del producto Vendido],STOCK[[#This Row],[Code]])</f>
        <v>11</v>
      </c>
      <c r="L1740" s="78">
        <f>STOCK[[#This Row],[Entradas]]-STOCK[[#This Row],[Salidas]]</f>
        <v>-1</v>
      </c>
      <c r="M1740" s="76">
        <f>STOCK[[#This Row],[Precio Final]]*10%</f>
        <v>0.315</v>
      </c>
      <c r="N1740" s="54">
        <v>0</v>
      </c>
      <c r="O1740" s="76">
        <v>0</v>
      </c>
      <c r="P1740" s="76"/>
      <c r="Q1740" s="76">
        <v>0.65</v>
      </c>
      <c r="R1740" s="78"/>
      <c r="S1740" s="76"/>
      <c r="T1740" s="76">
        <f>STOCK[[#This Row],[Costo Unitario (USD)]]+STOCK[[#This Row],[Costo Envío (USD)]]+STOCK[[#This Row],[Comisión 10%]]</f>
        <v>0.315</v>
      </c>
      <c r="U1740" s="53">
        <f>STOCK[[#This Row],[Costo total]]*1.5</f>
        <v>0.4725</v>
      </c>
      <c r="V1740" s="53">
        <v>3.15</v>
      </c>
      <c r="W1740" s="76">
        <f>STOCK[[#This Row],[Precio Final]]-STOCK[[#This Row],[Costo total]]</f>
        <v>2.835</v>
      </c>
      <c r="X1740" s="76">
        <f>STOCK[[#This Row],[Ganancia Unitaria]]*STOCK[[#This Row],[Salidas]]</f>
        <v>31.185</v>
      </c>
      <c r="Y1740" s="76">
        <v>0</v>
      </c>
      <c r="Z1740" s="87"/>
      <c r="AA1740" s="54">
        <f>STOCK[[#This Row],[Costo total]]*STOCK[[#This Row],[Entradas]]</f>
        <v>3.15</v>
      </c>
      <c r="AB1740" s="54">
        <f>STOCK[[#This Row],[Stock Actual]]*STOCK[[#This Row],[Costo total]]</f>
        <v>-0.315</v>
      </c>
      <c r="AC1740" s="76">
        <v>21</v>
      </c>
      <c r="AD1740" s="76"/>
    </row>
    <row r="1741" s="53" customFormat="1" ht="50" customHeight="1" spans="1:30">
      <c r="A1741" s="53" t="s">
        <v>3449</v>
      </c>
      <c r="B1741" s="83"/>
      <c r="C1741" s="53" t="s">
        <v>32</v>
      </c>
      <c r="D1741" s="84" t="s">
        <v>3278</v>
      </c>
      <c r="E1741" s="85" t="s">
        <v>3450</v>
      </c>
      <c r="F1741" s="85" t="s">
        <v>3339</v>
      </c>
      <c r="G1741" s="76"/>
      <c r="H1741" s="76">
        <f>STOCK[[#This Row],[Precio Final]]</f>
        <v>3.51</v>
      </c>
      <c r="I1741" s="80">
        <f>STOCK[[#This Row],[Precio Venta Ideal (x1.5)]]</f>
        <v>0.5265</v>
      </c>
      <c r="J1741" s="86">
        <v>6</v>
      </c>
      <c r="K1741" s="78">
        <f>SUMIFS(VENTAS[Cantidad],VENTAS[Código del producto Vendido],STOCK[[#This Row],[Code]])</f>
        <v>8</v>
      </c>
      <c r="L1741" s="78">
        <f>STOCK[[#This Row],[Entradas]]-STOCK[[#This Row],[Salidas]]</f>
        <v>-2</v>
      </c>
      <c r="M1741" s="76">
        <f>STOCK[[#This Row],[Precio Final]]*10%</f>
        <v>0.351</v>
      </c>
      <c r="N1741" s="54">
        <v>0</v>
      </c>
      <c r="O1741" s="76">
        <v>0</v>
      </c>
      <c r="P1741" s="76"/>
      <c r="Q1741" s="76">
        <v>0.79</v>
      </c>
      <c r="R1741" s="78"/>
      <c r="S1741" s="76"/>
      <c r="T1741" s="76">
        <f>STOCK[[#This Row],[Costo Unitario (USD)]]+STOCK[[#This Row],[Costo Envío (USD)]]+STOCK[[#This Row],[Comisión 10%]]</f>
        <v>0.351</v>
      </c>
      <c r="U1741" s="53">
        <f>STOCK[[#This Row],[Costo total]]*1.5</f>
        <v>0.5265</v>
      </c>
      <c r="V1741" s="53">
        <v>3.51</v>
      </c>
      <c r="W1741" s="76">
        <f>STOCK[[#This Row],[Precio Final]]-STOCK[[#This Row],[Costo total]]</f>
        <v>3.159</v>
      </c>
      <c r="X1741" s="76">
        <f>STOCK[[#This Row],[Ganancia Unitaria]]*STOCK[[#This Row],[Salidas]]</f>
        <v>25.272</v>
      </c>
      <c r="Y1741" s="76">
        <v>0</v>
      </c>
      <c r="Z1741" s="87"/>
      <c r="AA1741" s="54">
        <f>STOCK[[#This Row],[Costo total]]*STOCK[[#This Row],[Entradas]]</f>
        <v>2.106</v>
      </c>
      <c r="AB1741" s="54">
        <f>STOCK[[#This Row],[Stock Actual]]*STOCK[[#This Row],[Costo total]]</f>
        <v>-0.702</v>
      </c>
      <c r="AC1741" s="76">
        <v>14.04</v>
      </c>
      <c r="AD1741" s="76"/>
    </row>
    <row r="1742" s="53" customFormat="1" ht="50" customHeight="1" spans="1:30">
      <c r="A1742" s="53" t="s">
        <v>3451</v>
      </c>
      <c r="B1742" s="83"/>
      <c r="C1742" s="53" t="s">
        <v>32</v>
      </c>
      <c r="D1742" s="84" t="s">
        <v>3278</v>
      </c>
      <c r="E1742" s="85" t="s">
        <v>3452</v>
      </c>
      <c r="F1742" s="85" t="s">
        <v>525</v>
      </c>
      <c r="G1742" s="76"/>
      <c r="H1742" s="76">
        <f>STOCK[[#This Row],[Precio Final]]</f>
        <v>11.505</v>
      </c>
      <c r="I1742" s="80">
        <f>STOCK[[#This Row],[Precio Venta Ideal (x1.5)]]</f>
        <v>1.72575</v>
      </c>
      <c r="J1742" s="86">
        <v>5</v>
      </c>
      <c r="K1742" s="78">
        <f>SUMIFS(VENTAS[Cantidad],VENTAS[Código del producto Vendido],STOCK[[#This Row],[Code]])</f>
        <v>1</v>
      </c>
      <c r="L1742" s="78">
        <f>STOCK[[#This Row],[Entradas]]-STOCK[[#This Row],[Salidas]]</f>
        <v>4</v>
      </c>
      <c r="M1742" s="76">
        <f>STOCK[[#This Row],[Precio Final]]*10%</f>
        <v>1.1505</v>
      </c>
      <c r="N1742" s="54">
        <v>0</v>
      </c>
      <c r="O1742" s="76">
        <v>0</v>
      </c>
      <c r="P1742" s="76"/>
      <c r="Q1742" s="76">
        <v>3.31</v>
      </c>
      <c r="R1742" s="78"/>
      <c r="S1742" s="76"/>
      <c r="T1742" s="76">
        <f>STOCK[[#This Row],[Costo Unitario (USD)]]+STOCK[[#This Row],[Costo Envío (USD)]]+STOCK[[#This Row],[Comisión 10%]]</f>
        <v>1.1505</v>
      </c>
      <c r="U1742" s="53">
        <f>STOCK[[#This Row],[Costo total]]*1.5</f>
        <v>1.72575</v>
      </c>
      <c r="V1742" s="53">
        <v>11.505</v>
      </c>
      <c r="W1742" s="76">
        <f>STOCK[[#This Row],[Precio Final]]-STOCK[[#This Row],[Costo total]]</f>
        <v>10.3545</v>
      </c>
      <c r="X1742" s="76">
        <f>STOCK[[#This Row],[Ganancia Unitaria]]*STOCK[[#This Row],[Salidas]]</f>
        <v>10.3545</v>
      </c>
      <c r="Y1742" s="76">
        <v>0</v>
      </c>
      <c r="Z1742" s="87"/>
      <c r="AA1742" s="54">
        <f>STOCK[[#This Row],[Costo total]]*STOCK[[#This Row],[Entradas]]</f>
        <v>5.7525</v>
      </c>
      <c r="AB1742" s="54">
        <f>STOCK[[#This Row],[Stock Actual]]*STOCK[[#This Row],[Costo total]]</f>
        <v>4.602</v>
      </c>
      <c r="AC1742" s="76">
        <v>38.35</v>
      </c>
      <c r="AD1742" s="76"/>
    </row>
    <row r="1743" s="53" customFormat="1" ht="50" customHeight="1" spans="1:29">
      <c r="A1743" s="53" t="s">
        <v>3453</v>
      </c>
      <c r="B1743" s="91"/>
      <c r="C1743" s="53" t="s">
        <v>32</v>
      </c>
      <c r="D1743" s="84" t="s">
        <v>3278</v>
      </c>
      <c r="E1743" s="88" t="s">
        <v>3284</v>
      </c>
      <c r="F1743" s="88" t="s">
        <v>49</v>
      </c>
      <c r="H1743" s="76">
        <f>STOCK[[#This Row],[Precio Final]]</f>
        <v>21.825</v>
      </c>
      <c r="I1743" s="80">
        <f>STOCK[[#This Row],[Precio Venta Ideal (x1.5)]]</f>
        <v>3.27375</v>
      </c>
      <c r="J1743" s="89">
        <v>3</v>
      </c>
      <c r="K1743" s="78">
        <f>SUMIFS(VENTAS[Cantidad],VENTAS[Código del producto Vendido],STOCK[[#This Row],[Code]])</f>
        <v>0</v>
      </c>
      <c r="L1743" s="78">
        <f>STOCK[[#This Row],[Entradas]]-STOCK[[#This Row],[Salidas]]</f>
        <v>3</v>
      </c>
      <c r="M1743" s="76">
        <f>STOCK[[#This Row],[Precio Final]]*10%</f>
        <v>2.1825</v>
      </c>
      <c r="N1743" s="54">
        <v>0</v>
      </c>
      <c r="O1743" s="76">
        <v>0</v>
      </c>
      <c r="Q1743" s="53">
        <v>11</v>
      </c>
      <c r="R1743" s="70"/>
      <c r="T1743" s="76">
        <f>STOCK[[#This Row],[Costo Unitario (USD)]]+STOCK[[#This Row],[Costo Envío (USD)]]+STOCK[[#This Row],[Comisión 10%]]</f>
        <v>2.1825</v>
      </c>
      <c r="U1743" s="53">
        <f>STOCK[[#This Row],[Costo total]]*1.5</f>
        <v>3.27375</v>
      </c>
      <c r="V1743" s="53">
        <v>21.825</v>
      </c>
      <c r="W1743" s="76">
        <f>STOCK[[#This Row],[Precio Final]]-STOCK[[#This Row],[Costo total]]</f>
        <v>19.6425</v>
      </c>
      <c r="X1743" s="76">
        <f>STOCK[[#This Row],[Ganancia Unitaria]]*STOCK[[#This Row],[Salidas]]</f>
        <v>0</v>
      </c>
      <c r="Y1743" s="53">
        <v>0</v>
      </c>
      <c r="Z1743" s="90"/>
      <c r="AA1743" s="54">
        <f>STOCK[[#This Row],[Costo total]]*STOCK[[#This Row],[Entradas]]</f>
        <v>6.5475</v>
      </c>
      <c r="AB1743" s="54">
        <f>STOCK[[#This Row],[Stock Actual]]*STOCK[[#This Row],[Costo total]]</f>
        <v>6.5475</v>
      </c>
      <c r="AC1743" s="53">
        <v>43.65</v>
      </c>
    </row>
    <row r="1744" s="53" customFormat="1" ht="50" customHeight="1" spans="1:30">
      <c r="A1744" s="53" t="s">
        <v>3454</v>
      </c>
      <c r="B1744" s="83"/>
      <c r="C1744" s="53" t="s">
        <v>32</v>
      </c>
      <c r="D1744" s="84" t="s">
        <v>3278</v>
      </c>
      <c r="E1744" s="85" t="s">
        <v>3455</v>
      </c>
      <c r="F1744" s="85" t="s">
        <v>540</v>
      </c>
      <c r="G1744" s="76"/>
      <c r="H1744" s="76">
        <f>STOCK[[#This Row],[Precio Final]]</f>
        <v>32.7</v>
      </c>
      <c r="I1744" s="80">
        <f>STOCK[[#This Row],[Precio Venta Ideal (x1.5)]]</f>
        <v>4.905</v>
      </c>
      <c r="J1744" s="86">
        <v>1</v>
      </c>
      <c r="K1744" s="78">
        <f>SUMIFS(VENTAS[Cantidad],VENTAS[Código del producto Vendido],STOCK[[#This Row],[Code]])</f>
        <v>1</v>
      </c>
      <c r="L1744" s="78">
        <f>STOCK[[#This Row],[Entradas]]-STOCK[[#This Row],[Salidas]]</f>
        <v>0</v>
      </c>
      <c r="M1744" s="76">
        <f>STOCK[[#This Row],[Precio Final]]*10%</f>
        <v>3.27</v>
      </c>
      <c r="N1744" s="54">
        <v>0</v>
      </c>
      <c r="O1744" s="76">
        <v>0</v>
      </c>
      <c r="P1744" s="76"/>
      <c r="Q1744" s="76">
        <v>15.75</v>
      </c>
      <c r="R1744" s="78"/>
      <c r="S1744" s="76"/>
      <c r="T1744" s="76">
        <f>STOCK[[#This Row],[Costo Unitario (USD)]]+STOCK[[#This Row],[Costo Envío (USD)]]+STOCK[[#This Row],[Comisión 10%]]</f>
        <v>3.27</v>
      </c>
      <c r="U1744" s="53">
        <f>STOCK[[#This Row],[Costo total]]*1.5</f>
        <v>4.905</v>
      </c>
      <c r="V1744" s="53">
        <v>32.7</v>
      </c>
      <c r="W1744" s="76">
        <f>STOCK[[#This Row],[Precio Final]]-STOCK[[#This Row],[Costo total]]</f>
        <v>29.43</v>
      </c>
      <c r="X1744" s="76">
        <f>STOCK[[#This Row],[Ganancia Unitaria]]*STOCK[[#This Row],[Salidas]]</f>
        <v>29.43</v>
      </c>
      <c r="Y1744" s="76">
        <v>0</v>
      </c>
      <c r="Z1744" s="87"/>
      <c r="AA1744" s="54">
        <f>STOCK[[#This Row],[Costo total]]*STOCK[[#This Row],[Entradas]]</f>
        <v>3.27</v>
      </c>
      <c r="AB1744" s="54">
        <f>STOCK[[#This Row],[Stock Actual]]*STOCK[[#This Row],[Costo total]]</f>
        <v>0</v>
      </c>
      <c r="AC1744" s="76">
        <v>21.8</v>
      </c>
      <c r="AD1744" s="76"/>
    </row>
    <row r="1745" s="53" customFormat="1" ht="50" customHeight="1" spans="1:30">
      <c r="A1745" s="53" t="s">
        <v>3456</v>
      </c>
      <c r="B1745" s="83"/>
      <c r="C1745" s="53" t="s">
        <v>32</v>
      </c>
      <c r="D1745" s="84" t="s">
        <v>3278</v>
      </c>
      <c r="E1745" s="85" t="s">
        <v>3279</v>
      </c>
      <c r="F1745" s="85" t="s">
        <v>62</v>
      </c>
      <c r="G1745" s="76"/>
      <c r="H1745" s="76">
        <f>STOCK[[#This Row],[Precio Final]]</f>
        <v>19.575</v>
      </c>
      <c r="I1745" s="80">
        <f>STOCK[[#This Row],[Precio Venta Ideal (x1.5)]]</f>
        <v>2.93625</v>
      </c>
      <c r="J1745" s="86">
        <v>1</v>
      </c>
      <c r="K1745" s="78">
        <f>SUMIFS(VENTAS[Cantidad],VENTAS[Código del producto Vendido],STOCK[[#This Row],[Code]])</f>
        <v>0</v>
      </c>
      <c r="L1745" s="78">
        <f>STOCK[[#This Row],[Entradas]]-STOCK[[#This Row],[Salidas]]</f>
        <v>1</v>
      </c>
      <c r="M1745" s="76">
        <f>STOCK[[#This Row],[Precio Final]]*10%</f>
        <v>1.9575</v>
      </c>
      <c r="N1745" s="54">
        <v>0</v>
      </c>
      <c r="O1745" s="76">
        <v>0</v>
      </c>
      <c r="P1745" s="76"/>
      <c r="Q1745" s="76">
        <v>9.5</v>
      </c>
      <c r="R1745" s="78"/>
      <c r="S1745" s="76"/>
      <c r="T1745" s="76">
        <f>STOCK[[#This Row],[Costo Unitario (USD)]]+STOCK[[#This Row],[Costo Envío (USD)]]+STOCK[[#This Row],[Comisión 10%]]</f>
        <v>1.9575</v>
      </c>
      <c r="U1745" s="53">
        <f>STOCK[[#This Row],[Costo total]]*1.5</f>
        <v>2.93625</v>
      </c>
      <c r="V1745" s="53">
        <v>19.575</v>
      </c>
      <c r="W1745" s="76">
        <f>STOCK[[#This Row],[Precio Final]]-STOCK[[#This Row],[Costo total]]</f>
        <v>17.6175</v>
      </c>
      <c r="X1745" s="76">
        <f>STOCK[[#This Row],[Ganancia Unitaria]]*STOCK[[#This Row],[Salidas]]</f>
        <v>0</v>
      </c>
      <c r="Y1745" s="76">
        <v>0</v>
      </c>
      <c r="Z1745" s="87"/>
      <c r="AA1745" s="54">
        <f>STOCK[[#This Row],[Costo total]]*STOCK[[#This Row],[Entradas]]</f>
        <v>1.9575</v>
      </c>
      <c r="AB1745" s="54">
        <f>STOCK[[#This Row],[Stock Actual]]*STOCK[[#This Row],[Costo total]]</f>
        <v>1.9575</v>
      </c>
      <c r="AC1745" s="76">
        <v>13.05</v>
      </c>
      <c r="AD1745" s="76"/>
    </row>
    <row r="1746" s="53" customFormat="1" ht="50" customHeight="1" spans="1:30">
      <c r="A1746" s="53" t="s">
        <v>3457</v>
      </c>
      <c r="B1746" s="83"/>
      <c r="C1746" s="53" t="s">
        <v>32</v>
      </c>
      <c r="D1746" s="84" t="s">
        <v>3278</v>
      </c>
      <c r="E1746" s="85" t="s">
        <v>3347</v>
      </c>
      <c r="F1746" s="85" t="s">
        <v>46</v>
      </c>
      <c r="G1746" s="76"/>
      <c r="H1746" s="76">
        <f>STOCK[[#This Row],[Precio Final]]</f>
        <v>20.205</v>
      </c>
      <c r="I1746" s="80">
        <f>STOCK[[#This Row],[Precio Venta Ideal (x1.5)]]</f>
        <v>3.03075</v>
      </c>
      <c r="J1746" s="86">
        <v>1</v>
      </c>
      <c r="K1746" s="78">
        <f>SUMIFS(VENTAS[Cantidad],VENTAS[Código del producto Vendido],STOCK[[#This Row],[Code]])</f>
        <v>1</v>
      </c>
      <c r="L1746" s="78">
        <f>STOCK[[#This Row],[Entradas]]-STOCK[[#This Row],[Salidas]]</f>
        <v>0</v>
      </c>
      <c r="M1746" s="76">
        <f>STOCK[[#This Row],[Precio Final]]*10%</f>
        <v>2.0205</v>
      </c>
      <c r="N1746" s="54">
        <v>0</v>
      </c>
      <c r="O1746" s="76">
        <v>0</v>
      </c>
      <c r="P1746" s="76"/>
      <c r="Q1746" s="76">
        <v>9.92</v>
      </c>
      <c r="R1746" s="78"/>
      <c r="S1746" s="76"/>
      <c r="T1746" s="76">
        <f>STOCK[[#This Row],[Costo Unitario (USD)]]+STOCK[[#This Row],[Costo Envío (USD)]]+STOCK[[#This Row],[Comisión 10%]]</f>
        <v>2.0205</v>
      </c>
      <c r="U1746" s="53">
        <f>STOCK[[#This Row],[Costo total]]*1.5</f>
        <v>3.03075</v>
      </c>
      <c r="V1746" s="53">
        <v>20.205</v>
      </c>
      <c r="W1746" s="76">
        <f>STOCK[[#This Row],[Precio Final]]-STOCK[[#This Row],[Costo total]]</f>
        <v>18.1845</v>
      </c>
      <c r="X1746" s="76">
        <f>STOCK[[#This Row],[Ganancia Unitaria]]*STOCK[[#This Row],[Salidas]]</f>
        <v>18.1845</v>
      </c>
      <c r="Y1746" s="76">
        <v>0</v>
      </c>
      <c r="Z1746" s="87"/>
      <c r="AA1746" s="54">
        <f>STOCK[[#This Row],[Costo total]]*STOCK[[#This Row],[Entradas]]</f>
        <v>2.0205</v>
      </c>
      <c r="AB1746" s="54">
        <f>STOCK[[#This Row],[Stock Actual]]*STOCK[[#This Row],[Costo total]]</f>
        <v>0</v>
      </c>
      <c r="AC1746" s="76">
        <v>13.47</v>
      </c>
      <c r="AD1746" s="76"/>
    </row>
    <row r="1747" s="53" customFormat="1" ht="50" customHeight="1" spans="1:30">
      <c r="A1747" s="53" t="s">
        <v>3458</v>
      </c>
      <c r="B1747" s="83"/>
      <c r="C1747" s="53" t="s">
        <v>32</v>
      </c>
      <c r="D1747" s="84" t="s">
        <v>3278</v>
      </c>
      <c r="E1747" s="85" t="s">
        <v>3350</v>
      </c>
      <c r="F1747" s="85" t="s">
        <v>62</v>
      </c>
      <c r="G1747" s="76"/>
      <c r="H1747" s="76">
        <f>STOCK[[#This Row],[Precio Final]]</f>
        <v>19.905</v>
      </c>
      <c r="I1747" s="80">
        <f>STOCK[[#This Row],[Precio Venta Ideal (x1.5)]]</f>
        <v>2.98575</v>
      </c>
      <c r="J1747" s="86">
        <v>2</v>
      </c>
      <c r="K1747" s="78">
        <f>SUMIFS(VENTAS[Cantidad],VENTAS[Código del producto Vendido],STOCK[[#This Row],[Code]])</f>
        <v>2</v>
      </c>
      <c r="L1747" s="78">
        <f>STOCK[[#This Row],[Entradas]]-STOCK[[#This Row],[Salidas]]</f>
        <v>0</v>
      </c>
      <c r="M1747" s="76">
        <f>STOCK[[#This Row],[Precio Final]]*10%</f>
        <v>1.9905</v>
      </c>
      <c r="N1747" s="54">
        <v>0</v>
      </c>
      <c r="O1747" s="76">
        <v>0</v>
      </c>
      <c r="P1747" s="76"/>
      <c r="Q1747" s="76">
        <v>9.72</v>
      </c>
      <c r="R1747" s="78"/>
      <c r="S1747" s="76"/>
      <c r="T1747" s="76">
        <f>STOCK[[#This Row],[Costo Unitario (USD)]]+STOCK[[#This Row],[Costo Envío (USD)]]+STOCK[[#This Row],[Comisión 10%]]</f>
        <v>1.9905</v>
      </c>
      <c r="U1747" s="53">
        <f>STOCK[[#This Row],[Costo total]]*1.5</f>
        <v>2.98575</v>
      </c>
      <c r="V1747" s="53">
        <v>19.905</v>
      </c>
      <c r="W1747" s="76">
        <f>STOCK[[#This Row],[Precio Final]]-STOCK[[#This Row],[Costo total]]</f>
        <v>17.9145</v>
      </c>
      <c r="X1747" s="76">
        <f>STOCK[[#This Row],[Ganancia Unitaria]]*STOCK[[#This Row],[Salidas]]</f>
        <v>35.829</v>
      </c>
      <c r="Y1747" s="76">
        <v>0</v>
      </c>
      <c r="Z1747" s="87"/>
      <c r="AA1747" s="54">
        <f>STOCK[[#This Row],[Costo total]]*STOCK[[#This Row],[Entradas]]</f>
        <v>3.981</v>
      </c>
      <c r="AB1747" s="54">
        <f>STOCK[[#This Row],[Stock Actual]]*STOCK[[#This Row],[Costo total]]</f>
        <v>0</v>
      </c>
      <c r="AC1747" s="76">
        <v>26.54</v>
      </c>
      <c r="AD1747" s="76"/>
    </row>
    <row r="1748" s="53" customFormat="1" ht="50" customHeight="1" spans="1:30">
      <c r="A1748" s="53" t="s">
        <v>3459</v>
      </c>
      <c r="B1748" s="83"/>
      <c r="C1748" s="53" t="s">
        <v>32</v>
      </c>
      <c r="D1748" s="84" t="s">
        <v>3278</v>
      </c>
      <c r="E1748" s="85" t="s">
        <v>3460</v>
      </c>
      <c r="F1748" s="85" t="s">
        <v>525</v>
      </c>
      <c r="G1748" s="76"/>
      <c r="H1748" s="76">
        <f>STOCK[[#This Row],[Precio Final]]</f>
        <v>5.835</v>
      </c>
      <c r="I1748" s="80">
        <f>STOCK[[#This Row],[Precio Venta Ideal (x1.5)]]</f>
        <v>0.87525</v>
      </c>
      <c r="J1748" s="86">
        <v>5</v>
      </c>
      <c r="K1748" s="78">
        <f>SUMIFS(VENTAS[Cantidad],VENTAS[Código del producto Vendido],STOCK[[#This Row],[Code]])</f>
        <v>5</v>
      </c>
      <c r="L1748" s="78">
        <f>STOCK[[#This Row],[Entradas]]-STOCK[[#This Row],[Salidas]]</f>
        <v>0</v>
      </c>
      <c r="M1748" s="76">
        <f>STOCK[[#This Row],[Precio Final]]*10%</f>
        <v>0.5835</v>
      </c>
      <c r="N1748" s="54">
        <v>0</v>
      </c>
      <c r="O1748" s="76">
        <v>0</v>
      </c>
      <c r="P1748" s="76"/>
      <c r="Q1748" s="76">
        <v>2.04</v>
      </c>
      <c r="R1748" s="78"/>
      <c r="S1748" s="76"/>
      <c r="T1748" s="76">
        <f>STOCK[[#This Row],[Costo Unitario (USD)]]+STOCK[[#This Row],[Costo Envío (USD)]]+STOCK[[#This Row],[Comisión 10%]]</f>
        <v>0.5835</v>
      </c>
      <c r="U1748" s="53">
        <f>STOCK[[#This Row],[Costo total]]*1.5</f>
        <v>0.87525</v>
      </c>
      <c r="V1748" s="53">
        <v>5.835</v>
      </c>
      <c r="W1748" s="76">
        <f>STOCK[[#This Row],[Precio Final]]-STOCK[[#This Row],[Costo total]]</f>
        <v>5.2515</v>
      </c>
      <c r="X1748" s="76">
        <f>STOCK[[#This Row],[Ganancia Unitaria]]*STOCK[[#This Row],[Salidas]]</f>
        <v>26.2575</v>
      </c>
      <c r="Y1748" s="76">
        <v>0</v>
      </c>
      <c r="Z1748" s="87"/>
      <c r="AA1748" s="54">
        <f>STOCK[[#This Row],[Costo total]]*STOCK[[#This Row],[Entradas]]</f>
        <v>2.9175</v>
      </c>
      <c r="AB1748" s="54">
        <f>STOCK[[#This Row],[Stock Actual]]*STOCK[[#This Row],[Costo total]]</f>
        <v>0</v>
      </c>
      <c r="AC1748" s="76">
        <v>19.45</v>
      </c>
      <c r="AD1748" s="76"/>
    </row>
    <row r="1749" s="53" customFormat="1" ht="50" customHeight="1" spans="1:30">
      <c r="A1749" s="53" t="s">
        <v>3461</v>
      </c>
      <c r="B1749" s="83"/>
      <c r="C1749" s="53" t="s">
        <v>32</v>
      </c>
      <c r="D1749" s="84" t="s">
        <v>3278</v>
      </c>
      <c r="E1749" s="85" t="s">
        <v>3462</v>
      </c>
      <c r="F1749" s="85" t="s">
        <v>525</v>
      </c>
      <c r="G1749" s="76"/>
      <c r="H1749" s="76">
        <f>STOCK[[#This Row],[Precio Final]]</f>
        <v>6.18</v>
      </c>
      <c r="I1749" s="80">
        <f>STOCK[[#This Row],[Precio Venta Ideal (x1.5)]]</f>
        <v>0.927</v>
      </c>
      <c r="J1749" s="86">
        <v>3</v>
      </c>
      <c r="K1749" s="78">
        <f>SUMIFS(VENTAS[Cantidad],VENTAS[Código del producto Vendido],STOCK[[#This Row],[Code]])</f>
        <v>4</v>
      </c>
      <c r="L1749" s="78">
        <f>STOCK[[#This Row],[Entradas]]-STOCK[[#This Row],[Salidas]]</f>
        <v>-1</v>
      </c>
      <c r="M1749" s="76">
        <f>STOCK[[#This Row],[Precio Final]]*10%</f>
        <v>0.618</v>
      </c>
      <c r="N1749" s="54">
        <v>0</v>
      </c>
      <c r="O1749" s="76">
        <v>0</v>
      </c>
      <c r="P1749" s="76"/>
      <c r="Q1749" s="76">
        <v>2.27</v>
      </c>
      <c r="R1749" s="78"/>
      <c r="S1749" s="76"/>
      <c r="T1749" s="76">
        <f>STOCK[[#This Row],[Costo Unitario (USD)]]+STOCK[[#This Row],[Costo Envío (USD)]]+STOCK[[#This Row],[Comisión 10%]]</f>
        <v>0.618</v>
      </c>
      <c r="U1749" s="53">
        <f>STOCK[[#This Row],[Costo total]]*1.5</f>
        <v>0.927</v>
      </c>
      <c r="V1749" s="53">
        <v>6.18</v>
      </c>
      <c r="W1749" s="76">
        <f>STOCK[[#This Row],[Precio Final]]-STOCK[[#This Row],[Costo total]]</f>
        <v>5.562</v>
      </c>
      <c r="X1749" s="76">
        <f>STOCK[[#This Row],[Ganancia Unitaria]]*STOCK[[#This Row],[Salidas]]</f>
        <v>22.248</v>
      </c>
      <c r="Y1749" s="76">
        <v>0</v>
      </c>
      <c r="Z1749" s="87"/>
      <c r="AA1749" s="54">
        <f>STOCK[[#This Row],[Costo total]]*STOCK[[#This Row],[Entradas]]</f>
        <v>1.854</v>
      </c>
      <c r="AB1749" s="54">
        <f>STOCK[[#This Row],[Stock Actual]]*STOCK[[#This Row],[Costo total]]</f>
        <v>-0.618</v>
      </c>
      <c r="AC1749" s="76">
        <v>12.36</v>
      </c>
      <c r="AD1749" s="76"/>
    </row>
    <row r="1750" s="53" customFormat="1" ht="50" customHeight="1" spans="1:30">
      <c r="A1750" s="53" t="s">
        <v>3463</v>
      </c>
      <c r="B1750" s="83"/>
      <c r="C1750" s="53" t="s">
        <v>32</v>
      </c>
      <c r="D1750" s="84" t="s">
        <v>3278</v>
      </c>
      <c r="E1750" s="85" t="s">
        <v>3464</v>
      </c>
      <c r="F1750" s="85" t="s">
        <v>2822</v>
      </c>
      <c r="G1750" s="76"/>
      <c r="H1750" s="76">
        <f>STOCK[[#This Row],[Precio Final]]</f>
        <v>13.065</v>
      </c>
      <c r="I1750" s="80">
        <f>STOCK[[#This Row],[Precio Venta Ideal (x1.5)]]</f>
        <v>1.95975</v>
      </c>
      <c r="J1750" s="86">
        <v>4</v>
      </c>
      <c r="K1750" s="78">
        <f>SUMIFS(VENTAS[Cantidad],VENTAS[Código del producto Vendido],STOCK[[#This Row],[Code]])</f>
        <v>0</v>
      </c>
      <c r="L1750" s="78">
        <f>STOCK[[#This Row],[Entradas]]-STOCK[[#This Row],[Salidas]]</f>
        <v>4</v>
      </c>
      <c r="M1750" s="76">
        <f>STOCK[[#This Row],[Precio Final]]*10%</f>
        <v>1.3065</v>
      </c>
      <c r="N1750" s="54">
        <v>0</v>
      </c>
      <c r="O1750" s="76">
        <v>0</v>
      </c>
      <c r="P1750" s="76"/>
      <c r="Q1750" s="76">
        <v>5.86</v>
      </c>
      <c r="R1750" s="78"/>
      <c r="S1750" s="76"/>
      <c r="T1750" s="76">
        <f>STOCK[[#This Row],[Costo Unitario (USD)]]+STOCK[[#This Row],[Costo Envío (USD)]]+STOCK[[#This Row],[Comisión 10%]]</f>
        <v>1.3065</v>
      </c>
      <c r="U1750" s="53">
        <f>STOCK[[#This Row],[Costo total]]*1.5</f>
        <v>1.95975</v>
      </c>
      <c r="V1750" s="53">
        <v>13.065</v>
      </c>
      <c r="W1750" s="76">
        <f>STOCK[[#This Row],[Precio Final]]-STOCK[[#This Row],[Costo total]]</f>
        <v>11.7585</v>
      </c>
      <c r="X1750" s="76">
        <f>STOCK[[#This Row],[Ganancia Unitaria]]*STOCK[[#This Row],[Salidas]]</f>
        <v>0</v>
      </c>
      <c r="Y1750" s="76">
        <v>0</v>
      </c>
      <c r="Z1750" s="87"/>
      <c r="AA1750" s="54">
        <f>STOCK[[#This Row],[Costo total]]*STOCK[[#This Row],[Entradas]]</f>
        <v>5.226</v>
      </c>
      <c r="AB1750" s="54">
        <f>STOCK[[#This Row],[Stock Actual]]*STOCK[[#This Row],[Costo total]]</f>
        <v>5.226</v>
      </c>
      <c r="AC1750" s="76">
        <v>34.84</v>
      </c>
      <c r="AD1750" s="76"/>
    </row>
    <row r="1751" s="53" customFormat="1" ht="50" customHeight="1" spans="1:29">
      <c r="A1751" s="53" t="s">
        <v>3465</v>
      </c>
      <c r="B1751" s="66"/>
      <c r="C1751" s="53" t="s">
        <v>32</v>
      </c>
      <c r="D1751" s="84" t="s">
        <v>3278</v>
      </c>
      <c r="E1751" s="53" t="s">
        <v>3466</v>
      </c>
      <c r="F1751" s="53" t="s">
        <v>525</v>
      </c>
      <c r="G1751" s="53" t="s">
        <v>36</v>
      </c>
      <c r="H1751" s="76">
        <f>STOCK[[#This Row],[Precio Final]]</f>
        <v>9.6</v>
      </c>
      <c r="I1751" s="80">
        <f>STOCK[[#This Row],[Precio Venta Ideal (x1.5)]]</f>
        <v>26.94</v>
      </c>
      <c r="J1751" s="70">
        <v>10</v>
      </c>
      <c r="K1751" s="78">
        <f>SUMIFS(VENTAS[Cantidad],VENTAS[Código del producto Vendido],STOCK[[#This Row],[Code]])</f>
        <v>2</v>
      </c>
      <c r="L1751" s="78">
        <f>STOCK[[#This Row],[Entradas]]-STOCK[[#This Row],[Salidas]]</f>
        <v>8</v>
      </c>
      <c r="M1751" s="76">
        <f>STOCK[[#This Row],[Precio Final]]*10%</f>
        <v>0.96</v>
      </c>
      <c r="N1751" s="54">
        <v>0</v>
      </c>
      <c r="O1751" s="76">
        <v>0</v>
      </c>
      <c r="Q1751" s="53">
        <v>4.5</v>
      </c>
      <c r="R1751" s="70">
        <v>0</v>
      </c>
      <c r="S1751" s="53">
        <v>17</v>
      </c>
      <c r="T1751" s="76">
        <f>STOCK[[#This Row],[Costo Unitario (USD)]]+STOCK[[#This Row],[Costo Envío (USD)]]+STOCK[[#This Row],[Comisión 10%]]</f>
        <v>17.96</v>
      </c>
      <c r="U1751" s="53">
        <f>STOCK[[#This Row],[Costo total]]*1.5</f>
        <v>26.94</v>
      </c>
      <c r="V1751" s="53">
        <v>9.6</v>
      </c>
      <c r="W1751" s="76">
        <f>STOCK[[#This Row],[Precio Final]]-STOCK[[#This Row],[Costo total]]</f>
        <v>-8.36</v>
      </c>
      <c r="X1751" s="76">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1"/>
      <c r="C1752" s="53" t="s">
        <v>32</v>
      </c>
      <c r="D1752" s="84" t="s">
        <v>3278</v>
      </c>
      <c r="E1752" s="88" t="s">
        <v>3468</v>
      </c>
      <c r="F1752" s="88" t="s">
        <v>540</v>
      </c>
      <c r="H1752" s="76">
        <f>STOCK[[#This Row],[Precio Final]]</f>
        <v>76.725</v>
      </c>
      <c r="I1752" s="80">
        <f>STOCK[[#This Row],[Precio Venta Ideal (x1.5)]]</f>
        <v>11.50875</v>
      </c>
      <c r="J1752" s="89">
        <v>1</v>
      </c>
      <c r="K1752" s="78">
        <f>SUMIFS(VENTAS[Cantidad],VENTAS[Código del producto Vendido],STOCK[[#This Row],[Code]])</f>
        <v>0</v>
      </c>
      <c r="L1752" s="78">
        <f>STOCK[[#This Row],[Entradas]]-STOCK[[#This Row],[Salidas]]</f>
        <v>1</v>
      </c>
      <c r="M1752" s="76">
        <f>STOCK[[#This Row],[Precio Final]]*10%</f>
        <v>7.6725</v>
      </c>
      <c r="N1752" s="54">
        <v>0</v>
      </c>
      <c r="O1752" s="76">
        <v>0</v>
      </c>
      <c r="Q1752" s="53">
        <v>42.5</v>
      </c>
      <c r="R1752" s="70"/>
      <c r="T1752" s="76">
        <f>STOCK[[#This Row],[Costo Unitario (USD)]]+STOCK[[#This Row],[Costo Envío (USD)]]+STOCK[[#This Row],[Comisión 10%]]</f>
        <v>7.6725</v>
      </c>
      <c r="U1752" s="53">
        <f>STOCK[[#This Row],[Costo total]]*1.5</f>
        <v>11.50875</v>
      </c>
      <c r="V1752" s="53">
        <v>76.725</v>
      </c>
      <c r="W1752" s="76">
        <f>STOCK[[#This Row],[Precio Final]]-STOCK[[#This Row],[Costo total]]</f>
        <v>69.0525</v>
      </c>
      <c r="X1752" s="76">
        <f>STOCK[[#This Row],[Ganancia Unitaria]]*STOCK[[#This Row],[Salidas]]</f>
        <v>0</v>
      </c>
      <c r="Y1752" s="53">
        <v>0</v>
      </c>
      <c r="Z1752" s="90"/>
      <c r="AA1752" s="54">
        <f>STOCK[[#This Row],[Costo total]]*STOCK[[#This Row],[Entradas]]</f>
        <v>7.6725</v>
      </c>
      <c r="AB1752" s="54">
        <f>STOCK[[#This Row],[Stock Actual]]*STOCK[[#This Row],[Costo total]]</f>
        <v>7.6725</v>
      </c>
      <c r="AC1752" s="53">
        <v>51.15</v>
      </c>
    </row>
    <row r="1753" s="53" customFormat="1" ht="50" customHeight="1" spans="1:30">
      <c r="A1753" s="53" t="s">
        <v>3469</v>
      </c>
      <c r="B1753" s="83"/>
      <c r="C1753" s="53" t="s">
        <v>32</v>
      </c>
      <c r="D1753" s="84" t="s">
        <v>3278</v>
      </c>
      <c r="E1753" s="85" t="s">
        <v>3470</v>
      </c>
      <c r="F1753" s="85" t="s">
        <v>3471</v>
      </c>
      <c r="G1753" s="76"/>
      <c r="H1753" s="76">
        <f>STOCK[[#This Row],[Precio Final]]</f>
        <v>8.46</v>
      </c>
      <c r="I1753" s="80">
        <f>STOCK[[#This Row],[Precio Venta Ideal (x1.5)]]</f>
        <v>1.269</v>
      </c>
      <c r="J1753" s="86">
        <v>2</v>
      </c>
      <c r="K1753" s="78">
        <f>SUMIFS(VENTAS[Cantidad],VENTAS[Código del producto Vendido],STOCK[[#This Row],[Code]])</f>
        <v>2</v>
      </c>
      <c r="L1753" s="78">
        <f>STOCK[[#This Row],[Entradas]]-STOCK[[#This Row],[Salidas]]</f>
        <v>0</v>
      </c>
      <c r="M1753" s="76">
        <f>STOCK[[#This Row],[Precio Final]]*10%</f>
        <v>0.846</v>
      </c>
      <c r="N1753" s="54">
        <v>0</v>
      </c>
      <c r="O1753" s="76">
        <v>0</v>
      </c>
      <c r="P1753" s="76"/>
      <c r="Q1753" s="76">
        <v>3.59</v>
      </c>
      <c r="R1753" s="78"/>
      <c r="S1753" s="76"/>
      <c r="T1753" s="76">
        <f>STOCK[[#This Row],[Costo Unitario (USD)]]+STOCK[[#This Row],[Costo Envío (USD)]]+STOCK[[#This Row],[Comisión 10%]]</f>
        <v>0.846</v>
      </c>
      <c r="U1753" s="53">
        <f>STOCK[[#This Row],[Costo total]]*1.5</f>
        <v>1.269</v>
      </c>
      <c r="V1753" s="53">
        <v>8.46</v>
      </c>
      <c r="W1753" s="76">
        <f>STOCK[[#This Row],[Precio Final]]-STOCK[[#This Row],[Costo total]]</f>
        <v>7.614</v>
      </c>
      <c r="X1753" s="76">
        <f>STOCK[[#This Row],[Ganancia Unitaria]]*STOCK[[#This Row],[Salidas]]</f>
        <v>15.228</v>
      </c>
      <c r="Y1753" s="76">
        <v>0</v>
      </c>
      <c r="Z1753" s="87"/>
      <c r="AA1753" s="54">
        <f>STOCK[[#This Row],[Costo total]]*STOCK[[#This Row],[Entradas]]</f>
        <v>1.692</v>
      </c>
      <c r="AB1753" s="54">
        <f>STOCK[[#This Row],[Stock Actual]]*STOCK[[#This Row],[Costo total]]</f>
        <v>0</v>
      </c>
      <c r="AC1753" s="76">
        <v>11.28</v>
      </c>
      <c r="AD1753" s="76"/>
    </row>
    <row r="1754" s="53" customFormat="1" ht="50" customHeight="1" spans="1:30">
      <c r="A1754" s="53" t="s">
        <v>3472</v>
      </c>
      <c r="B1754" s="83"/>
      <c r="C1754" s="53" t="s">
        <v>32</v>
      </c>
      <c r="D1754" s="84" t="s">
        <v>3278</v>
      </c>
      <c r="E1754" s="85" t="s">
        <v>3473</v>
      </c>
      <c r="F1754" s="85" t="s">
        <v>525</v>
      </c>
      <c r="G1754" s="76"/>
      <c r="H1754" s="76">
        <f>STOCK[[#This Row],[Precio Final]]</f>
        <v>8.475</v>
      </c>
      <c r="I1754" s="80">
        <f>STOCK[[#This Row],[Precio Venta Ideal (x1.5)]]</f>
        <v>1.27125</v>
      </c>
      <c r="J1754" s="86">
        <v>4</v>
      </c>
      <c r="K1754" s="78">
        <f>SUMIFS(VENTAS[Cantidad],VENTAS[Código del producto Vendido],STOCK[[#This Row],[Code]])</f>
        <v>4</v>
      </c>
      <c r="L1754" s="78">
        <f>STOCK[[#This Row],[Entradas]]-STOCK[[#This Row],[Salidas]]</f>
        <v>0</v>
      </c>
      <c r="M1754" s="76">
        <f>STOCK[[#This Row],[Precio Final]]*10%</f>
        <v>0.8475</v>
      </c>
      <c r="N1754" s="54">
        <v>0</v>
      </c>
      <c r="O1754" s="76">
        <v>0</v>
      </c>
      <c r="P1754" s="76"/>
      <c r="Q1754" s="76">
        <v>3.6</v>
      </c>
      <c r="R1754" s="78"/>
      <c r="S1754" s="76"/>
      <c r="T1754" s="76">
        <f>STOCK[[#This Row],[Costo Unitario (USD)]]+STOCK[[#This Row],[Costo Envío (USD)]]+STOCK[[#This Row],[Comisión 10%]]</f>
        <v>0.8475</v>
      </c>
      <c r="U1754" s="53">
        <f>STOCK[[#This Row],[Costo total]]*1.5</f>
        <v>1.27125</v>
      </c>
      <c r="V1754" s="53">
        <v>8.475</v>
      </c>
      <c r="W1754" s="76">
        <f>STOCK[[#This Row],[Precio Final]]-STOCK[[#This Row],[Costo total]]</f>
        <v>7.6275</v>
      </c>
      <c r="X1754" s="76">
        <f>STOCK[[#This Row],[Ganancia Unitaria]]*STOCK[[#This Row],[Salidas]]</f>
        <v>30.51</v>
      </c>
      <c r="Y1754" s="76">
        <v>0</v>
      </c>
      <c r="Z1754" s="87"/>
      <c r="AA1754" s="54">
        <f>STOCK[[#This Row],[Costo total]]*STOCK[[#This Row],[Entradas]]</f>
        <v>3.39</v>
      </c>
      <c r="AB1754" s="54">
        <f>STOCK[[#This Row],[Stock Actual]]*STOCK[[#This Row],[Costo total]]</f>
        <v>0</v>
      </c>
      <c r="AC1754" s="76">
        <v>22.6</v>
      </c>
      <c r="AD1754" s="76"/>
    </row>
    <row r="1755" s="53" customFormat="1" ht="50" customHeight="1" spans="1:30">
      <c r="A1755" s="53" t="s">
        <v>3474</v>
      </c>
      <c r="B1755" s="83"/>
      <c r="C1755" s="53" t="s">
        <v>32</v>
      </c>
      <c r="D1755" s="84" t="s">
        <v>3278</v>
      </c>
      <c r="E1755" s="85" t="s">
        <v>3475</v>
      </c>
      <c r="F1755" s="85" t="s">
        <v>1534</v>
      </c>
      <c r="G1755" s="76"/>
      <c r="H1755" s="76">
        <f>STOCK[[#This Row],[Precio Final]]</f>
        <v>4.92</v>
      </c>
      <c r="I1755" s="80">
        <f>STOCK[[#This Row],[Precio Venta Ideal (x1.5)]]</f>
        <v>0.738</v>
      </c>
      <c r="J1755" s="86">
        <v>10</v>
      </c>
      <c r="K1755" s="78">
        <f>SUMIFS(VENTAS[Cantidad],VENTAS[Código del producto Vendido],STOCK[[#This Row],[Code]])</f>
        <v>0</v>
      </c>
      <c r="L1755" s="78">
        <f>STOCK[[#This Row],[Entradas]]-STOCK[[#This Row],[Salidas]]</f>
        <v>10</v>
      </c>
      <c r="M1755" s="76">
        <f>STOCK[[#This Row],[Precio Final]]*10%</f>
        <v>0.492</v>
      </c>
      <c r="N1755" s="54">
        <v>0</v>
      </c>
      <c r="O1755" s="76">
        <v>0</v>
      </c>
      <c r="P1755" s="76"/>
      <c r="Q1755" s="76">
        <v>1.23</v>
      </c>
      <c r="R1755" s="78"/>
      <c r="S1755" s="76"/>
      <c r="T1755" s="76">
        <f>STOCK[[#This Row],[Costo Unitario (USD)]]+STOCK[[#This Row],[Costo Envío (USD)]]+STOCK[[#This Row],[Comisión 10%]]</f>
        <v>0.492</v>
      </c>
      <c r="U1755" s="53">
        <f>STOCK[[#This Row],[Costo total]]*1.5</f>
        <v>0.738</v>
      </c>
      <c r="V1755" s="53">
        <v>4.92</v>
      </c>
      <c r="W1755" s="76">
        <f>STOCK[[#This Row],[Precio Final]]-STOCK[[#This Row],[Costo total]]</f>
        <v>4.428</v>
      </c>
      <c r="X1755" s="76">
        <f>STOCK[[#This Row],[Ganancia Unitaria]]*STOCK[[#This Row],[Salidas]]</f>
        <v>0</v>
      </c>
      <c r="Y1755" s="76">
        <v>0</v>
      </c>
      <c r="Z1755" s="87"/>
      <c r="AA1755" s="54">
        <f>STOCK[[#This Row],[Costo total]]*STOCK[[#This Row],[Entradas]]</f>
        <v>4.92</v>
      </c>
      <c r="AB1755" s="54">
        <f>STOCK[[#This Row],[Stock Actual]]*STOCK[[#This Row],[Costo total]]</f>
        <v>4.92</v>
      </c>
      <c r="AC1755" s="76">
        <v>32.8</v>
      </c>
      <c r="AD1755" s="76"/>
    </row>
    <row r="1756" s="53" customFormat="1" ht="50" customHeight="1" spans="1:30">
      <c r="A1756" s="53" t="s">
        <v>3476</v>
      </c>
      <c r="B1756" s="83"/>
      <c r="C1756" s="53" t="s">
        <v>32</v>
      </c>
      <c r="D1756" s="84" t="s">
        <v>3278</v>
      </c>
      <c r="E1756" s="85" t="s">
        <v>3341</v>
      </c>
      <c r="F1756" s="85" t="s">
        <v>46</v>
      </c>
      <c r="G1756" s="76"/>
      <c r="H1756" s="76">
        <f>STOCK[[#This Row],[Precio Final]]</f>
        <v>19.755</v>
      </c>
      <c r="I1756" s="80">
        <f>STOCK[[#This Row],[Precio Venta Ideal (x1.5)]]</f>
        <v>2.96325</v>
      </c>
      <c r="J1756" s="86">
        <v>1</v>
      </c>
      <c r="K1756" s="78">
        <f>SUMIFS(VENTAS[Cantidad],VENTAS[Código del producto Vendido],STOCK[[#This Row],[Code]])</f>
        <v>1</v>
      </c>
      <c r="L1756" s="78">
        <f>STOCK[[#This Row],[Entradas]]-STOCK[[#This Row],[Salidas]]</f>
        <v>0</v>
      </c>
      <c r="M1756" s="76">
        <f>STOCK[[#This Row],[Precio Final]]*10%</f>
        <v>1.9755</v>
      </c>
      <c r="N1756" s="54">
        <v>0</v>
      </c>
      <c r="O1756" s="76">
        <v>0</v>
      </c>
      <c r="P1756" s="76"/>
      <c r="Q1756" s="76">
        <v>9.62</v>
      </c>
      <c r="R1756" s="78"/>
      <c r="S1756" s="76"/>
      <c r="T1756" s="76">
        <f>STOCK[[#This Row],[Costo Unitario (USD)]]+STOCK[[#This Row],[Costo Envío (USD)]]+STOCK[[#This Row],[Comisión 10%]]</f>
        <v>1.9755</v>
      </c>
      <c r="U1756" s="53">
        <f>STOCK[[#This Row],[Costo total]]*1.5</f>
        <v>2.96325</v>
      </c>
      <c r="V1756" s="53">
        <v>19.755</v>
      </c>
      <c r="W1756" s="76">
        <f>STOCK[[#This Row],[Precio Final]]-STOCK[[#This Row],[Costo total]]</f>
        <v>17.7795</v>
      </c>
      <c r="X1756" s="76">
        <f>STOCK[[#This Row],[Ganancia Unitaria]]*STOCK[[#This Row],[Salidas]]</f>
        <v>17.7795</v>
      </c>
      <c r="Y1756" s="76">
        <v>0</v>
      </c>
      <c r="Z1756" s="87"/>
      <c r="AA1756" s="54">
        <f>STOCK[[#This Row],[Costo total]]*STOCK[[#This Row],[Entradas]]</f>
        <v>1.9755</v>
      </c>
      <c r="AB1756" s="54">
        <f>STOCK[[#This Row],[Stock Actual]]*STOCK[[#This Row],[Costo total]]</f>
        <v>0</v>
      </c>
      <c r="AC1756" s="76">
        <v>13.17</v>
      </c>
      <c r="AD1756" s="76"/>
    </row>
    <row r="1757" s="53" customFormat="1" ht="50" customHeight="1" spans="1:30">
      <c r="A1757" s="53" t="s">
        <v>3477</v>
      </c>
      <c r="B1757" s="83"/>
      <c r="C1757" s="53" t="s">
        <v>32</v>
      </c>
      <c r="D1757" s="84" t="s">
        <v>3278</v>
      </c>
      <c r="E1757" s="85" t="s">
        <v>3344</v>
      </c>
      <c r="F1757" s="85" t="s">
        <v>62</v>
      </c>
      <c r="G1757" s="76"/>
      <c r="H1757" s="76">
        <f>STOCK[[#This Row],[Precio Final]]</f>
        <v>17.91</v>
      </c>
      <c r="I1757" s="80">
        <f>STOCK[[#This Row],[Precio Venta Ideal (x1.5)]]</f>
        <v>2.6865</v>
      </c>
      <c r="J1757" s="86">
        <v>2</v>
      </c>
      <c r="K1757" s="78">
        <f>SUMIFS(VENTAS[Cantidad],VENTAS[Código del producto Vendido],STOCK[[#This Row],[Code]])</f>
        <v>2</v>
      </c>
      <c r="L1757" s="78">
        <f>STOCK[[#This Row],[Entradas]]-STOCK[[#This Row],[Salidas]]</f>
        <v>0</v>
      </c>
      <c r="M1757" s="76">
        <f>STOCK[[#This Row],[Precio Final]]*10%</f>
        <v>1.791</v>
      </c>
      <c r="N1757" s="54">
        <v>0</v>
      </c>
      <c r="O1757" s="76">
        <v>0</v>
      </c>
      <c r="P1757" s="76"/>
      <c r="Q1757" s="76">
        <v>8.39</v>
      </c>
      <c r="R1757" s="78"/>
      <c r="S1757" s="76"/>
      <c r="T1757" s="76">
        <f>STOCK[[#This Row],[Costo Unitario (USD)]]+STOCK[[#This Row],[Costo Envío (USD)]]+STOCK[[#This Row],[Comisión 10%]]</f>
        <v>1.791</v>
      </c>
      <c r="U1757" s="53">
        <f>STOCK[[#This Row],[Costo total]]*1.5</f>
        <v>2.6865</v>
      </c>
      <c r="V1757" s="53">
        <v>17.91</v>
      </c>
      <c r="W1757" s="76">
        <f>STOCK[[#This Row],[Precio Final]]-STOCK[[#This Row],[Costo total]]</f>
        <v>16.119</v>
      </c>
      <c r="X1757" s="76">
        <f>STOCK[[#This Row],[Ganancia Unitaria]]*STOCK[[#This Row],[Salidas]]</f>
        <v>32.238</v>
      </c>
      <c r="Y1757" s="76">
        <v>0</v>
      </c>
      <c r="Z1757" s="87"/>
      <c r="AA1757" s="54">
        <f>STOCK[[#This Row],[Costo total]]*STOCK[[#This Row],[Entradas]]</f>
        <v>3.582</v>
      </c>
      <c r="AB1757" s="54">
        <f>STOCK[[#This Row],[Stock Actual]]*STOCK[[#This Row],[Costo total]]</f>
        <v>0</v>
      </c>
      <c r="AC1757" s="76">
        <v>23.88</v>
      </c>
      <c r="AD1757" s="76"/>
    </row>
    <row r="1758" s="53" customFormat="1" ht="50" customHeight="1" spans="1:30">
      <c r="A1758" s="53" t="s">
        <v>3478</v>
      </c>
      <c r="B1758" s="83"/>
      <c r="C1758" s="53" t="s">
        <v>32</v>
      </c>
      <c r="D1758" s="84" t="s">
        <v>3278</v>
      </c>
      <c r="E1758" s="85" t="s">
        <v>3479</v>
      </c>
      <c r="F1758" s="85" t="s">
        <v>525</v>
      </c>
      <c r="G1758" s="76"/>
      <c r="H1758" s="76">
        <f>STOCK[[#This Row],[Precio Final]]</f>
        <v>17.805</v>
      </c>
      <c r="I1758" s="80">
        <f>STOCK[[#This Row],[Precio Venta Ideal (x1.5)]]</f>
        <v>2.67075</v>
      </c>
      <c r="J1758" s="86">
        <v>3</v>
      </c>
      <c r="K1758" s="78">
        <f>SUMIFS(VENTAS[Cantidad],VENTAS[Código del producto Vendido],STOCK[[#This Row],[Code]])</f>
        <v>3</v>
      </c>
      <c r="L1758" s="78">
        <f>STOCK[[#This Row],[Entradas]]-STOCK[[#This Row],[Salidas]]</f>
        <v>0</v>
      </c>
      <c r="M1758" s="76">
        <f>STOCK[[#This Row],[Precio Final]]*10%</f>
        <v>1.7805</v>
      </c>
      <c r="N1758" s="54">
        <v>0</v>
      </c>
      <c r="O1758" s="76">
        <v>0</v>
      </c>
      <c r="P1758" s="76"/>
      <c r="Q1758" s="76">
        <v>9.82</v>
      </c>
      <c r="R1758" s="78"/>
      <c r="S1758" s="76"/>
      <c r="T1758" s="76">
        <f>STOCK[[#This Row],[Costo Unitario (USD)]]+STOCK[[#This Row],[Costo Envío (USD)]]+STOCK[[#This Row],[Comisión 10%]]</f>
        <v>1.7805</v>
      </c>
      <c r="U1758" s="53">
        <f>STOCK[[#This Row],[Costo total]]*1.5</f>
        <v>2.67075</v>
      </c>
      <c r="V1758" s="53">
        <v>17.805</v>
      </c>
      <c r="W1758" s="76">
        <f>STOCK[[#This Row],[Precio Final]]-STOCK[[#This Row],[Costo total]]</f>
        <v>16.0245</v>
      </c>
      <c r="X1758" s="76">
        <f>STOCK[[#This Row],[Ganancia Unitaria]]*STOCK[[#This Row],[Salidas]]</f>
        <v>48.0735</v>
      </c>
      <c r="Y1758" s="76">
        <v>0</v>
      </c>
      <c r="Z1758" s="87"/>
      <c r="AA1758" s="54">
        <f>STOCK[[#This Row],[Costo total]]*STOCK[[#This Row],[Entradas]]</f>
        <v>5.3415</v>
      </c>
      <c r="AB1758" s="54">
        <f>STOCK[[#This Row],[Stock Actual]]*STOCK[[#This Row],[Costo total]]</f>
        <v>0</v>
      </c>
      <c r="AC1758" s="76">
        <v>35.61</v>
      </c>
      <c r="AD1758" s="76"/>
    </row>
    <row r="1759" s="53" customFormat="1" ht="50" customHeight="1" spans="1:30">
      <c r="A1759" s="92" t="s">
        <v>3480</v>
      </c>
      <c r="B1759" s="83"/>
      <c r="C1759" s="53" t="s">
        <v>32</v>
      </c>
      <c r="D1759" s="84" t="s">
        <v>749</v>
      </c>
      <c r="E1759" s="93" t="s">
        <v>3481</v>
      </c>
      <c r="F1759" s="92" t="s">
        <v>49</v>
      </c>
      <c r="G1759" s="76"/>
      <c r="H1759" s="76">
        <f>STOCK[[#This Row],[Precio Final]]</f>
        <v>20</v>
      </c>
      <c r="I1759" s="80">
        <f>STOCK[[#This Row],[Precio Venta Ideal (x1.5)]]</f>
        <v>16.5</v>
      </c>
      <c r="J1759" s="92">
        <v>1</v>
      </c>
      <c r="K1759" s="78">
        <f>SUMIFS(VENTAS[Cantidad],VENTAS[Código del producto Vendido],STOCK[[#This Row],[Code]])</f>
        <v>0</v>
      </c>
      <c r="L1759" s="78">
        <f>STOCK[[#This Row],[Entradas]]-STOCK[[#This Row],[Salidas]]</f>
        <v>1</v>
      </c>
      <c r="M1759" s="76">
        <f>STOCK[[#This Row],[Precio Final]]*10%</f>
        <v>2</v>
      </c>
      <c r="N1759" s="54">
        <v>0</v>
      </c>
      <c r="O1759" s="76">
        <v>0</v>
      </c>
      <c r="P1759" s="76">
        <v>9</v>
      </c>
      <c r="Q1759" s="76">
        <v>0</v>
      </c>
      <c r="R1759" s="78">
        <v>0</v>
      </c>
      <c r="S1759" s="76">
        <v>0</v>
      </c>
      <c r="T1759" s="76">
        <f>STOCK[[#This Row],[Costo Unitario (USD)]]+STOCK[[#This Row],[Costo Envío (USD)]]+STOCK[[#This Row],[Comisión 10%]]</f>
        <v>11</v>
      </c>
      <c r="U1759" s="53">
        <f>STOCK[[#This Row],[Costo total]]*1.5</f>
        <v>16.5</v>
      </c>
      <c r="V1759" s="53">
        <v>20</v>
      </c>
      <c r="W1759" s="76">
        <f>STOCK[[#This Row],[Precio Final]]-STOCK[[#This Row],[Costo total]]</f>
        <v>9</v>
      </c>
      <c r="X1759" s="76">
        <f>STOCK[[#This Row],[Ganancia Unitaria]]*STOCK[[#This Row],[Salidas]]</f>
        <v>0</v>
      </c>
      <c r="Y1759" s="76" t="s">
        <v>3482</v>
      </c>
      <c r="Z1759" s="87"/>
      <c r="AA1759" s="54">
        <f>STOCK[[#This Row],[Costo total]]*STOCK[[#This Row],[Entradas]]</f>
        <v>11</v>
      </c>
      <c r="AB1759" s="54">
        <f>STOCK[[#This Row],[Stock Actual]]*STOCK[[#This Row],[Costo total]]</f>
        <v>11</v>
      </c>
      <c r="AC1759" s="76"/>
      <c r="AD1759" s="94"/>
    </row>
    <row r="1760" s="53" customFormat="1" ht="50" customHeight="1" spans="1:30">
      <c r="A1760" s="92" t="s">
        <v>3483</v>
      </c>
      <c r="B1760" s="83"/>
      <c r="C1760" s="53" t="s">
        <v>32</v>
      </c>
      <c r="D1760" s="84" t="s">
        <v>749</v>
      </c>
      <c r="E1760" s="93" t="s">
        <v>3484</v>
      </c>
      <c r="F1760" s="92" t="s">
        <v>49</v>
      </c>
      <c r="G1760" s="76"/>
      <c r="H1760" s="76">
        <f>STOCK[[#This Row],[Precio Final]]</f>
        <v>20</v>
      </c>
      <c r="I1760" s="80">
        <f>STOCK[[#This Row],[Precio Venta Ideal (x1.5)]]</f>
        <v>16.5</v>
      </c>
      <c r="J1760" s="92">
        <v>1</v>
      </c>
      <c r="K1760" s="78">
        <f>SUMIFS(VENTAS[Cantidad],VENTAS[Código del producto Vendido],STOCK[[#This Row],[Code]])</f>
        <v>0</v>
      </c>
      <c r="L1760" s="78">
        <f>STOCK[[#This Row],[Entradas]]-STOCK[[#This Row],[Salidas]]</f>
        <v>1</v>
      </c>
      <c r="M1760" s="76">
        <f>STOCK[[#This Row],[Precio Final]]*10%</f>
        <v>2</v>
      </c>
      <c r="N1760" s="54">
        <v>0</v>
      </c>
      <c r="O1760" s="76">
        <v>0</v>
      </c>
      <c r="P1760" s="76">
        <v>9</v>
      </c>
      <c r="Q1760" s="76">
        <v>0</v>
      </c>
      <c r="R1760" s="78">
        <v>0</v>
      </c>
      <c r="S1760" s="76">
        <v>0</v>
      </c>
      <c r="T1760" s="76">
        <f>STOCK[[#This Row],[Costo Unitario (USD)]]+STOCK[[#This Row],[Costo Envío (USD)]]+STOCK[[#This Row],[Comisión 10%]]</f>
        <v>11</v>
      </c>
      <c r="U1760" s="53">
        <f>STOCK[[#This Row],[Costo total]]*1.5</f>
        <v>16.5</v>
      </c>
      <c r="V1760" s="53">
        <v>20</v>
      </c>
      <c r="W1760" s="76">
        <f>STOCK[[#This Row],[Precio Final]]-STOCK[[#This Row],[Costo total]]</f>
        <v>9</v>
      </c>
      <c r="X1760" s="76">
        <f>STOCK[[#This Row],[Ganancia Unitaria]]*STOCK[[#This Row],[Salidas]]</f>
        <v>0</v>
      </c>
      <c r="Y1760" s="76" t="s">
        <v>3482</v>
      </c>
      <c r="Z1760" s="87"/>
      <c r="AA1760" s="54">
        <f>STOCK[[#This Row],[Costo total]]*STOCK[[#This Row],[Entradas]]</f>
        <v>11</v>
      </c>
      <c r="AB1760" s="54">
        <f>STOCK[[#This Row],[Stock Actual]]*STOCK[[#This Row],[Costo total]]</f>
        <v>11</v>
      </c>
      <c r="AC1760" s="76"/>
      <c r="AD1760" s="94"/>
    </row>
    <row r="1761" s="53" customFormat="1" ht="50" customHeight="1" spans="1:30">
      <c r="A1761" s="92" t="s">
        <v>3485</v>
      </c>
      <c r="B1761" s="83"/>
      <c r="C1761" s="53" t="s">
        <v>32</v>
      </c>
      <c r="D1761" s="84"/>
      <c r="E1761" s="93" t="s">
        <v>3486</v>
      </c>
      <c r="F1761" s="92" t="s">
        <v>46</v>
      </c>
      <c r="G1761" s="76"/>
      <c r="H1761" s="76">
        <f>STOCK[[#This Row],[Precio Final]]</f>
        <v>10</v>
      </c>
      <c r="I1761" s="80">
        <f>STOCK[[#This Row],[Precio Venta Ideal (x1.5)]]</f>
        <v>15</v>
      </c>
      <c r="J1761" s="92">
        <v>1</v>
      </c>
      <c r="K1761" s="78">
        <v>1</v>
      </c>
      <c r="L1761" s="78">
        <f>STOCK[[#This Row],[Entradas]]-STOCK[[#This Row],[Salidas]]</f>
        <v>0</v>
      </c>
      <c r="M1761" s="76">
        <f>STOCK[[#This Row],[Precio Final]]*10%</f>
        <v>1</v>
      </c>
      <c r="N1761" s="54">
        <v>0</v>
      </c>
      <c r="O1761" s="76">
        <v>0</v>
      </c>
      <c r="P1761" s="76">
        <v>9</v>
      </c>
      <c r="Q1761" s="76">
        <v>0</v>
      </c>
      <c r="R1761" s="78">
        <v>0</v>
      </c>
      <c r="S1761" s="76">
        <v>0</v>
      </c>
      <c r="T1761" s="76">
        <f>STOCK[[#This Row],[Costo Unitario (USD)]]+STOCK[[#This Row],[Costo Envío (USD)]]+STOCK[[#This Row],[Comisión 10%]]</f>
        <v>10</v>
      </c>
      <c r="U1761" s="53">
        <f>STOCK[[#This Row],[Costo total]]*1.5</f>
        <v>15</v>
      </c>
      <c r="V1761" s="53">
        <v>10</v>
      </c>
      <c r="W1761" s="76">
        <f>STOCK[[#This Row],[Precio Final]]-STOCK[[#This Row],[Costo total]]</f>
        <v>0</v>
      </c>
      <c r="X1761" s="76">
        <f>STOCK[[#This Row],[Ganancia Unitaria]]*STOCK[[#This Row],[Salidas]]</f>
        <v>0</v>
      </c>
      <c r="Y1761" s="76" t="s">
        <v>3482</v>
      </c>
      <c r="Z1761" s="87"/>
      <c r="AA1761" s="54">
        <f>STOCK[[#This Row],[Costo total]]*STOCK[[#This Row],[Entradas]]</f>
        <v>10</v>
      </c>
      <c r="AB1761" s="54">
        <f>STOCK[[#This Row],[Stock Actual]]*STOCK[[#This Row],[Costo total]]</f>
        <v>0</v>
      </c>
      <c r="AC1761" s="76"/>
      <c r="AD1761" s="94"/>
    </row>
    <row r="1762" s="53" customFormat="1" ht="50" customHeight="1" spans="1:30">
      <c r="A1762" s="92" t="s">
        <v>3487</v>
      </c>
      <c r="B1762" s="83"/>
      <c r="C1762" s="53" t="s">
        <v>32</v>
      </c>
      <c r="D1762" s="84" t="s">
        <v>749</v>
      </c>
      <c r="E1762" s="93" t="s">
        <v>3488</v>
      </c>
      <c r="F1762" s="92" t="s">
        <v>46</v>
      </c>
      <c r="G1762" s="76"/>
      <c r="H1762" s="76">
        <f>STOCK[[#This Row],[Precio Final]]</f>
        <v>20</v>
      </c>
      <c r="I1762" s="80">
        <f>STOCK[[#This Row],[Precio Venta Ideal (x1.5)]]</f>
        <v>16.5</v>
      </c>
      <c r="J1762" s="92">
        <v>1</v>
      </c>
      <c r="K1762" s="78">
        <f>SUMIFS(VENTAS[Cantidad],VENTAS[Código del producto Vendido],STOCK[[#This Row],[Code]])</f>
        <v>0</v>
      </c>
      <c r="L1762" s="78">
        <f>STOCK[[#This Row],[Entradas]]-STOCK[[#This Row],[Salidas]]</f>
        <v>1</v>
      </c>
      <c r="M1762" s="76">
        <f>STOCK[[#This Row],[Precio Final]]*10%</f>
        <v>2</v>
      </c>
      <c r="N1762" s="54">
        <v>0</v>
      </c>
      <c r="O1762" s="76">
        <v>0</v>
      </c>
      <c r="P1762" s="76">
        <v>9</v>
      </c>
      <c r="Q1762" s="76">
        <v>0</v>
      </c>
      <c r="R1762" s="78">
        <v>0</v>
      </c>
      <c r="S1762" s="76">
        <v>0</v>
      </c>
      <c r="T1762" s="76">
        <f>STOCK[[#This Row],[Costo Unitario (USD)]]+STOCK[[#This Row],[Costo Envío (USD)]]+STOCK[[#This Row],[Comisión 10%]]</f>
        <v>11</v>
      </c>
      <c r="U1762" s="53">
        <f>STOCK[[#This Row],[Costo total]]*1.5</f>
        <v>16.5</v>
      </c>
      <c r="V1762" s="53">
        <v>20</v>
      </c>
      <c r="W1762" s="76">
        <f>STOCK[[#This Row],[Precio Final]]-STOCK[[#This Row],[Costo total]]</f>
        <v>9</v>
      </c>
      <c r="X1762" s="76">
        <f>STOCK[[#This Row],[Ganancia Unitaria]]*STOCK[[#This Row],[Salidas]]</f>
        <v>0</v>
      </c>
      <c r="Y1762" s="76" t="s">
        <v>3482</v>
      </c>
      <c r="Z1762" s="87"/>
      <c r="AA1762" s="54">
        <f>STOCK[[#This Row],[Costo total]]*STOCK[[#This Row],[Entradas]]</f>
        <v>11</v>
      </c>
      <c r="AB1762" s="54">
        <f>STOCK[[#This Row],[Stock Actual]]*STOCK[[#This Row],[Costo total]]</f>
        <v>11</v>
      </c>
      <c r="AC1762" s="76"/>
      <c r="AD1762" s="94"/>
    </row>
    <row r="1763" s="53" customFormat="1" ht="50" customHeight="1" spans="1:30">
      <c r="A1763" s="92" t="s">
        <v>3489</v>
      </c>
      <c r="B1763" s="83"/>
      <c r="C1763" s="53" t="s">
        <v>32</v>
      </c>
      <c r="D1763" s="84"/>
      <c r="E1763" s="93" t="s">
        <v>3490</v>
      </c>
      <c r="F1763" s="92" t="s">
        <v>46</v>
      </c>
      <c r="G1763" s="76"/>
      <c r="H1763" s="76">
        <f>STOCK[[#This Row],[Precio Final]]</f>
        <v>10</v>
      </c>
      <c r="I1763" s="80">
        <f>STOCK[[#This Row],[Precio Venta Ideal (x1.5)]]</f>
        <v>15</v>
      </c>
      <c r="J1763" s="92">
        <v>1</v>
      </c>
      <c r="K1763" s="78">
        <v>1</v>
      </c>
      <c r="L1763" s="78">
        <f>STOCK[[#This Row],[Entradas]]-STOCK[[#This Row],[Salidas]]</f>
        <v>0</v>
      </c>
      <c r="M1763" s="76">
        <f>STOCK[[#This Row],[Precio Final]]*10%</f>
        <v>1</v>
      </c>
      <c r="N1763" s="54">
        <v>0</v>
      </c>
      <c r="O1763" s="76">
        <v>0</v>
      </c>
      <c r="P1763" s="76">
        <v>9</v>
      </c>
      <c r="Q1763" s="76">
        <v>0</v>
      </c>
      <c r="R1763" s="78">
        <v>0</v>
      </c>
      <c r="S1763" s="76">
        <v>0</v>
      </c>
      <c r="T1763" s="76">
        <f>STOCK[[#This Row],[Costo Unitario (USD)]]+STOCK[[#This Row],[Costo Envío (USD)]]+STOCK[[#This Row],[Comisión 10%]]</f>
        <v>10</v>
      </c>
      <c r="U1763" s="53">
        <f>STOCK[[#This Row],[Costo total]]*1.5</f>
        <v>15</v>
      </c>
      <c r="V1763" s="53">
        <v>10</v>
      </c>
      <c r="W1763" s="76">
        <f>STOCK[[#This Row],[Precio Final]]-STOCK[[#This Row],[Costo total]]</f>
        <v>0</v>
      </c>
      <c r="X1763" s="76">
        <f>STOCK[[#This Row],[Ganancia Unitaria]]*STOCK[[#This Row],[Salidas]]</f>
        <v>0</v>
      </c>
      <c r="Y1763" s="76" t="s">
        <v>3482</v>
      </c>
      <c r="Z1763" s="87"/>
      <c r="AA1763" s="54">
        <f>STOCK[[#This Row],[Costo total]]*STOCK[[#This Row],[Entradas]]</f>
        <v>10</v>
      </c>
      <c r="AB1763" s="54">
        <f>STOCK[[#This Row],[Stock Actual]]*STOCK[[#This Row],[Costo total]]</f>
        <v>0</v>
      </c>
      <c r="AC1763" s="76"/>
      <c r="AD1763" s="94"/>
    </row>
    <row r="1764" s="53" customFormat="1" ht="50" customHeight="1" spans="1:30">
      <c r="A1764" s="92" t="s">
        <v>3491</v>
      </c>
      <c r="B1764" s="83"/>
      <c r="C1764" s="53" t="s">
        <v>32</v>
      </c>
      <c r="D1764" s="84" t="s">
        <v>1388</v>
      </c>
      <c r="E1764" s="93" t="s">
        <v>3492</v>
      </c>
      <c r="F1764" s="92" t="s">
        <v>42</v>
      </c>
      <c r="G1764" s="76"/>
      <c r="H1764" s="76">
        <f>STOCK[[#This Row],[Precio Final]]</f>
        <v>20</v>
      </c>
      <c r="I1764" s="80">
        <f>STOCK[[#This Row],[Precio Venta Ideal (x1.5)]]</f>
        <v>16.5</v>
      </c>
      <c r="J1764" s="92">
        <v>1</v>
      </c>
      <c r="K1764" s="78">
        <f>SUMIFS(VENTAS[Cantidad],VENTAS[Código del producto Vendido],STOCK[[#This Row],[Code]])</f>
        <v>0</v>
      </c>
      <c r="L1764" s="78">
        <f>STOCK[[#This Row],[Entradas]]-STOCK[[#This Row],[Salidas]]</f>
        <v>1</v>
      </c>
      <c r="M1764" s="76">
        <f>STOCK[[#This Row],[Precio Final]]*10%</f>
        <v>2</v>
      </c>
      <c r="N1764" s="54">
        <v>0</v>
      </c>
      <c r="O1764" s="76">
        <v>0</v>
      </c>
      <c r="P1764" s="76">
        <v>9</v>
      </c>
      <c r="Q1764" s="76">
        <v>0</v>
      </c>
      <c r="R1764" s="78">
        <v>0</v>
      </c>
      <c r="S1764" s="76">
        <v>0</v>
      </c>
      <c r="T1764" s="76">
        <f>STOCK[[#This Row],[Costo Unitario (USD)]]+STOCK[[#This Row],[Costo Envío (USD)]]+STOCK[[#This Row],[Comisión 10%]]</f>
        <v>11</v>
      </c>
      <c r="U1764" s="53">
        <f>STOCK[[#This Row],[Costo total]]*1.5</f>
        <v>16.5</v>
      </c>
      <c r="V1764" s="53">
        <v>20</v>
      </c>
      <c r="W1764" s="76">
        <f>STOCK[[#This Row],[Precio Final]]-STOCK[[#This Row],[Costo total]]</f>
        <v>9</v>
      </c>
      <c r="X1764" s="76">
        <f>STOCK[[#This Row],[Ganancia Unitaria]]*STOCK[[#This Row],[Salidas]]</f>
        <v>0</v>
      </c>
      <c r="Y1764" s="76" t="s">
        <v>3482</v>
      </c>
      <c r="Z1764" s="87"/>
      <c r="AA1764" s="54">
        <f>STOCK[[#This Row],[Costo total]]*STOCK[[#This Row],[Entradas]]</f>
        <v>11</v>
      </c>
      <c r="AB1764" s="54">
        <f>STOCK[[#This Row],[Stock Actual]]*STOCK[[#This Row],[Costo total]]</f>
        <v>11</v>
      </c>
      <c r="AC1764" s="76"/>
      <c r="AD1764" s="94"/>
    </row>
    <row r="1765" s="53" customFormat="1" ht="50" customHeight="1" spans="1:30">
      <c r="A1765" s="92" t="s">
        <v>3493</v>
      </c>
      <c r="B1765" s="83"/>
      <c r="C1765" s="53" t="s">
        <v>32</v>
      </c>
      <c r="D1765" s="84" t="s">
        <v>749</v>
      </c>
      <c r="E1765" s="93" t="s">
        <v>3494</v>
      </c>
      <c r="F1765" s="92" t="s">
        <v>62</v>
      </c>
      <c r="G1765" s="76"/>
      <c r="H1765" s="76">
        <f>STOCK[[#This Row],[Precio Final]]</f>
        <v>18</v>
      </c>
      <c r="I1765" s="80">
        <f>STOCK[[#This Row],[Precio Venta Ideal (x1.5)]]</f>
        <v>16.2</v>
      </c>
      <c r="J1765" s="92">
        <v>1</v>
      </c>
      <c r="K1765" s="78">
        <f>SUMIFS(VENTAS[Cantidad],VENTAS[Código del producto Vendido],STOCK[[#This Row],[Code]])</f>
        <v>0</v>
      </c>
      <c r="L1765" s="78">
        <f>STOCK[[#This Row],[Entradas]]-STOCK[[#This Row],[Salidas]]</f>
        <v>1</v>
      </c>
      <c r="M1765" s="76">
        <f>STOCK[[#This Row],[Precio Final]]*10%</f>
        <v>1.8</v>
      </c>
      <c r="N1765" s="54">
        <v>0</v>
      </c>
      <c r="O1765" s="76">
        <v>0</v>
      </c>
      <c r="P1765" s="76">
        <v>9</v>
      </c>
      <c r="Q1765" s="76">
        <v>0</v>
      </c>
      <c r="R1765" s="78">
        <v>0</v>
      </c>
      <c r="S1765" s="76">
        <v>0</v>
      </c>
      <c r="T1765" s="76">
        <f>STOCK[[#This Row],[Costo Unitario (USD)]]+STOCK[[#This Row],[Costo Envío (USD)]]+STOCK[[#This Row],[Comisión 10%]]</f>
        <v>10.8</v>
      </c>
      <c r="U1765" s="53">
        <f>STOCK[[#This Row],[Costo total]]*1.5</f>
        <v>16.2</v>
      </c>
      <c r="V1765" s="53">
        <v>18</v>
      </c>
      <c r="W1765" s="76">
        <f>STOCK[[#This Row],[Precio Final]]-STOCK[[#This Row],[Costo total]]</f>
        <v>7.2</v>
      </c>
      <c r="X1765" s="76">
        <f>STOCK[[#This Row],[Ganancia Unitaria]]*STOCK[[#This Row],[Salidas]]</f>
        <v>0</v>
      </c>
      <c r="Y1765" s="76" t="s">
        <v>3482</v>
      </c>
      <c r="Z1765" s="87"/>
      <c r="AA1765" s="54">
        <f>STOCK[[#This Row],[Costo total]]*STOCK[[#This Row],[Entradas]]</f>
        <v>10.8</v>
      </c>
      <c r="AB1765" s="54">
        <f>STOCK[[#This Row],[Stock Actual]]*STOCK[[#This Row],[Costo total]]</f>
        <v>10.8</v>
      </c>
      <c r="AC1765" s="76"/>
      <c r="AD1765" s="94"/>
    </row>
    <row r="1766" s="53" customFormat="1" ht="50" customHeight="1" spans="1:30">
      <c r="A1766" s="92" t="s">
        <v>3495</v>
      </c>
      <c r="B1766" s="83"/>
      <c r="C1766" s="53" t="s">
        <v>32</v>
      </c>
      <c r="D1766" s="84" t="s">
        <v>1388</v>
      </c>
      <c r="E1766" s="93" t="s">
        <v>3496</v>
      </c>
      <c r="F1766" s="92" t="s">
        <v>3497</v>
      </c>
      <c r="G1766" s="76"/>
      <c r="H1766" s="76">
        <f>STOCK[[#This Row],[Precio Final]]</f>
        <v>40</v>
      </c>
      <c r="I1766" s="80">
        <f>STOCK[[#This Row],[Precio Venta Ideal (x1.5)]]</f>
        <v>19.5</v>
      </c>
      <c r="J1766" s="92">
        <v>1</v>
      </c>
      <c r="K1766" s="78">
        <f>SUMIFS(VENTAS[Cantidad],VENTAS[Código del producto Vendido],STOCK[[#This Row],[Code]])</f>
        <v>0</v>
      </c>
      <c r="L1766" s="78">
        <f>STOCK[[#This Row],[Entradas]]-STOCK[[#This Row],[Salidas]]</f>
        <v>1</v>
      </c>
      <c r="M1766" s="76">
        <f>STOCK[[#This Row],[Precio Final]]*10%</f>
        <v>4</v>
      </c>
      <c r="N1766" s="54">
        <v>0</v>
      </c>
      <c r="O1766" s="76">
        <v>0</v>
      </c>
      <c r="P1766" s="76">
        <v>9</v>
      </c>
      <c r="Q1766" s="76">
        <v>0</v>
      </c>
      <c r="R1766" s="78">
        <v>0</v>
      </c>
      <c r="S1766" s="76">
        <v>0</v>
      </c>
      <c r="T1766" s="76">
        <f>STOCK[[#This Row],[Costo Unitario (USD)]]+STOCK[[#This Row],[Costo Envío (USD)]]+STOCK[[#This Row],[Comisión 10%]]</f>
        <v>13</v>
      </c>
      <c r="U1766" s="53">
        <f>STOCK[[#This Row],[Costo total]]*1.5</f>
        <v>19.5</v>
      </c>
      <c r="V1766" s="53">
        <v>40</v>
      </c>
      <c r="W1766" s="76">
        <f>STOCK[[#This Row],[Precio Final]]-STOCK[[#This Row],[Costo total]]</f>
        <v>27</v>
      </c>
      <c r="X1766" s="76">
        <f>STOCK[[#This Row],[Ganancia Unitaria]]*STOCK[[#This Row],[Salidas]]</f>
        <v>0</v>
      </c>
      <c r="Y1766" s="76" t="s">
        <v>3482</v>
      </c>
      <c r="Z1766" s="87"/>
      <c r="AA1766" s="54">
        <f>STOCK[[#This Row],[Costo total]]*STOCK[[#This Row],[Entradas]]</f>
        <v>13</v>
      </c>
      <c r="AB1766" s="54">
        <f>STOCK[[#This Row],[Stock Actual]]*STOCK[[#This Row],[Costo total]]</f>
        <v>13</v>
      </c>
      <c r="AC1766" s="76"/>
      <c r="AD1766" s="94"/>
    </row>
    <row r="1767" s="53" customFormat="1" ht="50" customHeight="1" spans="1:30">
      <c r="A1767" s="92" t="s">
        <v>3498</v>
      </c>
      <c r="B1767" s="83"/>
      <c r="C1767" s="53" t="s">
        <v>32</v>
      </c>
      <c r="D1767" s="84" t="s">
        <v>749</v>
      </c>
      <c r="E1767" s="93" t="s">
        <v>3499</v>
      </c>
      <c r="F1767" s="92" t="s">
        <v>716</v>
      </c>
      <c r="G1767" s="76"/>
      <c r="H1767" s="76">
        <f>STOCK[[#This Row],[Precio Final]]</f>
        <v>18</v>
      </c>
      <c r="I1767" s="80">
        <f>STOCK[[#This Row],[Precio Venta Ideal (x1.5)]]</f>
        <v>16.2</v>
      </c>
      <c r="J1767" s="92">
        <v>1</v>
      </c>
      <c r="K1767" s="78">
        <f>SUMIFS(VENTAS[Cantidad],VENTAS[Código del producto Vendido],STOCK[[#This Row],[Code]])</f>
        <v>0</v>
      </c>
      <c r="L1767" s="78">
        <f>STOCK[[#This Row],[Entradas]]-STOCK[[#This Row],[Salidas]]</f>
        <v>1</v>
      </c>
      <c r="M1767" s="76">
        <f>STOCK[[#This Row],[Precio Final]]*10%</f>
        <v>1.8</v>
      </c>
      <c r="N1767" s="54">
        <v>0</v>
      </c>
      <c r="O1767" s="76">
        <v>0</v>
      </c>
      <c r="P1767" s="76">
        <v>9</v>
      </c>
      <c r="Q1767" s="76">
        <v>0</v>
      </c>
      <c r="R1767" s="78">
        <v>0</v>
      </c>
      <c r="S1767" s="76">
        <v>0</v>
      </c>
      <c r="T1767" s="76">
        <f>STOCK[[#This Row],[Costo Unitario (USD)]]+STOCK[[#This Row],[Costo Envío (USD)]]+STOCK[[#This Row],[Comisión 10%]]</f>
        <v>10.8</v>
      </c>
      <c r="U1767" s="53">
        <f>STOCK[[#This Row],[Costo total]]*1.5</f>
        <v>16.2</v>
      </c>
      <c r="V1767" s="53">
        <v>18</v>
      </c>
      <c r="W1767" s="76">
        <f>STOCK[[#This Row],[Precio Final]]-STOCK[[#This Row],[Costo total]]</f>
        <v>7.2</v>
      </c>
      <c r="X1767" s="76">
        <f>STOCK[[#This Row],[Ganancia Unitaria]]*STOCK[[#This Row],[Salidas]]</f>
        <v>0</v>
      </c>
      <c r="Y1767" s="76" t="s">
        <v>3482</v>
      </c>
      <c r="Z1767" s="87"/>
      <c r="AA1767" s="54">
        <f>STOCK[[#This Row],[Costo total]]*STOCK[[#This Row],[Entradas]]</f>
        <v>10.8</v>
      </c>
      <c r="AB1767" s="54">
        <f>STOCK[[#This Row],[Stock Actual]]*STOCK[[#This Row],[Costo total]]</f>
        <v>10.8</v>
      </c>
      <c r="AC1767" s="76"/>
      <c r="AD1767" s="94"/>
    </row>
    <row r="1768" s="53" customFormat="1" ht="50" customHeight="1" spans="1:30">
      <c r="A1768" s="92" t="s">
        <v>3500</v>
      </c>
      <c r="B1768" s="83"/>
      <c r="C1768" s="53" t="s">
        <v>32</v>
      </c>
      <c r="D1768" s="84" t="s">
        <v>1362</v>
      </c>
      <c r="E1768" s="93" t="s">
        <v>3501</v>
      </c>
      <c r="F1768" s="92" t="s">
        <v>1408</v>
      </c>
      <c r="G1768" s="76"/>
      <c r="H1768" s="76">
        <f>STOCK[[#This Row],[Precio Final]]</f>
        <v>20</v>
      </c>
      <c r="I1768" s="80">
        <f>STOCK[[#This Row],[Precio Venta Ideal (x1.5)]]</f>
        <v>16.5</v>
      </c>
      <c r="J1768" s="92">
        <v>1</v>
      </c>
      <c r="K1768" s="78">
        <f>SUMIFS(VENTAS[Cantidad],VENTAS[Código del producto Vendido],STOCK[[#This Row],[Code]])</f>
        <v>0</v>
      </c>
      <c r="L1768" s="78">
        <f>STOCK[[#This Row],[Entradas]]-STOCK[[#This Row],[Salidas]]</f>
        <v>1</v>
      </c>
      <c r="M1768" s="76">
        <f>STOCK[[#This Row],[Precio Final]]*10%</f>
        <v>2</v>
      </c>
      <c r="N1768" s="54">
        <v>0</v>
      </c>
      <c r="O1768" s="76">
        <v>0</v>
      </c>
      <c r="P1768" s="76">
        <v>9</v>
      </c>
      <c r="Q1768" s="76">
        <v>0</v>
      </c>
      <c r="R1768" s="78">
        <v>0</v>
      </c>
      <c r="S1768" s="76">
        <v>0</v>
      </c>
      <c r="T1768" s="76">
        <f>STOCK[[#This Row],[Costo Unitario (USD)]]+STOCK[[#This Row],[Costo Envío (USD)]]+STOCK[[#This Row],[Comisión 10%]]</f>
        <v>11</v>
      </c>
      <c r="U1768" s="53">
        <f>STOCK[[#This Row],[Costo total]]*1.5</f>
        <v>16.5</v>
      </c>
      <c r="V1768" s="53">
        <v>20</v>
      </c>
      <c r="W1768" s="76">
        <f>STOCK[[#This Row],[Precio Final]]-STOCK[[#This Row],[Costo total]]</f>
        <v>9</v>
      </c>
      <c r="X1768" s="76">
        <f>STOCK[[#This Row],[Ganancia Unitaria]]*STOCK[[#This Row],[Salidas]]</f>
        <v>0</v>
      </c>
      <c r="Y1768" s="76" t="s">
        <v>3482</v>
      </c>
      <c r="Z1768" s="87"/>
      <c r="AA1768" s="54">
        <f>STOCK[[#This Row],[Costo total]]*STOCK[[#This Row],[Entradas]]</f>
        <v>11</v>
      </c>
      <c r="AB1768" s="54">
        <f>STOCK[[#This Row],[Stock Actual]]*STOCK[[#This Row],[Costo total]]</f>
        <v>11</v>
      </c>
      <c r="AC1768" s="76"/>
      <c r="AD1768" s="94"/>
    </row>
    <row r="1769" s="53" customFormat="1" ht="50" customHeight="1" spans="1:30">
      <c r="A1769" s="92" t="s">
        <v>3502</v>
      </c>
      <c r="B1769" s="83"/>
      <c r="C1769" s="53" t="s">
        <v>32</v>
      </c>
      <c r="D1769" s="84" t="s">
        <v>749</v>
      </c>
      <c r="E1769" s="93" t="s">
        <v>3503</v>
      </c>
      <c r="F1769" s="92" t="s">
        <v>46</v>
      </c>
      <c r="G1769" s="76"/>
      <c r="H1769" s="76">
        <f>STOCK[[#This Row],[Precio Final]]</f>
        <v>30</v>
      </c>
      <c r="I1769" s="80">
        <f>STOCK[[#This Row],[Precio Venta Ideal (x1.5)]]</f>
        <v>18</v>
      </c>
      <c r="J1769" s="92">
        <v>1</v>
      </c>
      <c r="K1769" s="78">
        <f>SUMIFS(VENTAS[Cantidad],VENTAS[Código del producto Vendido],STOCK[[#This Row],[Code]])</f>
        <v>0</v>
      </c>
      <c r="L1769" s="78">
        <f>STOCK[[#This Row],[Entradas]]-STOCK[[#This Row],[Salidas]]</f>
        <v>1</v>
      </c>
      <c r="M1769" s="76">
        <f>STOCK[[#This Row],[Precio Final]]*10%</f>
        <v>3</v>
      </c>
      <c r="N1769" s="54">
        <v>0</v>
      </c>
      <c r="O1769" s="76">
        <v>0</v>
      </c>
      <c r="P1769" s="76">
        <v>9</v>
      </c>
      <c r="Q1769" s="76">
        <v>0</v>
      </c>
      <c r="R1769" s="78">
        <v>0</v>
      </c>
      <c r="S1769" s="76">
        <v>0</v>
      </c>
      <c r="T1769" s="76">
        <f>STOCK[[#This Row],[Costo Unitario (USD)]]+STOCK[[#This Row],[Costo Envío (USD)]]+STOCK[[#This Row],[Comisión 10%]]</f>
        <v>12</v>
      </c>
      <c r="U1769" s="53">
        <f>STOCK[[#This Row],[Costo total]]*1.5</f>
        <v>18</v>
      </c>
      <c r="V1769" s="53">
        <v>30</v>
      </c>
      <c r="W1769" s="76">
        <f>STOCK[[#This Row],[Precio Final]]-STOCK[[#This Row],[Costo total]]</f>
        <v>18</v>
      </c>
      <c r="X1769" s="76">
        <f>STOCK[[#This Row],[Ganancia Unitaria]]*STOCK[[#This Row],[Salidas]]</f>
        <v>0</v>
      </c>
      <c r="Y1769" s="76" t="s">
        <v>3482</v>
      </c>
      <c r="Z1769" s="87"/>
      <c r="AA1769" s="54">
        <f>STOCK[[#This Row],[Costo total]]*STOCK[[#This Row],[Entradas]]</f>
        <v>12</v>
      </c>
      <c r="AB1769" s="54">
        <f>STOCK[[#This Row],[Stock Actual]]*STOCK[[#This Row],[Costo total]]</f>
        <v>12</v>
      </c>
      <c r="AC1769" s="76"/>
      <c r="AD1769" s="94"/>
    </row>
    <row r="1770" s="53" customFormat="1" ht="50" customHeight="1" spans="1:30">
      <c r="A1770" s="92" t="s">
        <v>3504</v>
      </c>
      <c r="B1770" s="83"/>
      <c r="C1770" s="53" t="s">
        <v>32</v>
      </c>
      <c r="D1770" s="84" t="s">
        <v>780</v>
      </c>
      <c r="E1770" s="93" t="s">
        <v>3505</v>
      </c>
      <c r="F1770" s="92" t="s">
        <v>40</v>
      </c>
      <c r="G1770" s="76"/>
      <c r="H1770" s="76">
        <f>STOCK[[#This Row],[Precio Final]]</f>
        <v>20</v>
      </c>
      <c r="I1770" s="80">
        <f>STOCK[[#This Row],[Precio Venta Ideal (x1.5)]]</f>
        <v>16.5</v>
      </c>
      <c r="J1770" s="92">
        <v>1</v>
      </c>
      <c r="K1770" s="78">
        <f>SUMIFS(VENTAS[Cantidad],VENTAS[Código del producto Vendido],STOCK[[#This Row],[Code]])</f>
        <v>0</v>
      </c>
      <c r="L1770" s="78">
        <f>STOCK[[#This Row],[Entradas]]-STOCK[[#This Row],[Salidas]]</f>
        <v>1</v>
      </c>
      <c r="M1770" s="76">
        <f>STOCK[[#This Row],[Precio Final]]*10%</f>
        <v>2</v>
      </c>
      <c r="N1770" s="54">
        <v>0</v>
      </c>
      <c r="O1770" s="76">
        <v>0</v>
      </c>
      <c r="P1770" s="76">
        <v>9</v>
      </c>
      <c r="Q1770" s="76">
        <v>0</v>
      </c>
      <c r="R1770" s="78">
        <v>0</v>
      </c>
      <c r="S1770" s="76">
        <v>0</v>
      </c>
      <c r="T1770" s="76">
        <f>STOCK[[#This Row],[Costo Unitario (USD)]]+STOCK[[#This Row],[Costo Envío (USD)]]+STOCK[[#This Row],[Comisión 10%]]</f>
        <v>11</v>
      </c>
      <c r="U1770" s="53">
        <f>STOCK[[#This Row],[Costo total]]*1.5</f>
        <v>16.5</v>
      </c>
      <c r="V1770" s="53">
        <v>20</v>
      </c>
      <c r="W1770" s="76">
        <f>STOCK[[#This Row],[Precio Final]]-STOCK[[#This Row],[Costo total]]</f>
        <v>9</v>
      </c>
      <c r="X1770" s="76">
        <f>STOCK[[#This Row],[Ganancia Unitaria]]*STOCK[[#This Row],[Salidas]]</f>
        <v>0</v>
      </c>
      <c r="Y1770" s="76" t="s">
        <v>3482</v>
      </c>
      <c r="Z1770" s="87"/>
      <c r="AA1770" s="54">
        <f>STOCK[[#This Row],[Costo total]]*STOCK[[#This Row],[Entradas]]</f>
        <v>11</v>
      </c>
      <c r="AB1770" s="54">
        <f>STOCK[[#This Row],[Stock Actual]]*STOCK[[#This Row],[Costo total]]</f>
        <v>11</v>
      </c>
      <c r="AC1770" s="76"/>
      <c r="AD1770" s="94"/>
    </row>
    <row r="1771" s="53" customFormat="1" ht="50" customHeight="1" spans="1:30">
      <c r="A1771" s="92" t="s">
        <v>3506</v>
      </c>
      <c r="B1771" s="83"/>
      <c r="C1771" s="53" t="s">
        <v>32</v>
      </c>
      <c r="D1771" s="84" t="s">
        <v>749</v>
      </c>
      <c r="E1771" s="93" t="s">
        <v>3507</v>
      </c>
      <c r="F1771" s="92" t="s">
        <v>46</v>
      </c>
      <c r="G1771" s="76"/>
      <c r="H1771" s="76">
        <f>STOCK[[#This Row],[Precio Final]]</f>
        <v>25</v>
      </c>
      <c r="I1771" s="80">
        <f>STOCK[[#This Row],[Precio Venta Ideal (x1.5)]]</f>
        <v>17.25</v>
      </c>
      <c r="J1771" s="92">
        <v>1</v>
      </c>
      <c r="K1771" s="78">
        <f>SUMIFS(VENTAS[Cantidad],VENTAS[Código del producto Vendido],STOCK[[#This Row],[Code]])</f>
        <v>0</v>
      </c>
      <c r="L1771" s="78">
        <f>STOCK[[#This Row],[Entradas]]-STOCK[[#This Row],[Salidas]]</f>
        <v>1</v>
      </c>
      <c r="M1771" s="76">
        <f>STOCK[[#This Row],[Precio Final]]*10%</f>
        <v>2.5</v>
      </c>
      <c r="N1771" s="54">
        <v>0</v>
      </c>
      <c r="O1771" s="76">
        <v>0</v>
      </c>
      <c r="P1771" s="76">
        <v>9</v>
      </c>
      <c r="Q1771" s="76">
        <v>0</v>
      </c>
      <c r="R1771" s="78">
        <v>0</v>
      </c>
      <c r="S1771" s="76">
        <v>0</v>
      </c>
      <c r="T1771" s="76">
        <f>STOCK[[#This Row],[Costo Unitario (USD)]]+STOCK[[#This Row],[Costo Envío (USD)]]+STOCK[[#This Row],[Comisión 10%]]</f>
        <v>11.5</v>
      </c>
      <c r="U1771" s="53">
        <f>STOCK[[#This Row],[Costo total]]*1.5</f>
        <v>17.25</v>
      </c>
      <c r="V1771" s="53">
        <v>25</v>
      </c>
      <c r="W1771" s="76">
        <f>STOCK[[#This Row],[Precio Final]]-STOCK[[#This Row],[Costo total]]</f>
        <v>13.5</v>
      </c>
      <c r="X1771" s="76">
        <f>STOCK[[#This Row],[Ganancia Unitaria]]*STOCK[[#This Row],[Salidas]]</f>
        <v>0</v>
      </c>
      <c r="Y1771" s="76" t="s">
        <v>3482</v>
      </c>
      <c r="Z1771" s="87"/>
      <c r="AA1771" s="54">
        <f>STOCK[[#This Row],[Costo total]]*STOCK[[#This Row],[Entradas]]</f>
        <v>11.5</v>
      </c>
      <c r="AB1771" s="54">
        <f>STOCK[[#This Row],[Stock Actual]]*STOCK[[#This Row],[Costo total]]</f>
        <v>11.5</v>
      </c>
      <c r="AC1771" s="76"/>
      <c r="AD1771" s="94"/>
    </row>
    <row r="1772" s="53" customFormat="1" ht="50" customHeight="1" spans="1:30">
      <c r="A1772" s="92" t="s">
        <v>3508</v>
      </c>
      <c r="B1772" s="83"/>
      <c r="C1772" s="53" t="s">
        <v>32</v>
      </c>
      <c r="D1772" s="84" t="s">
        <v>780</v>
      </c>
      <c r="E1772" s="93" t="s">
        <v>3509</v>
      </c>
      <c r="F1772" s="92" t="s">
        <v>40</v>
      </c>
      <c r="G1772" s="76"/>
      <c r="H1772" s="76">
        <f>STOCK[[#This Row],[Precio Final]]</f>
        <v>18</v>
      </c>
      <c r="I1772" s="80">
        <f>STOCK[[#This Row],[Precio Venta Ideal (x1.5)]]</f>
        <v>16.2</v>
      </c>
      <c r="J1772" s="92">
        <v>1</v>
      </c>
      <c r="K1772" s="78">
        <f>SUMIFS(VENTAS[Cantidad],VENTAS[Código del producto Vendido],STOCK[[#This Row],[Code]])</f>
        <v>0</v>
      </c>
      <c r="L1772" s="78">
        <f>STOCK[[#This Row],[Entradas]]-STOCK[[#This Row],[Salidas]]</f>
        <v>1</v>
      </c>
      <c r="M1772" s="76">
        <f>STOCK[[#This Row],[Precio Final]]*10%</f>
        <v>1.8</v>
      </c>
      <c r="N1772" s="54">
        <v>0</v>
      </c>
      <c r="O1772" s="76">
        <v>0</v>
      </c>
      <c r="P1772" s="76">
        <v>9</v>
      </c>
      <c r="Q1772" s="76">
        <v>0</v>
      </c>
      <c r="R1772" s="78">
        <v>0</v>
      </c>
      <c r="S1772" s="76">
        <v>0</v>
      </c>
      <c r="T1772" s="76">
        <f>STOCK[[#This Row],[Costo Unitario (USD)]]+STOCK[[#This Row],[Costo Envío (USD)]]+STOCK[[#This Row],[Comisión 10%]]</f>
        <v>10.8</v>
      </c>
      <c r="U1772" s="53">
        <f>STOCK[[#This Row],[Costo total]]*1.5</f>
        <v>16.2</v>
      </c>
      <c r="V1772" s="53">
        <v>18</v>
      </c>
      <c r="W1772" s="76">
        <f>STOCK[[#This Row],[Precio Final]]-STOCK[[#This Row],[Costo total]]</f>
        <v>7.2</v>
      </c>
      <c r="X1772" s="76">
        <f>STOCK[[#This Row],[Ganancia Unitaria]]*STOCK[[#This Row],[Salidas]]</f>
        <v>0</v>
      </c>
      <c r="Y1772" s="76" t="s">
        <v>3482</v>
      </c>
      <c r="Z1772" s="87"/>
      <c r="AA1772" s="54">
        <f>STOCK[[#This Row],[Costo total]]*STOCK[[#This Row],[Entradas]]</f>
        <v>10.8</v>
      </c>
      <c r="AB1772" s="54">
        <f>STOCK[[#This Row],[Stock Actual]]*STOCK[[#This Row],[Costo total]]</f>
        <v>10.8</v>
      </c>
      <c r="AC1772" s="76"/>
      <c r="AD1772" s="94"/>
    </row>
    <row r="1773" s="53" customFormat="1" ht="50" customHeight="1" spans="1:30">
      <c r="A1773" s="92" t="s">
        <v>3510</v>
      </c>
      <c r="B1773" s="83"/>
      <c r="C1773" s="53" t="s">
        <v>32</v>
      </c>
      <c r="D1773" s="84" t="s">
        <v>749</v>
      </c>
      <c r="E1773" s="93" t="s">
        <v>3511</v>
      </c>
      <c r="F1773" s="92" t="s">
        <v>3512</v>
      </c>
      <c r="G1773" s="76"/>
      <c r="H1773" s="76">
        <f>STOCK[[#This Row],[Precio Final]]</f>
        <v>38</v>
      </c>
      <c r="I1773" s="80">
        <f>STOCK[[#This Row],[Precio Venta Ideal (x1.5)]]</f>
        <v>19.2</v>
      </c>
      <c r="J1773" s="92">
        <v>1</v>
      </c>
      <c r="K1773" s="78">
        <f>SUMIFS(VENTAS[Cantidad],VENTAS[Código del producto Vendido],STOCK[[#This Row],[Code]])</f>
        <v>0</v>
      </c>
      <c r="L1773" s="78">
        <f>STOCK[[#This Row],[Entradas]]-STOCK[[#This Row],[Salidas]]</f>
        <v>1</v>
      </c>
      <c r="M1773" s="76">
        <f>STOCK[[#This Row],[Precio Final]]*10%</f>
        <v>3.8</v>
      </c>
      <c r="N1773" s="54">
        <v>0</v>
      </c>
      <c r="O1773" s="76">
        <v>0</v>
      </c>
      <c r="P1773" s="76">
        <v>9</v>
      </c>
      <c r="Q1773" s="76">
        <v>0</v>
      </c>
      <c r="R1773" s="78">
        <v>0</v>
      </c>
      <c r="S1773" s="76">
        <v>0</v>
      </c>
      <c r="T1773" s="76">
        <f>STOCK[[#This Row],[Costo Unitario (USD)]]+STOCK[[#This Row],[Costo Envío (USD)]]+STOCK[[#This Row],[Comisión 10%]]</f>
        <v>12.8</v>
      </c>
      <c r="U1773" s="53">
        <f>STOCK[[#This Row],[Costo total]]*1.5</f>
        <v>19.2</v>
      </c>
      <c r="V1773" s="53">
        <v>38</v>
      </c>
      <c r="W1773" s="76">
        <f>STOCK[[#This Row],[Precio Final]]-STOCK[[#This Row],[Costo total]]</f>
        <v>25.2</v>
      </c>
      <c r="X1773" s="76">
        <f>STOCK[[#This Row],[Ganancia Unitaria]]*STOCK[[#This Row],[Salidas]]</f>
        <v>0</v>
      </c>
      <c r="Y1773" s="76" t="s">
        <v>3482</v>
      </c>
      <c r="Z1773" s="87"/>
      <c r="AA1773" s="54">
        <f>STOCK[[#This Row],[Costo total]]*STOCK[[#This Row],[Entradas]]</f>
        <v>12.8</v>
      </c>
      <c r="AB1773" s="54">
        <f>STOCK[[#This Row],[Stock Actual]]*STOCK[[#This Row],[Costo total]]</f>
        <v>12.8</v>
      </c>
      <c r="AC1773" s="76"/>
      <c r="AD1773" s="94"/>
    </row>
    <row r="1774" s="53" customFormat="1" ht="50" customHeight="1" spans="1:30">
      <c r="A1774" s="92" t="s">
        <v>3513</v>
      </c>
      <c r="B1774" s="83"/>
      <c r="C1774" s="53" t="s">
        <v>32</v>
      </c>
      <c r="D1774" s="84" t="s">
        <v>1388</v>
      </c>
      <c r="E1774" s="93" t="s">
        <v>3514</v>
      </c>
      <c r="F1774" s="92" t="s">
        <v>3515</v>
      </c>
      <c r="G1774" s="76"/>
      <c r="H1774" s="76">
        <f>STOCK[[#This Row],[Precio Final]]</f>
        <v>38</v>
      </c>
      <c r="I1774" s="80">
        <f>STOCK[[#This Row],[Precio Venta Ideal (x1.5)]]</f>
        <v>19.2</v>
      </c>
      <c r="J1774" s="92">
        <v>1</v>
      </c>
      <c r="K1774" s="78">
        <f>SUMIFS(VENTAS[Cantidad],VENTAS[Código del producto Vendido],STOCK[[#This Row],[Code]])</f>
        <v>0</v>
      </c>
      <c r="L1774" s="78">
        <f>STOCK[[#This Row],[Entradas]]-STOCK[[#This Row],[Salidas]]</f>
        <v>1</v>
      </c>
      <c r="M1774" s="76">
        <f>STOCK[[#This Row],[Precio Final]]*10%</f>
        <v>3.8</v>
      </c>
      <c r="N1774" s="54">
        <v>0</v>
      </c>
      <c r="O1774" s="76">
        <v>0</v>
      </c>
      <c r="P1774" s="76">
        <v>9</v>
      </c>
      <c r="Q1774" s="76">
        <v>0</v>
      </c>
      <c r="R1774" s="78">
        <v>0</v>
      </c>
      <c r="S1774" s="76">
        <v>0</v>
      </c>
      <c r="T1774" s="76">
        <f>STOCK[[#This Row],[Costo Unitario (USD)]]+STOCK[[#This Row],[Costo Envío (USD)]]+STOCK[[#This Row],[Comisión 10%]]</f>
        <v>12.8</v>
      </c>
      <c r="U1774" s="53">
        <f>STOCK[[#This Row],[Costo total]]*1.5</f>
        <v>19.2</v>
      </c>
      <c r="V1774" s="53">
        <v>38</v>
      </c>
      <c r="W1774" s="76">
        <f>STOCK[[#This Row],[Precio Final]]-STOCK[[#This Row],[Costo total]]</f>
        <v>25.2</v>
      </c>
      <c r="X1774" s="76">
        <f>STOCK[[#This Row],[Ganancia Unitaria]]*STOCK[[#This Row],[Salidas]]</f>
        <v>0</v>
      </c>
      <c r="Y1774" s="76" t="s">
        <v>3482</v>
      </c>
      <c r="Z1774" s="87"/>
      <c r="AA1774" s="54">
        <f>STOCK[[#This Row],[Costo total]]*STOCK[[#This Row],[Entradas]]</f>
        <v>12.8</v>
      </c>
      <c r="AB1774" s="54">
        <f>STOCK[[#This Row],[Stock Actual]]*STOCK[[#This Row],[Costo total]]</f>
        <v>12.8</v>
      </c>
      <c r="AC1774" s="76"/>
      <c r="AD1774" s="94"/>
    </row>
    <row r="1775" s="53" customFormat="1" ht="50" customHeight="1" spans="1:30">
      <c r="A1775" s="92" t="s">
        <v>3516</v>
      </c>
      <c r="B1775" s="83"/>
      <c r="C1775" s="53" t="s">
        <v>32</v>
      </c>
      <c r="D1775" s="84" t="s">
        <v>749</v>
      </c>
      <c r="E1775" s="93" t="s">
        <v>3517</v>
      </c>
      <c r="F1775" s="92" t="s">
        <v>3518</v>
      </c>
      <c r="G1775" s="76"/>
      <c r="H1775" s="76">
        <f>STOCK[[#This Row],[Precio Final]]</f>
        <v>38</v>
      </c>
      <c r="I1775" s="80">
        <f>STOCK[[#This Row],[Precio Venta Ideal (x1.5)]]</f>
        <v>19.2</v>
      </c>
      <c r="J1775" s="92">
        <v>1</v>
      </c>
      <c r="K1775" s="78">
        <f>SUMIFS(VENTAS[Cantidad],VENTAS[Código del producto Vendido],STOCK[[#This Row],[Code]])</f>
        <v>0</v>
      </c>
      <c r="L1775" s="78">
        <f>STOCK[[#This Row],[Entradas]]-STOCK[[#This Row],[Salidas]]</f>
        <v>1</v>
      </c>
      <c r="M1775" s="76">
        <f>STOCK[[#This Row],[Precio Final]]*10%</f>
        <v>3.8</v>
      </c>
      <c r="N1775" s="54">
        <v>0</v>
      </c>
      <c r="O1775" s="76">
        <v>0</v>
      </c>
      <c r="P1775" s="76">
        <v>9</v>
      </c>
      <c r="Q1775" s="76">
        <v>0</v>
      </c>
      <c r="R1775" s="78">
        <v>0</v>
      </c>
      <c r="S1775" s="76">
        <v>0</v>
      </c>
      <c r="T1775" s="76">
        <f>STOCK[[#This Row],[Costo Unitario (USD)]]+STOCK[[#This Row],[Costo Envío (USD)]]+STOCK[[#This Row],[Comisión 10%]]</f>
        <v>12.8</v>
      </c>
      <c r="U1775" s="53">
        <f>STOCK[[#This Row],[Costo total]]*1.5</f>
        <v>19.2</v>
      </c>
      <c r="V1775" s="53">
        <v>38</v>
      </c>
      <c r="W1775" s="76">
        <f>STOCK[[#This Row],[Precio Final]]-STOCK[[#This Row],[Costo total]]</f>
        <v>25.2</v>
      </c>
      <c r="X1775" s="76">
        <f>STOCK[[#This Row],[Ganancia Unitaria]]*STOCK[[#This Row],[Salidas]]</f>
        <v>0</v>
      </c>
      <c r="Y1775" s="76" t="s">
        <v>3482</v>
      </c>
      <c r="Z1775" s="87"/>
      <c r="AA1775" s="54">
        <f>STOCK[[#This Row],[Costo total]]*STOCK[[#This Row],[Entradas]]</f>
        <v>12.8</v>
      </c>
      <c r="AB1775" s="54">
        <f>STOCK[[#This Row],[Stock Actual]]*STOCK[[#This Row],[Costo total]]</f>
        <v>12.8</v>
      </c>
      <c r="AC1775" s="76"/>
      <c r="AD1775" s="94"/>
    </row>
    <row r="1776" s="53" customFormat="1" ht="50" customHeight="1" spans="1:30">
      <c r="A1776" s="92" t="s">
        <v>3519</v>
      </c>
      <c r="B1776" s="83"/>
      <c r="C1776" s="53" t="s">
        <v>32</v>
      </c>
      <c r="D1776" s="84" t="s">
        <v>780</v>
      </c>
      <c r="E1776" s="93" t="s">
        <v>3520</v>
      </c>
      <c r="F1776" s="92" t="s">
        <v>1408</v>
      </c>
      <c r="G1776" s="76"/>
      <c r="H1776" s="76">
        <f>STOCK[[#This Row],[Precio Final]]</f>
        <v>15</v>
      </c>
      <c r="I1776" s="80">
        <f>STOCK[[#This Row],[Precio Venta Ideal (x1.5)]]</f>
        <v>15.75</v>
      </c>
      <c r="J1776" s="92">
        <v>1</v>
      </c>
      <c r="K1776" s="78">
        <f>SUMIFS(VENTAS[Cantidad],VENTAS[Código del producto Vendido],STOCK[[#This Row],[Code]])</f>
        <v>0</v>
      </c>
      <c r="L1776" s="78">
        <f>STOCK[[#This Row],[Entradas]]-STOCK[[#This Row],[Salidas]]</f>
        <v>1</v>
      </c>
      <c r="M1776" s="76">
        <f>STOCK[[#This Row],[Precio Final]]*10%</f>
        <v>1.5</v>
      </c>
      <c r="N1776" s="54">
        <v>0</v>
      </c>
      <c r="O1776" s="76">
        <v>0</v>
      </c>
      <c r="P1776" s="76">
        <v>9</v>
      </c>
      <c r="Q1776" s="76">
        <v>0</v>
      </c>
      <c r="R1776" s="78">
        <v>0</v>
      </c>
      <c r="S1776" s="76">
        <v>0</v>
      </c>
      <c r="T1776" s="76">
        <f>STOCK[[#This Row],[Costo Unitario (USD)]]+STOCK[[#This Row],[Costo Envío (USD)]]+STOCK[[#This Row],[Comisión 10%]]</f>
        <v>10.5</v>
      </c>
      <c r="U1776" s="53">
        <f>STOCK[[#This Row],[Costo total]]*1.5</f>
        <v>15.75</v>
      </c>
      <c r="V1776" s="53">
        <v>15</v>
      </c>
      <c r="W1776" s="76">
        <f>STOCK[[#This Row],[Precio Final]]-STOCK[[#This Row],[Costo total]]</f>
        <v>4.5</v>
      </c>
      <c r="X1776" s="76">
        <f>STOCK[[#This Row],[Ganancia Unitaria]]*STOCK[[#This Row],[Salidas]]</f>
        <v>0</v>
      </c>
      <c r="Y1776" s="76" t="s">
        <v>3482</v>
      </c>
      <c r="Z1776" s="87"/>
      <c r="AA1776" s="54">
        <f>STOCK[[#This Row],[Costo total]]*STOCK[[#This Row],[Entradas]]</f>
        <v>10.5</v>
      </c>
      <c r="AB1776" s="54">
        <f>STOCK[[#This Row],[Stock Actual]]*STOCK[[#This Row],[Costo total]]</f>
        <v>10.5</v>
      </c>
      <c r="AC1776" s="76"/>
      <c r="AD1776" s="94"/>
    </row>
    <row r="1777" s="53" customFormat="1" ht="50" customHeight="1" spans="1:30">
      <c r="A1777" s="92" t="s">
        <v>3521</v>
      </c>
      <c r="B1777" s="83"/>
      <c r="C1777" s="53" t="s">
        <v>32</v>
      </c>
      <c r="D1777" s="84" t="s">
        <v>780</v>
      </c>
      <c r="E1777" s="93" t="s">
        <v>3522</v>
      </c>
      <c r="F1777" s="92" t="s">
        <v>62</v>
      </c>
      <c r="G1777" s="76"/>
      <c r="H1777" s="76">
        <f>STOCK[[#This Row],[Precio Final]]</f>
        <v>15</v>
      </c>
      <c r="I1777" s="80">
        <f>STOCK[[#This Row],[Precio Venta Ideal (x1.5)]]</f>
        <v>15.75</v>
      </c>
      <c r="J1777" s="92">
        <v>1</v>
      </c>
      <c r="K1777" s="78">
        <f>SUMIFS(VENTAS[Cantidad],VENTAS[Código del producto Vendido],STOCK[[#This Row],[Code]])</f>
        <v>0</v>
      </c>
      <c r="L1777" s="78">
        <f>STOCK[[#This Row],[Entradas]]-STOCK[[#This Row],[Salidas]]</f>
        <v>1</v>
      </c>
      <c r="M1777" s="76">
        <f>STOCK[[#This Row],[Precio Final]]*10%</f>
        <v>1.5</v>
      </c>
      <c r="N1777" s="54">
        <v>0</v>
      </c>
      <c r="O1777" s="76">
        <v>0</v>
      </c>
      <c r="P1777" s="76">
        <v>9</v>
      </c>
      <c r="Q1777" s="76">
        <v>0</v>
      </c>
      <c r="R1777" s="78">
        <v>0</v>
      </c>
      <c r="S1777" s="76">
        <v>0</v>
      </c>
      <c r="T1777" s="76">
        <f>STOCK[[#This Row],[Costo Unitario (USD)]]+STOCK[[#This Row],[Costo Envío (USD)]]+STOCK[[#This Row],[Comisión 10%]]</f>
        <v>10.5</v>
      </c>
      <c r="U1777" s="53">
        <f>STOCK[[#This Row],[Costo total]]*1.5</f>
        <v>15.75</v>
      </c>
      <c r="V1777" s="53">
        <v>15</v>
      </c>
      <c r="W1777" s="76">
        <f>STOCK[[#This Row],[Precio Final]]-STOCK[[#This Row],[Costo total]]</f>
        <v>4.5</v>
      </c>
      <c r="X1777" s="76">
        <f>STOCK[[#This Row],[Ganancia Unitaria]]*STOCK[[#This Row],[Salidas]]</f>
        <v>0</v>
      </c>
      <c r="Y1777" s="76" t="s">
        <v>3482</v>
      </c>
      <c r="Z1777" s="87"/>
      <c r="AA1777" s="54">
        <f>STOCK[[#This Row],[Costo total]]*STOCK[[#This Row],[Entradas]]</f>
        <v>10.5</v>
      </c>
      <c r="AB1777" s="54">
        <f>STOCK[[#This Row],[Stock Actual]]*STOCK[[#This Row],[Costo total]]</f>
        <v>10.5</v>
      </c>
      <c r="AC1777" s="76"/>
      <c r="AD1777" s="94"/>
    </row>
    <row r="1778" s="53" customFormat="1" ht="50" customHeight="1" spans="1:30">
      <c r="A1778" s="92" t="s">
        <v>3523</v>
      </c>
      <c r="B1778" s="83"/>
      <c r="C1778" s="53" t="s">
        <v>32</v>
      </c>
      <c r="D1778" s="84" t="s">
        <v>749</v>
      </c>
      <c r="E1778" s="93" t="s">
        <v>3524</v>
      </c>
      <c r="F1778" s="92" t="s">
        <v>3525</v>
      </c>
      <c r="G1778" s="76"/>
      <c r="H1778" s="76">
        <f>STOCK[[#This Row],[Precio Final]]</f>
        <v>38</v>
      </c>
      <c r="I1778" s="80">
        <f>STOCK[[#This Row],[Precio Venta Ideal (x1.5)]]</f>
        <v>19.2</v>
      </c>
      <c r="J1778" s="92">
        <v>1</v>
      </c>
      <c r="K1778" s="78">
        <f>SUMIFS(VENTAS[Cantidad],VENTAS[Código del producto Vendido],STOCK[[#This Row],[Code]])</f>
        <v>0</v>
      </c>
      <c r="L1778" s="78">
        <f>STOCK[[#This Row],[Entradas]]-STOCK[[#This Row],[Salidas]]</f>
        <v>1</v>
      </c>
      <c r="M1778" s="76">
        <f>STOCK[[#This Row],[Precio Final]]*10%</f>
        <v>3.8</v>
      </c>
      <c r="N1778" s="54">
        <v>0</v>
      </c>
      <c r="O1778" s="76">
        <v>0</v>
      </c>
      <c r="P1778" s="76">
        <v>9</v>
      </c>
      <c r="Q1778" s="76">
        <v>0</v>
      </c>
      <c r="R1778" s="78">
        <v>0</v>
      </c>
      <c r="S1778" s="76">
        <v>0</v>
      </c>
      <c r="T1778" s="76">
        <f>STOCK[[#This Row],[Costo Unitario (USD)]]+STOCK[[#This Row],[Costo Envío (USD)]]+STOCK[[#This Row],[Comisión 10%]]</f>
        <v>12.8</v>
      </c>
      <c r="U1778" s="53">
        <f>STOCK[[#This Row],[Costo total]]*1.5</f>
        <v>19.2</v>
      </c>
      <c r="V1778" s="53">
        <v>38</v>
      </c>
      <c r="W1778" s="76">
        <f>STOCK[[#This Row],[Precio Final]]-STOCK[[#This Row],[Costo total]]</f>
        <v>25.2</v>
      </c>
      <c r="X1778" s="76">
        <f>STOCK[[#This Row],[Ganancia Unitaria]]*STOCK[[#This Row],[Salidas]]</f>
        <v>0</v>
      </c>
      <c r="Y1778" s="76" t="s">
        <v>3482</v>
      </c>
      <c r="Z1778" s="87"/>
      <c r="AA1778" s="54">
        <f>STOCK[[#This Row],[Costo total]]*STOCK[[#This Row],[Entradas]]</f>
        <v>12.8</v>
      </c>
      <c r="AB1778" s="54">
        <f>STOCK[[#This Row],[Stock Actual]]*STOCK[[#This Row],[Costo total]]</f>
        <v>12.8</v>
      </c>
      <c r="AC1778" s="76"/>
      <c r="AD1778" s="94"/>
    </row>
    <row r="1779" s="53" customFormat="1" ht="50" customHeight="1" spans="1:30">
      <c r="A1779" s="92" t="s">
        <v>3526</v>
      </c>
      <c r="B1779" s="83"/>
      <c r="C1779" s="53" t="s">
        <v>32</v>
      </c>
      <c r="D1779" s="84" t="s">
        <v>780</v>
      </c>
      <c r="E1779" s="93" t="s">
        <v>3527</v>
      </c>
      <c r="F1779" s="92" t="s">
        <v>62</v>
      </c>
      <c r="G1779" s="76"/>
      <c r="H1779" s="76">
        <f>STOCK[[#This Row],[Precio Final]]</f>
        <v>12</v>
      </c>
      <c r="I1779" s="80">
        <f>STOCK[[#This Row],[Precio Venta Ideal (x1.5)]]</f>
        <v>15.3</v>
      </c>
      <c r="J1779" s="92">
        <v>2</v>
      </c>
      <c r="K1779" s="78">
        <f>SUMIFS(VENTAS[Cantidad],VENTAS[Código del producto Vendido],STOCK[[#This Row],[Code]])</f>
        <v>0</v>
      </c>
      <c r="L1779" s="78">
        <f>STOCK[[#This Row],[Entradas]]-STOCK[[#This Row],[Salidas]]</f>
        <v>2</v>
      </c>
      <c r="M1779" s="76">
        <f>STOCK[[#This Row],[Precio Final]]*10%</f>
        <v>1.2</v>
      </c>
      <c r="N1779" s="54">
        <v>0</v>
      </c>
      <c r="O1779" s="76">
        <v>0</v>
      </c>
      <c r="P1779" s="76">
        <v>9</v>
      </c>
      <c r="Q1779" s="76">
        <v>0</v>
      </c>
      <c r="R1779" s="78">
        <v>0</v>
      </c>
      <c r="S1779" s="76">
        <v>0</v>
      </c>
      <c r="T1779" s="76">
        <f>STOCK[[#This Row],[Costo Unitario (USD)]]+STOCK[[#This Row],[Costo Envío (USD)]]+STOCK[[#This Row],[Comisión 10%]]</f>
        <v>10.2</v>
      </c>
      <c r="U1779" s="53">
        <f>STOCK[[#This Row],[Costo total]]*1.5</f>
        <v>15.3</v>
      </c>
      <c r="V1779" s="53">
        <v>12</v>
      </c>
      <c r="W1779" s="76">
        <f>STOCK[[#This Row],[Precio Final]]-STOCK[[#This Row],[Costo total]]</f>
        <v>1.8</v>
      </c>
      <c r="X1779" s="76">
        <f>STOCK[[#This Row],[Ganancia Unitaria]]*STOCK[[#This Row],[Salidas]]</f>
        <v>0</v>
      </c>
      <c r="Y1779" s="76" t="s">
        <v>3482</v>
      </c>
      <c r="Z1779" s="87"/>
      <c r="AA1779" s="54">
        <f>STOCK[[#This Row],[Costo total]]*STOCK[[#This Row],[Entradas]]</f>
        <v>20.4</v>
      </c>
      <c r="AB1779" s="54">
        <f>STOCK[[#This Row],[Stock Actual]]*STOCK[[#This Row],[Costo total]]</f>
        <v>20.4</v>
      </c>
      <c r="AC1779" s="76"/>
      <c r="AD1779" s="94"/>
    </row>
    <row r="1780" s="53" customFormat="1" ht="50" customHeight="1" spans="1:30">
      <c r="A1780" s="92" t="s">
        <v>3528</v>
      </c>
      <c r="B1780" s="83"/>
      <c r="C1780" s="53" t="s">
        <v>32</v>
      </c>
      <c r="D1780" s="84" t="s">
        <v>780</v>
      </c>
      <c r="E1780" s="93" t="s">
        <v>3529</v>
      </c>
      <c r="F1780" s="92" t="s">
        <v>42</v>
      </c>
      <c r="G1780" s="76"/>
      <c r="H1780" s="76">
        <f>STOCK[[#This Row],[Precio Final]]</f>
        <v>20</v>
      </c>
      <c r="I1780" s="80">
        <f>STOCK[[#This Row],[Precio Venta Ideal (x1.5)]]</f>
        <v>16.5</v>
      </c>
      <c r="J1780" s="92">
        <v>1</v>
      </c>
      <c r="K1780" s="78">
        <f>SUMIFS(VENTAS[Cantidad],VENTAS[Código del producto Vendido],STOCK[[#This Row],[Code]])</f>
        <v>0</v>
      </c>
      <c r="L1780" s="78">
        <f>STOCK[[#This Row],[Entradas]]-STOCK[[#This Row],[Salidas]]</f>
        <v>1</v>
      </c>
      <c r="M1780" s="76">
        <f>STOCK[[#This Row],[Precio Final]]*10%</f>
        <v>2</v>
      </c>
      <c r="N1780" s="54">
        <v>0</v>
      </c>
      <c r="O1780" s="76">
        <v>0</v>
      </c>
      <c r="P1780" s="76">
        <v>9</v>
      </c>
      <c r="Q1780" s="76">
        <v>0</v>
      </c>
      <c r="R1780" s="78">
        <v>0</v>
      </c>
      <c r="S1780" s="76">
        <v>0</v>
      </c>
      <c r="T1780" s="76">
        <f>STOCK[[#This Row],[Costo Unitario (USD)]]+STOCK[[#This Row],[Costo Envío (USD)]]+STOCK[[#This Row],[Comisión 10%]]</f>
        <v>11</v>
      </c>
      <c r="U1780" s="53">
        <f>STOCK[[#This Row],[Costo total]]*1.5</f>
        <v>16.5</v>
      </c>
      <c r="V1780" s="53">
        <v>20</v>
      </c>
      <c r="W1780" s="76">
        <f>STOCK[[#This Row],[Precio Final]]-STOCK[[#This Row],[Costo total]]</f>
        <v>9</v>
      </c>
      <c r="X1780" s="76">
        <f>STOCK[[#This Row],[Ganancia Unitaria]]*STOCK[[#This Row],[Salidas]]</f>
        <v>0</v>
      </c>
      <c r="Y1780" s="76" t="s">
        <v>3482</v>
      </c>
      <c r="Z1780" s="87"/>
      <c r="AA1780" s="54">
        <f>STOCK[[#This Row],[Costo total]]*STOCK[[#This Row],[Entradas]]</f>
        <v>11</v>
      </c>
      <c r="AB1780" s="54">
        <f>STOCK[[#This Row],[Stock Actual]]*STOCK[[#This Row],[Costo total]]</f>
        <v>11</v>
      </c>
      <c r="AC1780" s="76"/>
      <c r="AD1780" s="94"/>
    </row>
    <row r="1781" s="53" customFormat="1" ht="50" customHeight="1" spans="1:30">
      <c r="A1781" s="92" t="s">
        <v>3530</v>
      </c>
      <c r="B1781" s="83"/>
      <c r="C1781" s="53" t="s">
        <v>32</v>
      </c>
      <c r="D1781" s="84" t="s">
        <v>780</v>
      </c>
      <c r="E1781" s="93" t="s">
        <v>3531</v>
      </c>
      <c r="F1781" s="92" t="s">
        <v>716</v>
      </c>
      <c r="G1781" s="76"/>
      <c r="H1781" s="76">
        <f>STOCK[[#This Row],[Precio Final]]</f>
        <v>22</v>
      </c>
      <c r="I1781" s="80">
        <f>STOCK[[#This Row],[Precio Venta Ideal (x1.5)]]</f>
        <v>16.8</v>
      </c>
      <c r="J1781" s="92">
        <v>1</v>
      </c>
      <c r="K1781" s="78">
        <f>SUMIFS(VENTAS[Cantidad],VENTAS[Código del producto Vendido],STOCK[[#This Row],[Code]])</f>
        <v>0</v>
      </c>
      <c r="L1781" s="78">
        <f>STOCK[[#This Row],[Entradas]]-STOCK[[#This Row],[Salidas]]</f>
        <v>1</v>
      </c>
      <c r="M1781" s="76">
        <f>STOCK[[#This Row],[Precio Final]]*10%</f>
        <v>2.2</v>
      </c>
      <c r="N1781" s="54">
        <v>0</v>
      </c>
      <c r="O1781" s="76">
        <v>0</v>
      </c>
      <c r="P1781" s="76">
        <v>9</v>
      </c>
      <c r="Q1781" s="76">
        <v>0</v>
      </c>
      <c r="R1781" s="78">
        <v>0</v>
      </c>
      <c r="S1781" s="76">
        <v>0</v>
      </c>
      <c r="T1781" s="76">
        <f>STOCK[[#This Row],[Costo Unitario (USD)]]+STOCK[[#This Row],[Costo Envío (USD)]]+STOCK[[#This Row],[Comisión 10%]]</f>
        <v>11.2</v>
      </c>
      <c r="U1781" s="53">
        <f>STOCK[[#This Row],[Costo total]]*1.5</f>
        <v>16.8</v>
      </c>
      <c r="V1781" s="53">
        <v>22</v>
      </c>
      <c r="W1781" s="76">
        <f>STOCK[[#This Row],[Precio Final]]-STOCK[[#This Row],[Costo total]]</f>
        <v>10.8</v>
      </c>
      <c r="X1781" s="76">
        <f>STOCK[[#This Row],[Ganancia Unitaria]]*STOCK[[#This Row],[Salidas]]</f>
        <v>0</v>
      </c>
      <c r="Y1781" s="76" t="s">
        <v>3482</v>
      </c>
      <c r="Z1781" s="87"/>
      <c r="AA1781" s="54">
        <f>STOCK[[#This Row],[Costo total]]*STOCK[[#This Row],[Entradas]]</f>
        <v>11.2</v>
      </c>
      <c r="AB1781" s="54">
        <f>STOCK[[#This Row],[Stock Actual]]*STOCK[[#This Row],[Costo total]]</f>
        <v>11.2</v>
      </c>
      <c r="AC1781" s="76"/>
      <c r="AD1781" s="94"/>
    </row>
    <row r="1782" s="53" customFormat="1" ht="50" customHeight="1" spans="1:30">
      <c r="A1782" s="92" t="s">
        <v>3532</v>
      </c>
      <c r="B1782" s="83"/>
      <c r="C1782" s="53" t="s">
        <v>32</v>
      </c>
      <c r="D1782" s="84" t="s">
        <v>780</v>
      </c>
      <c r="E1782" s="93" t="s">
        <v>3533</v>
      </c>
      <c r="F1782" s="92" t="s">
        <v>49</v>
      </c>
      <c r="G1782" s="76"/>
      <c r="H1782" s="76">
        <f>STOCK[[#This Row],[Precio Final]]</f>
        <v>16</v>
      </c>
      <c r="I1782" s="80">
        <f>STOCK[[#This Row],[Precio Venta Ideal (x1.5)]]</f>
        <v>15.9</v>
      </c>
      <c r="J1782" s="92">
        <v>1</v>
      </c>
      <c r="K1782" s="78">
        <f>SUMIFS(VENTAS[Cantidad],VENTAS[Código del producto Vendido],STOCK[[#This Row],[Code]])</f>
        <v>0</v>
      </c>
      <c r="L1782" s="78">
        <f>STOCK[[#This Row],[Entradas]]-STOCK[[#This Row],[Salidas]]</f>
        <v>1</v>
      </c>
      <c r="M1782" s="76">
        <f>STOCK[[#This Row],[Precio Final]]*10%</f>
        <v>1.6</v>
      </c>
      <c r="N1782" s="54">
        <v>0</v>
      </c>
      <c r="O1782" s="76">
        <v>0</v>
      </c>
      <c r="P1782" s="76">
        <v>9</v>
      </c>
      <c r="Q1782" s="76">
        <v>0</v>
      </c>
      <c r="R1782" s="78">
        <v>0</v>
      </c>
      <c r="S1782" s="76">
        <v>0</v>
      </c>
      <c r="T1782" s="76">
        <f>STOCK[[#This Row],[Costo Unitario (USD)]]+STOCK[[#This Row],[Costo Envío (USD)]]+STOCK[[#This Row],[Comisión 10%]]</f>
        <v>10.6</v>
      </c>
      <c r="U1782" s="53">
        <f>STOCK[[#This Row],[Costo total]]*1.5</f>
        <v>15.9</v>
      </c>
      <c r="V1782" s="53">
        <v>16</v>
      </c>
      <c r="W1782" s="76">
        <f>STOCK[[#This Row],[Precio Final]]-STOCK[[#This Row],[Costo total]]</f>
        <v>5.4</v>
      </c>
      <c r="X1782" s="76">
        <f>STOCK[[#This Row],[Ganancia Unitaria]]*STOCK[[#This Row],[Salidas]]</f>
        <v>0</v>
      </c>
      <c r="Y1782" s="76" t="s">
        <v>3482</v>
      </c>
      <c r="Z1782" s="87"/>
      <c r="AA1782" s="54">
        <f>STOCK[[#This Row],[Costo total]]*STOCK[[#This Row],[Entradas]]</f>
        <v>10.6</v>
      </c>
      <c r="AB1782" s="54">
        <f>STOCK[[#This Row],[Stock Actual]]*STOCK[[#This Row],[Costo total]]</f>
        <v>10.6</v>
      </c>
      <c r="AC1782" s="76"/>
      <c r="AD1782" s="94"/>
    </row>
    <row r="1783" s="53" customFormat="1" ht="50" customHeight="1" spans="1:30">
      <c r="A1783" s="92" t="s">
        <v>3534</v>
      </c>
      <c r="B1783" s="83"/>
      <c r="C1783" s="53" t="s">
        <v>32</v>
      </c>
      <c r="D1783" s="84" t="s">
        <v>780</v>
      </c>
      <c r="E1783" s="93" t="s">
        <v>3535</v>
      </c>
      <c r="F1783" s="92" t="s">
        <v>62</v>
      </c>
      <c r="G1783" s="76"/>
      <c r="H1783" s="76">
        <f>STOCK[[#This Row],[Precio Final]]</f>
        <v>15</v>
      </c>
      <c r="I1783" s="80">
        <f>STOCK[[#This Row],[Precio Venta Ideal (x1.5)]]</f>
        <v>15.75</v>
      </c>
      <c r="J1783" s="92">
        <v>1</v>
      </c>
      <c r="K1783" s="78">
        <f>SUMIFS(VENTAS[Cantidad],VENTAS[Código del producto Vendido],STOCK[[#This Row],[Code]])</f>
        <v>0</v>
      </c>
      <c r="L1783" s="78">
        <f>STOCK[[#This Row],[Entradas]]-STOCK[[#This Row],[Salidas]]</f>
        <v>1</v>
      </c>
      <c r="M1783" s="76">
        <f>STOCK[[#This Row],[Precio Final]]*10%</f>
        <v>1.5</v>
      </c>
      <c r="N1783" s="54">
        <v>0</v>
      </c>
      <c r="O1783" s="76">
        <v>0</v>
      </c>
      <c r="P1783" s="76">
        <v>9</v>
      </c>
      <c r="Q1783" s="76">
        <v>0</v>
      </c>
      <c r="R1783" s="78">
        <v>0</v>
      </c>
      <c r="S1783" s="76">
        <v>0</v>
      </c>
      <c r="T1783" s="76">
        <f>STOCK[[#This Row],[Costo Unitario (USD)]]+STOCK[[#This Row],[Costo Envío (USD)]]+STOCK[[#This Row],[Comisión 10%]]</f>
        <v>10.5</v>
      </c>
      <c r="U1783" s="53">
        <f>STOCK[[#This Row],[Costo total]]*1.5</f>
        <v>15.75</v>
      </c>
      <c r="V1783" s="53">
        <v>15</v>
      </c>
      <c r="W1783" s="76">
        <f>STOCK[[#This Row],[Precio Final]]-STOCK[[#This Row],[Costo total]]</f>
        <v>4.5</v>
      </c>
      <c r="X1783" s="76">
        <f>STOCK[[#This Row],[Ganancia Unitaria]]*STOCK[[#This Row],[Salidas]]</f>
        <v>0</v>
      </c>
      <c r="Y1783" s="76" t="s">
        <v>3482</v>
      </c>
      <c r="Z1783" s="87"/>
      <c r="AA1783" s="54">
        <f>STOCK[[#This Row],[Costo total]]*STOCK[[#This Row],[Entradas]]</f>
        <v>10.5</v>
      </c>
      <c r="AB1783" s="54">
        <f>STOCK[[#This Row],[Stock Actual]]*STOCK[[#This Row],[Costo total]]</f>
        <v>10.5</v>
      </c>
      <c r="AC1783" s="76"/>
      <c r="AD1783" s="94"/>
    </row>
    <row r="1784" s="53" customFormat="1" ht="50" customHeight="1" spans="1:30">
      <c r="A1784" s="92" t="s">
        <v>3536</v>
      </c>
      <c r="B1784" s="83"/>
      <c r="C1784" s="53" t="s">
        <v>32</v>
      </c>
      <c r="D1784" s="84" t="s">
        <v>780</v>
      </c>
      <c r="E1784" s="93" t="s">
        <v>3535</v>
      </c>
      <c r="F1784" s="92" t="s">
        <v>716</v>
      </c>
      <c r="G1784" s="76"/>
      <c r="H1784" s="76">
        <f>STOCK[[#This Row],[Precio Final]]</f>
        <v>15</v>
      </c>
      <c r="I1784" s="80">
        <f>STOCK[[#This Row],[Precio Venta Ideal (x1.5)]]</f>
        <v>15.75</v>
      </c>
      <c r="J1784" s="92">
        <v>2</v>
      </c>
      <c r="K1784" s="78">
        <f>SUMIFS(VENTAS[Cantidad],VENTAS[Código del producto Vendido],STOCK[[#This Row],[Code]])</f>
        <v>0</v>
      </c>
      <c r="L1784" s="78">
        <f>STOCK[[#This Row],[Entradas]]-STOCK[[#This Row],[Salidas]]</f>
        <v>2</v>
      </c>
      <c r="M1784" s="76">
        <f>STOCK[[#This Row],[Precio Final]]*10%</f>
        <v>1.5</v>
      </c>
      <c r="N1784" s="54">
        <v>0</v>
      </c>
      <c r="O1784" s="76">
        <v>0</v>
      </c>
      <c r="P1784" s="76">
        <v>9</v>
      </c>
      <c r="Q1784" s="76">
        <v>0</v>
      </c>
      <c r="R1784" s="78">
        <v>0</v>
      </c>
      <c r="S1784" s="76">
        <v>0</v>
      </c>
      <c r="T1784" s="76">
        <f>STOCK[[#This Row],[Costo Unitario (USD)]]+STOCK[[#This Row],[Costo Envío (USD)]]+STOCK[[#This Row],[Comisión 10%]]</f>
        <v>10.5</v>
      </c>
      <c r="U1784" s="53">
        <f>STOCK[[#This Row],[Costo total]]*1.5</f>
        <v>15.75</v>
      </c>
      <c r="V1784" s="53">
        <v>15</v>
      </c>
      <c r="W1784" s="76">
        <f>STOCK[[#This Row],[Precio Final]]-STOCK[[#This Row],[Costo total]]</f>
        <v>4.5</v>
      </c>
      <c r="X1784" s="76">
        <f>STOCK[[#This Row],[Ganancia Unitaria]]*STOCK[[#This Row],[Salidas]]</f>
        <v>0</v>
      </c>
      <c r="Y1784" s="76" t="s">
        <v>3482</v>
      </c>
      <c r="Z1784" s="87"/>
      <c r="AA1784" s="54">
        <f>STOCK[[#This Row],[Costo total]]*STOCK[[#This Row],[Entradas]]</f>
        <v>21</v>
      </c>
      <c r="AB1784" s="54">
        <f>STOCK[[#This Row],[Stock Actual]]*STOCK[[#This Row],[Costo total]]</f>
        <v>21</v>
      </c>
      <c r="AC1784" s="76"/>
      <c r="AD1784" s="94"/>
    </row>
    <row r="1785" s="53" customFormat="1" ht="50" customHeight="1" spans="1:30">
      <c r="A1785" s="92" t="s">
        <v>3537</v>
      </c>
      <c r="B1785" s="83"/>
      <c r="C1785" s="53" t="s">
        <v>32</v>
      </c>
      <c r="D1785" s="84" t="s">
        <v>780</v>
      </c>
      <c r="E1785" s="93" t="s">
        <v>3535</v>
      </c>
      <c r="F1785" s="92" t="s">
        <v>1408</v>
      </c>
      <c r="G1785" s="76"/>
      <c r="H1785" s="76">
        <f>STOCK[[#This Row],[Precio Final]]</f>
        <v>15</v>
      </c>
      <c r="I1785" s="80">
        <f>STOCK[[#This Row],[Precio Venta Ideal (x1.5)]]</f>
        <v>15.75</v>
      </c>
      <c r="J1785" s="92">
        <v>1</v>
      </c>
      <c r="K1785" s="78">
        <f>SUMIFS(VENTAS[Cantidad],VENTAS[Código del producto Vendido],STOCK[[#This Row],[Code]])</f>
        <v>0</v>
      </c>
      <c r="L1785" s="78">
        <f>STOCK[[#This Row],[Entradas]]-STOCK[[#This Row],[Salidas]]</f>
        <v>1</v>
      </c>
      <c r="M1785" s="76">
        <f>STOCK[[#This Row],[Precio Final]]*10%</f>
        <v>1.5</v>
      </c>
      <c r="N1785" s="54">
        <v>0</v>
      </c>
      <c r="O1785" s="76">
        <v>0</v>
      </c>
      <c r="P1785" s="76">
        <v>9</v>
      </c>
      <c r="Q1785" s="76">
        <v>0</v>
      </c>
      <c r="R1785" s="78">
        <v>0</v>
      </c>
      <c r="S1785" s="76">
        <v>0</v>
      </c>
      <c r="T1785" s="76">
        <f>STOCK[[#This Row],[Costo Unitario (USD)]]+STOCK[[#This Row],[Costo Envío (USD)]]+STOCK[[#This Row],[Comisión 10%]]</f>
        <v>10.5</v>
      </c>
      <c r="U1785" s="53">
        <f>STOCK[[#This Row],[Costo total]]*1.5</f>
        <v>15.75</v>
      </c>
      <c r="V1785" s="53">
        <v>15</v>
      </c>
      <c r="W1785" s="76">
        <f>STOCK[[#This Row],[Precio Final]]-STOCK[[#This Row],[Costo total]]</f>
        <v>4.5</v>
      </c>
      <c r="X1785" s="76">
        <f>STOCK[[#This Row],[Ganancia Unitaria]]*STOCK[[#This Row],[Salidas]]</f>
        <v>0</v>
      </c>
      <c r="Y1785" s="76" t="s">
        <v>3482</v>
      </c>
      <c r="Z1785" s="87"/>
      <c r="AA1785" s="54">
        <f>STOCK[[#This Row],[Costo total]]*STOCK[[#This Row],[Entradas]]</f>
        <v>10.5</v>
      </c>
      <c r="AB1785" s="54">
        <f>STOCK[[#This Row],[Stock Actual]]*STOCK[[#This Row],[Costo total]]</f>
        <v>10.5</v>
      </c>
      <c r="AC1785" s="76"/>
      <c r="AD1785" s="94"/>
    </row>
    <row r="1786" s="53" customFormat="1" ht="50" customHeight="1" spans="1:30">
      <c r="A1786" s="92" t="s">
        <v>3538</v>
      </c>
      <c r="B1786" s="83"/>
      <c r="C1786" s="53" t="s">
        <v>32</v>
      </c>
      <c r="D1786" s="84" t="s">
        <v>780</v>
      </c>
      <c r="E1786" s="93" t="s">
        <v>3539</v>
      </c>
      <c r="F1786" s="92" t="s">
        <v>716</v>
      </c>
      <c r="G1786" s="76"/>
      <c r="H1786" s="76">
        <f>STOCK[[#This Row],[Precio Final]]</f>
        <v>15</v>
      </c>
      <c r="I1786" s="80">
        <f>STOCK[[#This Row],[Precio Venta Ideal (x1.5)]]</f>
        <v>15.75</v>
      </c>
      <c r="J1786" s="92">
        <v>1</v>
      </c>
      <c r="K1786" s="78">
        <f>SUMIFS(VENTAS[Cantidad],VENTAS[Código del producto Vendido],STOCK[[#This Row],[Code]])</f>
        <v>0</v>
      </c>
      <c r="L1786" s="78">
        <f>STOCK[[#This Row],[Entradas]]-STOCK[[#This Row],[Salidas]]</f>
        <v>1</v>
      </c>
      <c r="M1786" s="76">
        <f>STOCK[[#This Row],[Precio Final]]*10%</f>
        <v>1.5</v>
      </c>
      <c r="N1786" s="54">
        <v>0</v>
      </c>
      <c r="O1786" s="76">
        <v>0</v>
      </c>
      <c r="P1786" s="76">
        <v>9</v>
      </c>
      <c r="Q1786" s="76">
        <v>0</v>
      </c>
      <c r="R1786" s="78">
        <v>0</v>
      </c>
      <c r="S1786" s="76">
        <v>0</v>
      </c>
      <c r="T1786" s="76">
        <f>STOCK[[#This Row],[Costo Unitario (USD)]]+STOCK[[#This Row],[Costo Envío (USD)]]+STOCK[[#This Row],[Comisión 10%]]</f>
        <v>10.5</v>
      </c>
      <c r="U1786" s="53">
        <f>STOCK[[#This Row],[Costo total]]*1.5</f>
        <v>15.75</v>
      </c>
      <c r="V1786" s="53">
        <v>15</v>
      </c>
      <c r="W1786" s="76">
        <f>STOCK[[#This Row],[Precio Final]]-STOCK[[#This Row],[Costo total]]</f>
        <v>4.5</v>
      </c>
      <c r="X1786" s="76">
        <f>STOCK[[#This Row],[Ganancia Unitaria]]*STOCK[[#This Row],[Salidas]]</f>
        <v>0</v>
      </c>
      <c r="Y1786" s="76" t="s">
        <v>3482</v>
      </c>
      <c r="Z1786" s="87"/>
      <c r="AA1786" s="54">
        <f>STOCK[[#This Row],[Costo total]]*STOCK[[#This Row],[Entradas]]</f>
        <v>10.5</v>
      </c>
      <c r="AB1786" s="54">
        <f>STOCK[[#This Row],[Stock Actual]]*STOCK[[#This Row],[Costo total]]</f>
        <v>10.5</v>
      </c>
      <c r="AC1786" s="76"/>
      <c r="AD1786" s="94"/>
    </row>
    <row r="1787" s="53" customFormat="1" ht="50" customHeight="1" spans="1:30">
      <c r="A1787" s="92" t="s">
        <v>3540</v>
      </c>
      <c r="B1787" s="83"/>
      <c r="C1787" s="53" t="s">
        <v>32</v>
      </c>
      <c r="D1787" s="84" t="s">
        <v>780</v>
      </c>
      <c r="E1787" s="93" t="s">
        <v>3124</v>
      </c>
      <c r="F1787" s="92" t="s">
        <v>62</v>
      </c>
      <c r="G1787" s="76"/>
      <c r="H1787" s="76">
        <f>STOCK[[#This Row],[Precio Final]]</f>
        <v>15</v>
      </c>
      <c r="I1787" s="80">
        <f>STOCK[[#This Row],[Precio Venta Ideal (x1.5)]]</f>
        <v>15.75</v>
      </c>
      <c r="J1787" s="92">
        <v>1</v>
      </c>
      <c r="K1787" s="78">
        <f>SUMIFS(VENTAS[Cantidad],VENTAS[Código del producto Vendido],STOCK[[#This Row],[Code]])</f>
        <v>0</v>
      </c>
      <c r="L1787" s="78">
        <f>STOCK[[#This Row],[Entradas]]-STOCK[[#This Row],[Salidas]]</f>
        <v>1</v>
      </c>
      <c r="M1787" s="76">
        <f>STOCK[[#This Row],[Precio Final]]*10%</f>
        <v>1.5</v>
      </c>
      <c r="N1787" s="54">
        <v>0</v>
      </c>
      <c r="O1787" s="76">
        <v>0</v>
      </c>
      <c r="P1787" s="76">
        <v>9</v>
      </c>
      <c r="Q1787" s="76">
        <v>0</v>
      </c>
      <c r="R1787" s="78">
        <v>0</v>
      </c>
      <c r="S1787" s="76">
        <v>0</v>
      </c>
      <c r="T1787" s="76">
        <f>STOCK[[#This Row],[Costo Unitario (USD)]]+STOCK[[#This Row],[Costo Envío (USD)]]+STOCK[[#This Row],[Comisión 10%]]</f>
        <v>10.5</v>
      </c>
      <c r="U1787" s="53">
        <f>STOCK[[#This Row],[Costo total]]*1.5</f>
        <v>15.75</v>
      </c>
      <c r="V1787" s="53">
        <v>15</v>
      </c>
      <c r="W1787" s="76">
        <f>STOCK[[#This Row],[Precio Final]]-STOCK[[#This Row],[Costo total]]</f>
        <v>4.5</v>
      </c>
      <c r="X1787" s="76">
        <f>STOCK[[#This Row],[Ganancia Unitaria]]*STOCK[[#This Row],[Salidas]]</f>
        <v>0</v>
      </c>
      <c r="Y1787" s="76" t="s">
        <v>3482</v>
      </c>
      <c r="Z1787" s="87"/>
      <c r="AA1787" s="54">
        <f>STOCK[[#This Row],[Costo total]]*STOCK[[#This Row],[Entradas]]</f>
        <v>10.5</v>
      </c>
      <c r="AB1787" s="54">
        <f>STOCK[[#This Row],[Stock Actual]]*STOCK[[#This Row],[Costo total]]</f>
        <v>10.5</v>
      </c>
      <c r="AC1787" s="76"/>
      <c r="AD1787" s="94"/>
    </row>
    <row r="1788" s="53" customFormat="1" ht="50" customHeight="1" spans="1:30">
      <c r="A1788" s="92" t="s">
        <v>3541</v>
      </c>
      <c r="B1788" s="83"/>
      <c r="C1788" s="53" t="s">
        <v>32</v>
      </c>
      <c r="D1788" s="84" t="s">
        <v>780</v>
      </c>
      <c r="E1788" s="93" t="s">
        <v>3542</v>
      </c>
      <c r="F1788" s="92" t="s">
        <v>716</v>
      </c>
      <c r="G1788" s="76"/>
      <c r="H1788" s="76">
        <f>STOCK[[#This Row],[Precio Final]]</f>
        <v>15</v>
      </c>
      <c r="I1788" s="80">
        <f>STOCK[[#This Row],[Precio Venta Ideal (x1.5)]]</f>
        <v>15.75</v>
      </c>
      <c r="J1788" s="92">
        <v>1</v>
      </c>
      <c r="K1788" s="78">
        <f>SUMIFS(VENTAS[Cantidad],VENTAS[Código del producto Vendido],STOCK[[#This Row],[Code]])</f>
        <v>0</v>
      </c>
      <c r="L1788" s="78">
        <f>STOCK[[#This Row],[Entradas]]-STOCK[[#This Row],[Salidas]]</f>
        <v>1</v>
      </c>
      <c r="M1788" s="76">
        <f>STOCK[[#This Row],[Precio Final]]*10%</f>
        <v>1.5</v>
      </c>
      <c r="N1788" s="54">
        <v>0</v>
      </c>
      <c r="O1788" s="76">
        <v>0</v>
      </c>
      <c r="P1788" s="76">
        <v>9</v>
      </c>
      <c r="Q1788" s="76">
        <v>0</v>
      </c>
      <c r="R1788" s="78">
        <v>0</v>
      </c>
      <c r="S1788" s="76">
        <v>0</v>
      </c>
      <c r="T1788" s="76">
        <f>STOCK[[#This Row],[Costo Unitario (USD)]]+STOCK[[#This Row],[Costo Envío (USD)]]+STOCK[[#This Row],[Comisión 10%]]</f>
        <v>10.5</v>
      </c>
      <c r="U1788" s="53">
        <f>STOCK[[#This Row],[Costo total]]*1.5</f>
        <v>15.75</v>
      </c>
      <c r="V1788" s="53">
        <v>15</v>
      </c>
      <c r="W1788" s="76">
        <f>STOCK[[#This Row],[Precio Final]]-STOCK[[#This Row],[Costo total]]</f>
        <v>4.5</v>
      </c>
      <c r="X1788" s="76">
        <f>STOCK[[#This Row],[Ganancia Unitaria]]*STOCK[[#This Row],[Salidas]]</f>
        <v>0</v>
      </c>
      <c r="Y1788" s="76" t="s">
        <v>3482</v>
      </c>
      <c r="Z1788" s="87"/>
      <c r="AA1788" s="54">
        <f>STOCK[[#This Row],[Costo total]]*STOCK[[#This Row],[Entradas]]</f>
        <v>10.5</v>
      </c>
      <c r="AB1788" s="54">
        <f>STOCK[[#This Row],[Stock Actual]]*STOCK[[#This Row],[Costo total]]</f>
        <v>10.5</v>
      </c>
      <c r="AC1788" s="76"/>
      <c r="AD1788" s="94"/>
    </row>
    <row r="1789" s="53" customFormat="1" ht="50" customHeight="1" spans="1:30">
      <c r="A1789" s="92" t="s">
        <v>3543</v>
      </c>
      <c r="B1789" s="83"/>
      <c r="C1789" s="53" t="s">
        <v>32</v>
      </c>
      <c r="D1789" s="84"/>
      <c r="E1789" s="93" t="s">
        <v>3544</v>
      </c>
      <c r="F1789" s="92" t="s">
        <v>3525</v>
      </c>
      <c r="G1789" s="76"/>
      <c r="H1789" s="76">
        <f>STOCK[[#This Row],[Precio Final]]</f>
        <v>10</v>
      </c>
      <c r="I1789" s="80">
        <f>STOCK[[#This Row],[Precio Venta Ideal (x1.5)]]</f>
        <v>15</v>
      </c>
      <c r="J1789" s="92">
        <v>1</v>
      </c>
      <c r="K1789" s="78">
        <v>1</v>
      </c>
      <c r="L1789" s="78">
        <f>STOCK[[#This Row],[Entradas]]-STOCK[[#This Row],[Salidas]]</f>
        <v>0</v>
      </c>
      <c r="M1789" s="76">
        <f>STOCK[[#This Row],[Precio Final]]*10%</f>
        <v>1</v>
      </c>
      <c r="N1789" s="54">
        <v>0</v>
      </c>
      <c r="O1789" s="76">
        <v>0</v>
      </c>
      <c r="P1789" s="76">
        <v>9</v>
      </c>
      <c r="Q1789" s="76">
        <v>0</v>
      </c>
      <c r="R1789" s="78">
        <v>0</v>
      </c>
      <c r="S1789" s="76">
        <v>0</v>
      </c>
      <c r="T1789" s="76">
        <f>STOCK[[#This Row],[Costo Unitario (USD)]]+STOCK[[#This Row],[Costo Envío (USD)]]+STOCK[[#This Row],[Comisión 10%]]</f>
        <v>10</v>
      </c>
      <c r="U1789" s="53">
        <f>STOCK[[#This Row],[Costo total]]*1.5</f>
        <v>15</v>
      </c>
      <c r="V1789" s="53">
        <v>10</v>
      </c>
      <c r="W1789" s="76">
        <f>STOCK[[#This Row],[Precio Final]]-STOCK[[#This Row],[Costo total]]</f>
        <v>0</v>
      </c>
      <c r="X1789" s="76">
        <f>STOCK[[#This Row],[Ganancia Unitaria]]*STOCK[[#This Row],[Salidas]]</f>
        <v>0</v>
      </c>
      <c r="Y1789" s="76" t="s">
        <v>3482</v>
      </c>
      <c r="Z1789" s="87"/>
      <c r="AA1789" s="54">
        <f>STOCK[[#This Row],[Costo total]]*STOCK[[#This Row],[Entradas]]</f>
        <v>10</v>
      </c>
      <c r="AB1789" s="54">
        <f>STOCK[[#This Row],[Stock Actual]]*STOCK[[#This Row],[Costo total]]</f>
        <v>0</v>
      </c>
      <c r="AC1789" s="76"/>
      <c r="AD1789" s="94"/>
    </row>
    <row r="1790" s="53" customFormat="1" ht="50" customHeight="1" spans="1:30">
      <c r="A1790" s="92" t="s">
        <v>3545</v>
      </c>
      <c r="B1790" s="83"/>
      <c r="C1790" s="53" t="s">
        <v>32</v>
      </c>
      <c r="D1790" s="84" t="s">
        <v>780</v>
      </c>
      <c r="E1790" s="93" t="s">
        <v>3546</v>
      </c>
      <c r="F1790" s="92" t="s">
        <v>49</v>
      </c>
      <c r="G1790" s="76"/>
      <c r="H1790" s="76">
        <f>STOCK[[#This Row],[Precio Final]]</f>
        <v>15</v>
      </c>
      <c r="I1790" s="80">
        <f>STOCK[[#This Row],[Precio Venta Ideal (x1.5)]]</f>
        <v>15.75</v>
      </c>
      <c r="J1790" s="92">
        <v>2</v>
      </c>
      <c r="K1790" s="78">
        <f>SUMIFS(VENTAS[Cantidad],VENTAS[Código del producto Vendido],STOCK[[#This Row],[Code]])</f>
        <v>0</v>
      </c>
      <c r="L1790" s="78">
        <f>STOCK[[#This Row],[Entradas]]-STOCK[[#This Row],[Salidas]]</f>
        <v>2</v>
      </c>
      <c r="M1790" s="76">
        <f>STOCK[[#This Row],[Precio Final]]*10%</f>
        <v>1.5</v>
      </c>
      <c r="N1790" s="54">
        <v>0</v>
      </c>
      <c r="O1790" s="76">
        <v>0</v>
      </c>
      <c r="P1790" s="76">
        <v>9</v>
      </c>
      <c r="Q1790" s="76">
        <v>0</v>
      </c>
      <c r="R1790" s="78">
        <v>0</v>
      </c>
      <c r="S1790" s="76">
        <v>0</v>
      </c>
      <c r="T1790" s="76">
        <f>STOCK[[#This Row],[Costo Unitario (USD)]]+STOCK[[#This Row],[Costo Envío (USD)]]+STOCK[[#This Row],[Comisión 10%]]</f>
        <v>10.5</v>
      </c>
      <c r="U1790" s="53">
        <f>STOCK[[#This Row],[Costo total]]*1.5</f>
        <v>15.75</v>
      </c>
      <c r="V1790" s="53">
        <v>15</v>
      </c>
      <c r="W1790" s="76">
        <f>STOCK[[#This Row],[Precio Final]]-STOCK[[#This Row],[Costo total]]</f>
        <v>4.5</v>
      </c>
      <c r="X1790" s="76">
        <f>STOCK[[#This Row],[Ganancia Unitaria]]*STOCK[[#This Row],[Salidas]]</f>
        <v>0</v>
      </c>
      <c r="Y1790" s="76" t="s">
        <v>3482</v>
      </c>
      <c r="Z1790" s="87"/>
      <c r="AA1790" s="54">
        <f>STOCK[[#This Row],[Costo total]]*STOCK[[#This Row],[Entradas]]</f>
        <v>21</v>
      </c>
      <c r="AB1790" s="54">
        <f>STOCK[[#This Row],[Stock Actual]]*STOCK[[#This Row],[Costo total]]</f>
        <v>21</v>
      </c>
      <c r="AC1790" s="76"/>
      <c r="AD1790" s="94"/>
    </row>
    <row r="1791" s="53" customFormat="1" ht="50" customHeight="1" spans="1:30">
      <c r="A1791" s="92" t="s">
        <v>3547</v>
      </c>
      <c r="B1791" s="83"/>
      <c r="C1791" s="53" t="s">
        <v>32</v>
      </c>
      <c r="D1791" s="84" t="s">
        <v>749</v>
      </c>
      <c r="E1791" s="93" t="s">
        <v>3548</v>
      </c>
      <c r="F1791" s="92" t="s">
        <v>40</v>
      </c>
      <c r="G1791" s="76"/>
      <c r="H1791" s="76">
        <f>STOCK[[#This Row],[Precio Final]]</f>
        <v>18</v>
      </c>
      <c r="I1791" s="80">
        <f>STOCK[[#This Row],[Precio Venta Ideal (x1.5)]]</f>
        <v>16.2</v>
      </c>
      <c r="J1791" s="92">
        <v>1</v>
      </c>
      <c r="K1791" s="78">
        <f>SUMIFS(VENTAS[Cantidad],VENTAS[Código del producto Vendido],STOCK[[#This Row],[Code]])</f>
        <v>0</v>
      </c>
      <c r="L1791" s="78">
        <f>STOCK[[#This Row],[Entradas]]-STOCK[[#This Row],[Salidas]]</f>
        <v>1</v>
      </c>
      <c r="M1791" s="76">
        <f>STOCK[[#This Row],[Precio Final]]*10%</f>
        <v>1.8</v>
      </c>
      <c r="N1791" s="54">
        <v>0</v>
      </c>
      <c r="O1791" s="76">
        <v>0</v>
      </c>
      <c r="P1791" s="76">
        <v>9</v>
      </c>
      <c r="Q1791" s="76">
        <v>0</v>
      </c>
      <c r="R1791" s="78">
        <v>0</v>
      </c>
      <c r="S1791" s="76">
        <v>0</v>
      </c>
      <c r="T1791" s="76">
        <f>STOCK[[#This Row],[Costo Unitario (USD)]]+STOCK[[#This Row],[Costo Envío (USD)]]+STOCK[[#This Row],[Comisión 10%]]</f>
        <v>10.8</v>
      </c>
      <c r="U1791" s="53">
        <f>STOCK[[#This Row],[Costo total]]*1.5</f>
        <v>16.2</v>
      </c>
      <c r="V1791" s="53">
        <v>18</v>
      </c>
      <c r="W1791" s="76">
        <f>STOCK[[#This Row],[Precio Final]]-STOCK[[#This Row],[Costo total]]</f>
        <v>7.2</v>
      </c>
      <c r="X1791" s="76">
        <f>STOCK[[#This Row],[Ganancia Unitaria]]*STOCK[[#This Row],[Salidas]]</f>
        <v>0</v>
      </c>
      <c r="Y1791" s="76" t="s">
        <v>3482</v>
      </c>
      <c r="Z1791" s="87"/>
      <c r="AA1791" s="54">
        <f>STOCK[[#This Row],[Costo total]]*STOCK[[#This Row],[Entradas]]</f>
        <v>10.8</v>
      </c>
      <c r="AB1791" s="54">
        <f>STOCK[[#This Row],[Stock Actual]]*STOCK[[#This Row],[Costo total]]</f>
        <v>10.8</v>
      </c>
      <c r="AC1791" s="76"/>
      <c r="AD1791" s="94"/>
    </row>
    <row r="1792" s="53" customFormat="1" ht="50" customHeight="1" spans="1:30">
      <c r="A1792" s="92" t="s">
        <v>3549</v>
      </c>
      <c r="B1792" s="83"/>
      <c r="C1792" s="53" t="s">
        <v>32</v>
      </c>
      <c r="D1792" s="84" t="s">
        <v>749</v>
      </c>
      <c r="E1792" s="93" t="s">
        <v>3550</v>
      </c>
      <c r="F1792" s="92" t="s">
        <v>49</v>
      </c>
      <c r="G1792" s="76"/>
      <c r="H1792" s="76">
        <f>STOCK[[#This Row],[Precio Final]]</f>
        <v>30</v>
      </c>
      <c r="I1792" s="80">
        <f>STOCK[[#This Row],[Precio Venta Ideal (x1.5)]]</f>
        <v>18</v>
      </c>
      <c r="J1792" s="92">
        <v>1</v>
      </c>
      <c r="K1792" s="78">
        <f>SUMIFS(VENTAS[Cantidad],VENTAS[Código del producto Vendido],STOCK[[#This Row],[Code]])</f>
        <v>0</v>
      </c>
      <c r="L1792" s="78">
        <f>STOCK[[#This Row],[Entradas]]-STOCK[[#This Row],[Salidas]]</f>
        <v>1</v>
      </c>
      <c r="M1792" s="76">
        <f>STOCK[[#This Row],[Precio Final]]*10%</f>
        <v>3</v>
      </c>
      <c r="N1792" s="54">
        <v>0</v>
      </c>
      <c r="O1792" s="76">
        <v>0</v>
      </c>
      <c r="P1792" s="76">
        <v>9</v>
      </c>
      <c r="Q1792" s="76">
        <v>0</v>
      </c>
      <c r="R1792" s="78">
        <v>0</v>
      </c>
      <c r="S1792" s="76">
        <v>0</v>
      </c>
      <c r="T1792" s="76">
        <f>STOCK[[#This Row],[Costo Unitario (USD)]]+STOCK[[#This Row],[Costo Envío (USD)]]+STOCK[[#This Row],[Comisión 10%]]</f>
        <v>12</v>
      </c>
      <c r="U1792" s="53">
        <f>STOCK[[#This Row],[Costo total]]*1.5</f>
        <v>18</v>
      </c>
      <c r="V1792" s="53">
        <v>30</v>
      </c>
      <c r="W1792" s="76">
        <f>STOCK[[#This Row],[Precio Final]]-STOCK[[#This Row],[Costo total]]</f>
        <v>18</v>
      </c>
      <c r="X1792" s="76">
        <f>STOCK[[#This Row],[Ganancia Unitaria]]*STOCK[[#This Row],[Salidas]]</f>
        <v>0</v>
      </c>
      <c r="Y1792" s="76" t="s">
        <v>3482</v>
      </c>
      <c r="Z1792" s="87"/>
      <c r="AA1792" s="54">
        <f>STOCK[[#This Row],[Costo total]]*STOCK[[#This Row],[Entradas]]</f>
        <v>12</v>
      </c>
      <c r="AB1792" s="54">
        <f>STOCK[[#This Row],[Stock Actual]]*STOCK[[#This Row],[Costo total]]</f>
        <v>12</v>
      </c>
      <c r="AC1792" s="76"/>
      <c r="AD1792" s="94"/>
    </row>
    <row r="1793" s="53" customFormat="1" ht="50" customHeight="1" spans="1:30">
      <c r="A1793" s="92" t="s">
        <v>3551</v>
      </c>
      <c r="B1793" s="83"/>
      <c r="C1793" s="53" t="s">
        <v>32</v>
      </c>
      <c r="D1793" s="84" t="s">
        <v>749</v>
      </c>
      <c r="E1793" s="93" t="s">
        <v>3550</v>
      </c>
      <c r="F1793" s="92" t="s">
        <v>1408</v>
      </c>
      <c r="G1793" s="76"/>
      <c r="H1793" s="76">
        <f>STOCK[[#This Row],[Precio Final]]</f>
        <v>30</v>
      </c>
      <c r="I1793" s="80">
        <f>STOCK[[#This Row],[Precio Venta Ideal (x1.5)]]</f>
        <v>18</v>
      </c>
      <c r="J1793" s="92">
        <v>1</v>
      </c>
      <c r="K1793" s="78">
        <f>SUMIFS(VENTAS[Cantidad],VENTAS[Código del producto Vendido],STOCK[[#This Row],[Code]])</f>
        <v>0</v>
      </c>
      <c r="L1793" s="78">
        <f>STOCK[[#This Row],[Entradas]]-STOCK[[#This Row],[Salidas]]</f>
        <v>1</v>
      </c>
      <c r="M1793" s="76">
        <f>STOCK[[#This Row],[Precio Final]]*10%</f>
        <v>3</v>
      </c>
      <c r="N1793" s="54">
        <v>0</v>
      </c>
      <c r="O1793" s="76">
        <v>0</v>
      </c>
      <c r="P1793" s="76">
        <v>9</v>
      </c>
      <c r="Q1793" s="76">
        <v>0</v>
      </c>
      <c r="R1793" s="78">
        <v>0</v>
      </c>
      <c r="S1793" s="76">
        <v>0</v>
      </c>
      <c r="T1793" s="76">
        <f>STOCK[[#This Row],[Costo Unitario (USD)]]+STOCK[[#This Row],[Costo Envío (USD)]]+STOCK[[#This Row],[Comisión 10%]]</f>
        <v>12</v>
      </c>
      <c r="U1793" s="53">
        <f>STOCK[[#This Row],[Costo total]]*1.5</f>
        <v>18</v>
      </c>
      <c r="V1793" s="53">
        <v>30</v>
      </c>
      <c r="W1793" s="76">
        <f>STOCK[[#This Row],[Precio Final]]-STOCK[[#This Row],[Costo total]]</f>
        <v>18</v>
      </c>
      <c r="X1793" s="76">
        <f>STOCK[[#This Row],[Ganancia Unitaria]]*STOCK[[#This Row],[Salidas]]</f>
        <v>0</v>
      </c>
      <c r="Y1793" s="76" t="s">
        <v>3482</v>
      </c>
      <c r="Z1793" s="87"/>
      <c r="AA1793" s="54">
        <f>STOCK[[#This Row],[Costo total]]*STOCK[[#This Row],[Entradas]]</f>
        <v>12</v>
      </c>
      <c r="AB1793" s="54">
        <f>STOCK[[#This Row],[Stock Actual]]*STOCK[[#This Row],[Costo total]]</f>
        <v>12</v>
      </c>
      <c r="AC1793" s="76"/>
      <c r="AD1793" s="94"/>
    </row>
    <row r="1794" s="53" customFormat="1" ht="50" customHeight="1" spans="1:30">
      <c r="A1794" s="92" t="s">
        <v>3552</v>
      </c>
      <c r="B1794" s="83"/>
      <c r="C1794" s="53" t="s">
        <v>32</v>
      </c>
      <c r="D1794" s="84" t="s">
        <v>2625</v>
      </c>
      <c r="E1794" s="93" t="s">
        <v>3553</v>
      </c>
      <c r="F1794" s="92" t="s">
        <v>281</v>
      </c>
      <c r="G1794" s="76"/>
      <c r="H1794" s="76">
        <f>STOCK[[#This Row],[Precio Final]]</f>
        <v>30</v>
      </c>
      <c r="I1794" s="80">
        <f>STOCK[[#This Row],[Precio Venta Ideal (x1.5)]]</f>
        <v>18</v>
      </c>
      <c r="J1794" s="92">
        <v>1</v>
      </c>
      <c r="K1794" s="78">
        <f>SUMIFS(VENTAS[Cantidad],VENTAS[Código del producto Vendido],STOCK[[#This Row],[Code]])</f>
        <v>0</v>
      </c>
      <c r="L1794" s="78">
        <f>STOCK[[#This Row],[Entradas]]-STOCK[[#This Row],[Salidas]]</f>
        <v>1</v>
      </c>
      <c r="M1794" s="76">
        <f>STOCK[[#This Row],[Precio Final]]*10%</f>
        <v>3</v>
      </c>
      <c r="N1794" s="54">
        <v>0</v>
      </c>
      <c r="O1794" s="76">
        <v>0</v>
      </c>
      <c r="P1794" s="76">
        <v>9</v>
      </c>
      <c r="Q1794" s="76">
        <v>0</v>
      </c>
      <c r="R1794" s="78">
        <v>0</v>
      </c>
      <c r="S1794" s="76">
        <v>0</v>
      </c>
      <c r="T1794" s="76">
        <f>STOCK[[#This Row],[Costo Unitario (USD)]]+STOCK[[#This Row],[Costo Envío (USD)]]+STOCK[[#This Row],[Comisión 10%]]</f>
        <v>12</v>
      </c>
      <c r="U1794" s="53">
        <f>STOCK[[#This Row],[Costo total]]*1.5</f>
        <v>18</v>
      </c>
      <c r="V1794" s="53">
        <v>30</v>
      </c>
      <c r="W1794" s="76">
        <f>STOCK[[#This Row],[Precio Final]]-STOCK[[#This Row],[Costo total]]</f>
        <v>18</v>
      </c>
      <c r="X1794" s="76">
        <f>STOCK[[#This Row],[Ganancia Unitaria]]*STOCK[[#This Row],[Salidas]]</f>
        <v>0</v>
      </c>
      <c r="Y1794" s="76" t="s">
        <v>3482</v>
      </c>
      <c r="Z1794" s="87"/>
      <c r="AA1794" s="54">
        <f>STOCK[[#This Row],[Costo total]]*STOCK[[#This Row],[Entradas]]</f>
        <v>12</v>
      </c>
      <c r="AB1794" s="54">
        <f>STOCK[[#This Row],[Stock Actual]]*STOCK[[#This Row],[Costo total]]</f>
        <v>12</v>
      </c>
      <c r="AC1794" s="76"/>
      <c r="AD1794" s="94"/>
    </row>
    <row r="1795" s="53" customFormat="1" ht="50" customHeight="1" spans="1:30">
      <c r="A1795" s="92" t="s">
        <v>3554</v>
      </c>
      <c r="B1795" s="83"/>
      <c r="C1795" s="53" t="s">
        <v>32</v>
      </c>
      <c r="D1795" s="84" t="s">
        <v>780</v>
      </c>
      <c r="E1795" s="93" t="s">
        <v>3555</v>
      </c>
      <c r="F1795" s="92" t="s">
        <v>46</v>
      </c>
      <c r="G1795" s="76"/>
      <c r="H1795" s="76">
        <f>STOCK[[#This Row],[Precio Final]]</f>
        <v>18</v>
      </c>
      <c r="I1795" s="80">
        <f>STOCK[[#This Row],[Precio Venta Ideal (x1.5)]]</f>
        <v>16.2</v>
      </c>
      <c r="J1795" s="92">
        <v>1</v>
      </c>
      <c r="K1795" s="78">
        <f>SUMIFS(VENTAS[Cantidad],VENTAS[Código del producto Vendido],STOCK[[#This Row],[Code]])</f>
        <v>0</v>
      </c>
      <c r="L1795" s="78">
        <f>STOCK[[#This Row],[Entradas]]-STOCK[[#This Row],[Salidas]]</f>
        <v>1</v>
      </c>
      <c r="M1795" s="76">
        <f>STOCK[[#This Row],[Precio Final]]*10%</f>
        <v>1.8</v>
      </c>
      <c r="N1795" s="54">
        <v>0</v>
      </c>
      <c r="O1795" s="76">
        <v>0</v>
      </c>
      <c r="P1795" s="76">
        <v>9</v>
      </c>
      <c r="Q1795" s="76">
        <v>0</v>
      </c>
      <c r="R1795" s="78">
        <v>0</v>
      </c>
      <c r="S1795" s="76">
        <v>0</v>
      </c>
      <c r="T1795" s="76">
        <f>STOCK[[#This Row],[Costo Unitario (USD)]]+STOCK[[#This Row],[Costo Envío (USD)]]+STOCK[[#This Row],[Comisión 10%]]</f>
        <v>10.8</v>
      </c>
      <c r="U1795" s="53">
        <f>STOCK[[#This Row],[Costo total]]*1.5</f>
        <v>16.2</v>
      </c>
      <c r="V1795" s="53">
        <v>18</v>
      </c>
      <c r="W1795" s="76">
        <f>STOCK[[#This Row],[Precio Final]]-STOCK[[#This Row],[Costo total]]</f>
        <v>7.2</v>
      </c>
      <c r="X1795" s="76">
        <f>STOCK[[#This Row],[Ganancia Unitaria]]*STOCK[[#This Row],[Salidas]]</f>
        <v>0</v>
      </c>
      <c r="Y1795" s="76" t="s">
        <v>3482</v>
      </c>
      <c r="Z1795" s="87"/>
      <c r="AA1795" s="54">
        <f>STOCK[[#This Row],[Costo total]]*STOCK[[#This Row],[Entradas]]</f>
        <v>10.8</v>
      </c>
      <c r="AB1795" s="54">
        <f>STOCK[[#This Row],[Stock Actual]]*STOCK[[#This Row],[Costo total]]</f>
        <v>10.8</v>
      </c>
      <c r="AC1795" s="76"/>
      <c r="AD1795" s="94"/>
    </row>
    <row r="1796" s="53" customFormat="1" ht="50" customHeight="1" spans="1:30">
      <c r="A1796" s="92" t="s">
        <v>3556</v>
      </c>
      <c r="B1796" s="83"/>
      <c r="C1796" s="53" t="s">
        <v>32</v>
      </c>
      <c r="D1796" s="84" t="s">
        <v>780</v>
      </c>
      <c r="E1796" s="93" t="s">
        <v>3557</v>
      </c>
      <c r="F1796" s="92" t="s">
        <v>46</v>
      </c>
      <c r="G1796" s="76"/>
      <c r="H1796" s="76">
        <f>STOCK[[#This Row],[Precio Final]]</f>
        <v>30</v>
      </c>
      <c r="I1796" s="80">
        <f>STOCK[[#This Row],[Precio Venta Ideal (x1.5)]]</f>
        <v>18</v>
      </c>
      <c r="J1796" s="92">
        <v>1</v>
      </c>
      <c r="K1796" s="78">
        <f>SUMIFS(VENTAS[Cantidad],VENTAS[Código del producto Vendido],STOCK[[#This Row],[Code]])</f>
        <v>0</v>
      </c>
      <c r="L1796" s="78">
        <f>STOCK[[#This Row],[Entradas]]-STOCK[[#This Row],[Salidas]]</f>
        <v>1</v>
      </c>
      <c r="M1796" s="76">
        <f>STOCK[[#This Row],[Precio Final]]*10%</f>
        <v>3</v>
      </c>
      <c r="N1796" s="54">
        <v>0</v>
      </c>
      <c r="O1796" s="76">
        <v>0</v>
      </c>
      <c r="P1796" s="76">
        <v>9</v>
      </c>
      <c r="Q1796" s="76">
        <v>0</v>
      </c>
      <c r="R1796" s="78">
        <v>0</v>
      </c>
      <c r="S1796" s="76">
        <v>0</v>
      </c>
      <c r="T1796" s="76">
        <f>STOCK[[#This Row],[Costo Unitario (USD)]]+STOCK[[#This Row],[Costo Envío (USD)]]+STOCK[[#This Row],[Comisión 10%]]</f>
        <v>12</v>
      </c>
      <c r="U1796" s="53">
        <f>STOCK[[#This Row],[Costo total]]*1.5</f>
        <v>18</v>
      </c>
      <c r="V1796" s="53">
        <v>30</v>
      </c>
      <c r="W1796" s="76">
        <f>STOCK[[#This Row],[Precio Final]]-STOCK[[#This Row],[Costo total]]</f>
        <v>18</v>
      </c>
      <c r="X1796" s="76">
        <f>STOCK[[#This Row],[Ganancia Unitaria]]*STOCK[[#This Row],[Salidas]]</f>
        <v>0</v>
      </c>
      <c r="Y1796" s="76" t="s">
        <v>3482</v>
      </c>
      <c r="Z1796" s="87"/>
      <c r="AA1796" s="54">
        <f>STOCK[[#This Row],[Costo total]]*STOCK[[#This Row],[Entradas]]</f>
        <v>12</v>
      </c>
      <c r="AB1796" s="54">
        <f>STOCK[[#This Row],[Stock Actual]]*STOCK[[#This Row],[Costo total]]</f>
        <v>12</v>
      </c>
      <c r="AC1796" s="76"/>
      <c r="AD1796" s="94"/>
    </row>
    <row r="1797" s="53" customFormat="1" ht="50" customHeight="1" spans="1:30">
      <c r="A1797" s="92" t="s">
        <v>3558</v>
      </c>
      <c r="B1797" s="83"/>
      <c r="C1797" s="53" t="s">
        <v>32</v>
      </c>
      <c r="D1797" s="84" t="s">
        <v>780</v>
      </c>
      <c r="E1797" s="93" t="s">
        <v>3559</v>
      </c>
      <c r="F1797" s="92" t="s">
        <v>46</v>
      </c>
      <c r="G1797" s="76"/>
      <c r="H1797" s="76">
        <f>STOCK[[#This Row],[Precio Final]]</f>
        <v>15</v>
      </c>
      <c r="I1797" s="80">
        <f>STOCK[[#This Row],[Precio Venta Ideal (x1.5)]]</f>
        <v>15.75</v>
      </c>
      <c r="J1797" s="92">
        <v>1</v>
      </c>
      <c r="K1797" s="78">
        <f>SUMIFS(VENTAS[Cantidad],VENTAS[Código del producto Vendido],STOCK[[#This Row],[Code]])</f>
        <v>0</v>
      </c>
      <c r="L1797" s="78">
        <f>STOCK[[#This Row],[Entradas]]-STOCK[[#This Row],[Salidas]]</f>
        <v>1</v>
      </c>
      <c r="M1797" s="76">
        <f>STOCK[[#This Row],[Precio Final]]*10%</f>
        <v>1.5</v>
      </c>
      <c r="N1797" s="54">
        <v>0</v>
      </c>
      <c r="O1797" s="76">
        <v>0</v>
      </c>
      <c r="P1797" s="76">
        <v>9</v>
      </c>
      <c r="Q1797" s="76">
        <v>0</v>
      </c>
      <c r="R1797" s="78">
        <v>0</v>
      </c>
      <c r="S1797" s="76">
        <v>0</v>
      </c>
      <c r="T1797" s="76">
        <f>STOCK[[#This Row],[Costo Unitario (USD)]]+STOCK[[#This Row],[Costo Envío (USD)]]+STOCK[[#This Row],[Comisión 10%]]</f>
        <v>10.5</v>
      </c>
      <c r="U1797" s="53">
        <f>STOCK[[#This Row],[Costo total]]*1.5</f>
        <v>15.75</v>
      </c>
      <c r="V1797" s="53">
        <v>15</v>
      </c>
      <c r="W1797" s="76">
        <f>STOCK[[#This Row],[Precio Final]]-STOCK[[#This Row],[Costo total]]</f>
        <v>4.5</v>
      </c>
      <c r="X1797" s="76">
        <f>STOCK[[#This Row],[Ganancia Unitaria]]*STOCK[[#This Row],[Salidas]]</f>
        <v>0</v>
      </c>
      <c r="Y1797" s="76" t="s">
        <v>3482</v>
      </c>
      <c r="Z1797" s="87"/>
      <c r="AA1797" s="54">
        <f>STOCK[[#This Row],[Costo total]]*STOCK[[#This Row],[Entradas]]</f>
        <v>10.5</v>
      </c>
      <c r="AB1797" s="54">
        <f>STOCK[[#This Row],[Stock Actual]]*STOCK[[#This Row],[Costo total]]</f>
        <v>10.5</v>
      </c>
      <c r="AC1797" s="76"/>
      <c r="AD1797" s="94"/>
    </row>
    <row r="1798" s="53" customFormat="1" ht="50" customHeight="1" spans="1:30">
      <c r="A1798" s="92" t="s">
        <v>3560</v>
      </c>
      <c r="B1798" s="83"/>
      <c r="C1798" s="53" t="s">
        <v>32</v>
      </c>
      <c r="D1798" s="84" t="s">
        <v>1388</v>
      </c>
      <c r="E1798" s="93" t="s">
        <v>3561</v>
      </c>
      <c r="F1798" s="92" t="s">
        <v>3562</v>
      </c>
      <c r="G1798" s="76"/>
      <c r="H1798" s="76">
        <f>STOCK[[#This Row],[Precio Final]]</f>
        <v>15</v>
      </c>
      <c r="I1798" s="80">
        <f>STOCK[[#This Row],[Precio Venta Ideal (x1.5)]]</f>
        <v>15.75</v>
      </c>
      <c r="J1798" s="92">
        <v>1</v>
      </c>
      <c r="K1798" s="78">
        <f>SUMIFS(VENTAS[Cantidad],VENTAS[Código del producto Vendido],STOCK[[#This Row],[Code]])</f>
        <v>0</v>
      </c>
      <c r="L1798" s="78">
        <f>STOCK[[#This Row],[Entradas]]-STOCK[[#This Row],[Salidas]]</f>
        <v>1</v>
      </c>
      <c r="M1798" s="76">
        <f>STOCK[[#This Row],[Precio Final]]*10%</f>
        <v>1.5</v>
      </c>
      <c r="N1798" s="54">
        <v>0</v>
      </c>
      <c r="O1798" s="76">
        <v>0</v>
      </c>
      <c r="P1798" s="76">
        <v>9</v>
      </c>
      <c r="Q1798" s="76">
        <v>0</v>
      </c>
      <c r="R1798" s="78">
        <v>0</v>
      </c>
      <c r="S1798" s="76">
        <v>0</v>
      </c>
      <c r="T1798" s="76">
        <f>STOCK[[#This Row],[Costo Unitario (USD)]]+STOCK[[#This Row],[Costo Envío (USD)]]+STOCK[[#This Row],[Comisión 10%]]</f>
        <v>10.5</v>
      </c>
      <c r="U1798" s="53">
        <f>STOCK[[#This Row],[Costo total]]*1.5</f>
        <v>15.75</v>
      </c>
      <c r="V1798" s="53">
        <v>15</v>
      </c>
      <c r="W1798" s="76">
        <f>STOCK[[#This Row],[Precio Final]]-STOCK[[#This Row],[Costo total]]</f>
        <v>4.5</v>
      </c>
      <c r="X1798" s="76">
        <f>STOCK[[#This Row],[Ganancia Unitaria]]*STOCK[[#This Row],[Salidas]]</f>
        <v>0</v>
      </c>
      <c r="Y1798" s="76" t="s">
        <v>3482</v>
      </c>
      <c r="Z1798" s="87"/>
      <c r="AA1798" s="54">
        <f>STOCK[[#This Row],[Costo total]]*STOCK[[#This Row],[Entradas]]</f>
        <v>10.5</v>
      </c>
      <c r="AB1798" s="54">
        <f>STOCK[[#This Row],[Stock Actual]]*STOCK[[#This Row],[Costo total]]</f>
        <v>10.5</v>
      </c>
      <c r="AC1798" s="76"/>
      <c r="AD1798" s="94"/>
    </row>
    <row r="1799" s="53" customFormat="1" ht="50" customHeight="1" spans="1:30">
      <c r="A1799" s="92" t="s">
        <v>3563</v>
      </c>
      <c r="B1799" s="83"/>
      <c r="C1799" s="53" t="s">
        <v>32</v>
      </c>
      <c r="D1799" s="84" t="s">
        <v>780</v>
      </c>
      <c r="E1799" s="93" t="s">
        <v>3564</v>
      </c>
      <c r="F1799" s="92" t="s">
        <v>49</v>
      </c>
      <c r="G1799" s="76"/>
      <c r="H1799" s="76">
        <f>STOCK[[#This Row],[Precio Final]]</f>
        <v>15</v>
      </c>
      <c r="I1799" s="80">
        <f>STOCK[[#This Row],[Precio Venta Ideal (x1.5)]]</f>
        <v>15.75</v>
      </c>
      <c r="J1799" s="92">
        <v>1</v>
      </c>
      <c r="K1799" s="78">
        <f>SUMIFS(VENTAS[Cantidad],VENTAS[Código del producto Vendido],STOCK[[#This Row],[Code]])</f>
        <v>0</v>
      </c>
      <c r="L1799" s="78">
        <f>STOCK[[#This Row],[Entradas]]-STOCK[[#This Row],[Salidas]]</f>
        <v>1</v>
      </c>
      <c r="M1799" s="76">
        <f>STOCK[[#This Row],[Precio Final]]*10%</f>
        <v>1.5</v>
      </c>
      <c r="N1799" s="54">
        <v>0</v>
      </c>
      <c r="O1799" s="76">
        <v>0</v>
      </c>
      <c r="P1799" s="76">
        <v>9</v>
      </c>
      <c r="Q1799" s="76">
        <v>0</v>
      </c>
      <c r="R1799" s="78">
        <v>0</v>
      </c>
      <c r="S1799" s="76">
        <v>0</v>
      </c>
      <c r="T1799" s="76">
        <f>STOCK[[#This Row],[Costo Unitario (USD)]]+STOCK[[#This Row],[Costo Envío (USD)]]+STOCK[[#This Row],[Comisión 10%]]</f>
        <v>10.5</v>
      </c>
      <c r="U1799" s="53">
        <f>STOCK[[#This Row],[Costo total]]*1.5</f>
        <v>15.75</v>
      </c>
      <c r="V1799" s="53">
        <v>15</v>
      </c>
      <c r="W1799" s="76">
        <f>STOCK[[#This Row],[Precio Final]]-STOCK[[#This Row],[Costo total]]</f>
        <v>4.5</v>
      </c>
      <c r="X1799" s="76">
        <f>STOCK[[#This Row],[Ganancia Unitaria]]*STOCK[[#This Row],[Salidas]]</f>
        <v>0</v>
      </c>
      <c r="Y1799" s="76" t="s">
        <v>3482</v>
      </c>
      <c r="Z1799" s="87"/>
      <c r="AA1799" s="54">
        <f>STOCK[[#This Row],[Costo total]]*STOCK[[#This Row],[Entradas]]</f>
        <v>10.5</v>
      </c>
      <c r="AB1799" s="54">
        <f>STOCK[[#This Row],[Stock Actual]]*STOCK[[#This Row],[Costo total]]</f>
        <v>10.5</v>
      </c>
      <c r="AC1799" s="76"/>
      <c r="AD1799" s="94"/>
    </row>
    <row r="1800" s="53" customFormat="1" ht="50" customHeight="1" spans="1:30">
      <c r="A1800" s="92" t="s">
        <v>3565</v>
      </c>
      <c r="B1800" s="83"/>
      <c r="C1800" s="53" t="s">
        <v>32</v>
      </c>
      <c r="D1800" s="84" t="s">
        <v>780</v>
      </c>
      <c r="E1800" s="93" t="s">
        <v>3566</v>
      </c>
      <c r="F1800" s="92" t="s">
        <v>62</v>
      </c>
      <c r="G1800" s="76"/>
      <c r="H1800" s="76">
        <f>STOCK[[#This Row],[Precio Final]]</f>
        <v>15</v>
      </c>
      <c r="I1800" s="80">
        <f>STOCK[[#This Row],[Precio Venta Ideal (x1.5)]]</f>
        <v>15.75</v>
      </c>
      <c r="J1800" s="92">
        <v>1</v>
      </c>
      <c r="K1800" s="78">
        <f>SUMIFS(VENTAS[Cantidad],VENTAS[Código del producto Vendido],STOCK[[#This Row],[Code]])</f>
        <v>0</v>
      </c>
      <c r="L1800" s="78">
        <f>STOCK[[#This Row],[Entradas]]-STOCK[[#This Row],[Salidas]]</f>
        <v>1</v>
      </c>
      <c r="M1800" s="76">
        <f>STOCK[[#This Row],[Precio Final]]*10%</f>
        <v>1.5</v>
      </c>
      <c r="N1800" s="54">
        <v>0</v>
      </c>
      <c r="O1800" s="76">
        <v>0</v>
      </c>
      <c r="P1800" s="76">
        <v>9</v>
      </c>
      <c r="Q1800" s="76">
        <v>0</v>
      </c>
      <c r="R1800" s="78">
        <v>0</v>
      </c>
      <c r="S1800" s="76">
        <v>0</v>
      </c>
      <c r="T1800" s="76">
        <f>STOCK[[#This Row],[Costo Unitario (USD)]]+STOCK[[#This Row],[Costo Envío (USD)]]+STOCK[[#This Row],[Comisión 10%]]</f>
        <v>10.5</v>
      </c>
      <c r="U1800" s="53">
        <f>STOCK[[#This Row],[Costo total]]*1.5</f>
        <v>15.75</v>
      </c>
      <c r="V1800" s="53">
        <v>15</v>
      </c>
      <c r="W1800" s="76">
        <f>STOCK[[#This Row],[Precio Final]]-STOCK[[#This Row],[Costo total]]</f>
        <v>4.5</v>
      </c>
      <c r="X1800" s="76">
        <f>STOCK[[#This Row],[Ganancia Unitaria]]*STOCK[[#This Row],[Salidas]]</f>
        <v>0</v>
      </c>
      <c r="Y1800" s="76" t="s">
        <v>3482</v>
      </c>
      <c r="Z1800" s="87"/>
      <c r="AA1800" s="54">
        <f>STOCK[[#This Row],[Costo total]]*STOCK[[#This Row],[Entradas]]</f>
        <v>10.5</v>
      </c>
      <c r="AB1800" s="54">
        <f>STOCK[[#This Row],[Stock Actual]]*STOCK[[#This Row],[Costo total]]</f>
        <v>10.5</v>
      </c>
      <c r="AC1800" s="76"/>
      <c r="AD1800" s="94"/>
    </row>
    <row r="1801" s="53" customFormat="1" ht="50" customHeight="1" spans="1:30">
      <c r="A1801" s="92" t="s">
        <v>3567</v>
      </c>
      <c r="B1801" s="83"/>
      <c r="C1801" s="53" t="s">
        <v>32</v>
      </c>
      <c r="D1801" s="84" t="s">
        <v>780</v>
      </c>
      <c r="E1801" s="93" t="s">
        <v>3568</v>
      </c>
      <c r="F1801" s="92" t="s">
        <v>46</v>
      </c>
      <c r="G1801" s="76"/>
      <c r="H1801" s="76">
        <f>STOCK[[#This Row],[Precio Final]]</f>
        <v>15</v>
      </c>
      <c r="I1801" s="80">
        <f>STOCK[[#This Row],[Precio Venta Ideal (x1.5)]]</f>
        <v>15.75</v>
      </c>
      <c r="J1801" s="92">
        <v>1</v>
      </c>
      <c r="K1801" s="78">
        <f>SUMIFS(VENTAS[Cantidad],VENTAS[Código del producto Vendido],STOCK[[#This Row],[Code]])</f>
        <v>0</v>
      </c>
      <c r="L1801" s="78">
        <f>STOCK[[#This Row],[Entradas]]-STOCK[[#This Row],[Salidas]]</f>
        <v>1</v>
      </c>
      <c r="M1801" s="76">
        <f>STOCK[[#This Row],[Precio Final]]*10%</f>
        <v>1.5</v>
      </c>
      <c r="N1801" s="54">
        <v>0</v>
      </c>
      <c r="O1801" s="76">
        <v>0</v>
      </c>
      <c r="P1801" s="76">
        <v>9</v>
      </c>
      <c r="Q1801" s="76">
        <v>0</v>
      </c>
      <c r="R1801" s="78">
        <v>0</v>
      </c>
      <c r="S1801" s="76">
        <v>0</v>
      </c>
      <c r="T1801" s="76">
        <f>STOCK[[#This Row],[Costo Unitario (USD)]]+STOCK[[#This Row],[Costo Envío (USD)]]+STOCK[[#This Row],[Comisión 10%]]</f>
        <v>10.5</v>
      </c>
      <c r="U1801" s="53">
        <f>STOCK[[#This Row],[Costo total]]*1.5</f>
        <v>15.75</v>
      </c>
      <c r="V1801" s="53">
        <v>15</v>
      </c>
      <c r="W1801" s="76">
        <f>STOCK[[#This Row],[Precio Final]]-STOCK[[#This Row],[Costo total]]</f>
        <v>4.5</v>
      </c>
      <c r="X1801" s="76">
        <f>STOCK[[#This Row],[Ganancia Unitaria]]*STOCK[[#This Row],[Salidas]]</f>
        <v>0</v>
      </c>
      <c r="Y1801" s="76" t="s">
        <v>3482</v>
      </c>
      <c r="Z1801" s="87"/>
      <c r="AA1801" s="54">
        <f>STOCK[[#This Row],[Costo total]]*STOCK[[#This Row],[Entradas]]</f>
        <v>10.5</v>
      </c>
      <c r="AB1801" s="54">
        <f>STOCK[[#This Row],[Stock Actual]]*STOCK[[#This Row],[Costo total]]</f>
        <v>10.5</v>
      </c>
      <c r="AC1801" s="76"/>
      <c r="AD1801" s="94"/>
    </row>
    <row r="1802" s="53" customFormat="1" ht="50" customHeight="1" spans="1:30">
      <c r="A1802" s="92" t="s">
        <v>3569</v>
      </c>
      <c r="B1802" s="83"/>
      <c r="C1802" s="53" t="s">
        <v>32</v>
      </c>
      <c r="D1802" s="84" t="s">
        <v>780</v>
      </c>
      <c r="E1802" s="93" t="s">
        <v>3570</v>
      </c>
      <c r="F1802" s="92" t="s">
        <v>716</v>
      </c>
      <c r="G1802" s="76"/>
      <c r="H1802" s="76">
        <f>STOCK[[#This Row],[Precio Final]]</f>
        <v>15</v>
      </c>
      <c r="I1802" s="80">
        <f>STOCK[[#This Row],[Precio Venta Ideal (x1.5)]]</f>
        <v>15.75</v>
      </c>
      <c r="J1802" s="92">
        <v>1</v>
      </c>
      <c r="K1802" s="78">
        <f>SUMIFS(VENTAS[Cantidad],VENTAS[Código del producto Vendido],STOCK[[#This Row],[Code]])</f>
        <v>0</v>
      </c>
      <c r="L1802" s="78">
        <f>STOCK[[#This Row],[Entradas]]-STOCK[[#This Row],[Salidas]]</f>
        <v>1</v>
      </c>
      <c r="M1802" s="76">
        <f>STOCK[[#This Row],[Precio Final]]*10%</f>
        <v>1.5</v>
      </c>
      <c r="N1802" s="54">
        <v>0</v>
      </c>
      <c r="O1802" s="76">
        <v>0</v>
      </c>
      <c r="P1802" s="76">
        <v>9</v>
      </c>
      <c r="Q1802" s="76">
        <v>0</v>
      </c>
      <c r="R1802" s="78">
        <v>0</v>
      </c>
      <c r="S1802" s="76">
        <v>0</v>
      </c>
      <c r="T1802" s="76">
        <f>STOCK[[#This Row],[Costo Unitario (USD)]]+STOCK[[#This Row],[Costo Envío (USD)]]+STOCK[[#This Row],[Comisión 10%]]</f>
        <v>10.5</v>
      </c>
      <c r="U1802" s="53">
        <f>STOCK[[#This Row],[Costo total]]*1.5</f>
        <v>15.75</v>
      </c>
      <c r="V1802" s="53">
        <v>15</v>
      </c>
      <c r="W1802" s="76">
        <f>STOCK[[#This Row],[Precio Final]]-STOCK[[#This Row],[Costo total]]</f>
        <v>4.5</v>
      </c>
      <c r="X1802" s="76">
        <f>STOCK[[#This Row],[Ganancia Unitaria]]*STOCK[[#This Row],[Salidas]]</f>
        <v>0</v>
      </c>
      <c r="Y1802" s="76" t="s">
        <v>3482</v>
      </c>
      <c r="Z1802" s="87"/>
      <c r="AA1802" s="54">
        <f>STOCK[[#This Row],[Costo total]]*STOCK[[#This Row],[Entradas]]</f>
        <v>10.5</v>
      </c>
      <c r="AB1802" s="54">
        <f>STOCK[[#This Row],[Stock Actual]]*STOCK[[#This Row],[Costo total]]</f>
        <v>10.5</v>
      </c>
      <c r="AC1802" s="76"/>
      <c r="AD1802" s="94"/>
    </row>
    <row r="1803" s="53" customFormat="1" ht="50" customHeight="1" spans="1:30">
      <c r="A1803" s="92" t="s">
        <v>3571</v>
      </c>
      <c r="B1803" s="83"/>
      <c r="C1803" s="53" t="s">
        <v>32</v>
      </c>
      <c r="D1803" s="84" t="s">
        <v>780</v>
      </c>
      <c r="E1803" s="93" t="s">
        <v>3572</v>
      </c>
      <c r="F1803" s="92" t="s">
        <v>40</v>
      </c>
      <c r="G1803" s="76"/>
      <c r="H1803" s="76">
        <f>STOCK[[#This Row],[Precio Final]]</f>
        <v>25</v>
      </c>
      <c r="I1803" s="80">
        <f>STOCK[[#This Row],[Precio Venta Ideal (x1.5)]]</f>
        <v>17.25</v>
      </c>
      <c r="J1803" s="92">
        <v>1</v>
      </c>
      <c r="K1803" s="78">
        <f>SUMIFS(VENTAS[Cantidad],VENTAS[Código del producto Vendido],STOCK[[#This Row],[Code]])</f>
        <v>0</v>
      </c>
      <c r="L1803" s="78">
        <f>STOCK[[#This Row],[Entradas]]-STOCK[[#This Row],[Salidas]]</f>
        <v>1</v>
      </c>
      <c r="M1803" s="76">
        <f>STOCK[[#This Row],[Precio Final]]*10%</f>
        <v>2.5</v>
      </c>
      <c r="N1803" s="54">
        <v>0</v>
      </c>
      <c r="O1803" s="76">
        <v>0</v>
      </c>
      <c r="P1803" s="76">
        <v>9</v>
      </c>
      <c r="Q1803" s="76">
        <v>0</v>
      </c>
      <c r="R1803" s="78">
        <v>0</v>
      </c>
      <c r="S1803" s="76">
        <v>0</v>
      </c>
      <c r="T1803" s="76">
        <f>STOCK[[#This Row],[Costo Unitario (USD)]]+STOCK[[#This Row],[Costo Envío (USD)]]+STOCK[[#This Row],[Comisión 10%]]</f>
        <v>11.5</v>
      </c>
      <c r="U1803" s="53">
        <f>STOCK[[#This Row],[Costo total]]*1.5</f>
        <v>17.25</v>
      </c>
      <c r="V1803" s="53">
        <v>25</v>
      </c>
      <c r="W1803" s="76">
        <f>STOCK[[#This Row],[Precio Final]]-STOCK[[#This Row],[Costo total]]</f>
        <v>13.5</v>
      </c>
      <c r="X1803" s="76">
        <f>STOCK[[#This Row],[Ganancia Unitaria]]*STOCK[[#This Row],[Salidas]]</f>
        <v>0</v>
      </c>
      <c r="Y1803" s="76" t="s">
        <v>3482</v>
      </c>
      <c r="Z1803" s="87"/>
      <c r="AA1803" s="54">
        <f>STOCK[[#This Row],[Costo total]]*STOCK[[#This Row],[Entradas]]</f>
        <v>11.5</v>
      </c>
      <c r="AB1803" s="54">
        <f>STOCK[[#This Row],[Stock Actual]]*STOCK[[#This Row],[Costo total]]</f>
        <v>11.5</v>
      </c>
      <c r="AC1803" s="76"/>
      <c r="AD1803" s="94"/>
    </row>
    <row r="1804" s="53" customFormat="1" ht="50" customHeight="1" spans="1:30">
      <c r="A1804" s="92" t="s">
        <v>3573</v>
      </c>
      <c r="B1804" s="83"/>
      <c r="C1804" s="53" t="s">
        <v>32</v>
      </c>
      <c r="D1804" s="84" t="s">
        <v>749</v>
      </c>
      <c r="E1804" s="93" t="s">
        <v>3574</v>
      </c>
      <c r="F1804" s="92" t="s">
        <v>281</v>
      </c>
      <c r="G1804" s="76"/>
      <c r="H1804" s="76">
        <f>STOCK[[#This Row],[Precio Final]]</f>
        <v>35</v>
      </c>
      <c r="I1804" s="80">
        <f>STOCK[[#This Row],[Precio Venta Ideal (x1.5)]]</f>
        <v>18.75</v>
      </c>
      <c r="J1804" s="92">
        <v>1</v>
      </c>
      <c r="K1804" s="78">
        <f>SUMIFS(VENTAS[Cantidad],VENTAS[Código del producto Vendido],STOCK[[#This Row],[Code]])</f>
        <v>0</v>
      </c>
      <c r="L1804" s="78">
        <f>STOCK[[#This Row],[Entradas]]-STOCK[[#This Row],[Salidas]]</f>
        <v>1</v>
      </c>
      <c r="M1804" s="76">
        <f>STOCK[[#This Row],[Precio Final]]*10%</f>
        <v>3.5</v>
      </c>
      <c r="N1804" s="54">
        <v>0</v>
      </c>
      <c r="O1804" s="76">
        <v>0</v>
      </c>
      <c r="P1804" s="76">
        <v>9</v>
      </c>
      <c r="Q1804" s="76">
        <v>0</v>
      </c>
      <c r="R1804" s="78">
        <v>0</v>
      </c>
      <c r="S1804" s="76">
        <v>0</v>
      </c>
      <c r="T1804" s="76">
        <f>STOCK[[#This Row],[Costo Unitario (USD)]]+STOCK[[#This Row],[Costo Envío (USD)]]+STOCK[[#This Row],[Comisión 10%]]</f>
        <v>12.5</v>
      </c>
      <c r="U1804" s="53">
        <f>STOCK[[#This Row],[Costo total]]*1.5</f>
        <v>18.75</v>
      </c>
      <c r="V1804" s="53">
        <v>35</v>
      </c>
      <c r="W1804" s="76">
        <f>STOCK[[#This Row],[Precio Final]]-STOCK[[#This Row],[Costo total]]</f>
        <v>22.5</v>
      </c>
      <c r="X1804" s="76">
        <f>STOCK[[#This Row],[Ganancia Unitaria]]*STOCK[[#This Row],[Salidas]]</f>
        <v>0</v>
      </c>
      <c r="Y1804" s="76" t="s">
        <v>3482</v>
      </c>
      <c r="Z1804" s="87"/>
      <c r="AA1804" s="54">
        <f>STOCK[[#This Row],[Costo total]]*STOCK[[#This Row],[Entradas]]</f>
        <v>12.5</v>
      </c>
      <c r="AB1804" s="54">
        <f>STOCK[[#This Row],[Stock Actual]]*STOCK[[#This Row],[Costo total]]</f>
        <v>12.5</v>
      </c>
      <c r="AC1804" s="76"/>
      <c r="AD1804" s="94"/>
    </row>
    <row r="1805" s="53" customFormat="1" ht="50" customHeight="1" spans="1:30">
      <c r="A1805" s="92" t="s">
        <v>3575</v>
      </c>
      <c r="B1805" s="83"/>
      <c r="C1805" s="53" t="s">
        <v>32</v>
      </c>
      <c r="D1805" s="84" t="s">
        <v>749</v>
      </c>
      <c r="E1805" s="93" t="s">
        <v>3576</v>
      </c>
      <c r="F1805" s="92" t="s">
        <v>42</v>
      </c>
      <c r="G1805" s="76"/>
      <c r="H1805" s="76">
        <f>STOCK[[#This Row],[Precio Final]]</f>
        <v>15</v>
      </c>
      <c r="I1805" s="80">
        <f>STOCK[[#This Row],[Precio Venta Ideal (x1.5)]]</f>
        <v>15.75</v>
      </c>
      <c r="J1805" s="92">
        <v>1</v>
      </c>
      <c r="K1805" s="78">
        <f>SUMIFS(VENTAS[Cantidad],VENTAS[Código del producto Vendido],STOCK[[#This Row],[Code]])</f>
        <v>0</v>
      </c>
      <c r="L1805" s="78">
        <f>STOCK[[#This Row],[Entradas]]-STOCK[[#This Row],[Salidas]]</f>
        <v>1</v>
      </c>
      <c r="M1805" s="76">
        <f>STOCK[[#This Row],[Precio Final]]*10%</f>
        <v>1.5</v>
      </c>
      <c r="N1805" s="54">
        <v>0</v>
      </c>
      <c r="O1805" s="76">
        <v>0</v>
      </c>
      <c r="P1805" s="76">
        <v>9</v>
      </c>
      <c r="Q1805" s="76">
        <v>0</v>
      </c>
      <c r="R1805" s="78">
        <v>0</v>
      </c>
      <c r="S1805" s="76">
        <v>0</v>
      </c>
      <c r="T1805" s="76">
        <f>STOCK[[#This Row],[Costo Unitario (USD)]]+STOCK[[#This Row],[Costo Envío (USD)]]+STOCK[[#This Row],[Comisión 10%]]</f>
        <v>10.5</v>
      </c>
      <c r="U1805" s="53">
        <f>STOCK[[#This Row],[Costo total]]*1.5</f>
        <v>15.75</v>
      </c>
      <c r="V1805" s="53">
        <v>15</v>
      </c>
      <c r="W1805" s="76">
        <f>STOCK[[#This Row],[Precio Final]]-STOCK[[#This Row],[Costo total]]</f>
        <v>4.5</v>
      </c>
      <c r="X1805" s="76">
        <f>STOCK[[#This Row],[Ganancia Unitaria]]*STOCK[[#This Row],[Salidas]]</f>
        <v>0</v>
      </c>
      <c r="Y1805" s="76" t="s">
        <v>3482</v>
      </c>
      <c r="Z1805" s="87"/>
      <c r="AA1805" s="54">
        <f>STOCK[[#This Row],[Costo total]]*STOCK[[#This Row],[Entradas]]</f>
        <v>10.5</v>
      </c>
      <c r="AB1805" s="54">
        <f>STOCK[[#This Row],[Stock Actual]]*STOCK[[#This Row],[Costo total]]</f>
        <v>10.5</v>
      </c>
      <c r="AC1805" s="76"/>
      <c r="AD1805" s="94"/>
    </row>
    <row r="1806" s="53" customFormat="1" ht="50" customHeight="1" spans="1:30">
      <c r="A1806" s="92" t="s">
        <v>3577</v>
      </c>
      <c r="B1806" s="83"/>
      <c r="C1806" s="53" t="s">
        <v>32</v>
      </c>
      <c r="D1806" s="84" t="s">
        <v>749</v>
      </c>
      <c r="E1806" s="93" t="s">
        <v>3578</v>
      </c>
      <c r="F1806" s="92" t="s">
        <v>49</v>
      </c>
      <c r="G1806" s="76"/>
      <c r="H1806" s="76">
        <f>STOCK[[#This Row],[Precio Final]]</f>
        <v>15</v>
      </c>
      <c r="I1806" s="80">
        <f>STOCK[[#This Row],[Precio Venta Ideal (x1.5)]]</f>
        <v>15.75</v>
      </c>
      <c r="J1806" s="92">
        <v>1</v>
      </c>
      <c r="K1806" s="78">
        <f>SUMIFS(VENTAS[Cantidad],VENTAS[Código del producto Vendido],STOCK[[#This Row],[Code]])</f>
        <v>0</v>
      </c>
      <c r="L1806" s="78">
        <f>STOCK[[#This Row],[Entradas]]-STOCK[[#This Row],[Salidas]]</f>
        <v>1</v>
      </c>
      <c r="M1806" s="76">
        <f>STOCK[[#This Row],[Precio Final]]*10%</f>
        <v>1.5</v>
      </c>
      <c r="N1806" s="54">
        <v>0</v>
      </c>
      <c r="O1806" s="76">
        <v>0</v>
      </c>
      <c r="P1806" s="76">
        <v>9</v>
      </c>
      <c r="Q1806" s="76">
        <v>0</v>
      </c>
      <c r="R1806" s="78">
        <v>0</v>
      </c>
      <c r="S1806" s="76">
        <v>0</v>
      </c>
      <c r="T1806" s="76">
        <f>STOCK[[#This Row],[Costo Unitario (USD)]]+STOCK[[#This Row],[Costo Envío (USD)]]+STOCK[[#This Row],[Comisión 10%]]</f>
        <v>10.5</v>
      </c>
      <c r="U1806" s="53">
        <f>STOCK[[#This Row],[Costo total]]*1.5</f>
        <v>15.75</v>
      </c>
      <c r="V1806" s="53">
        <v>15</v>
      </c>
      <c r="W1806" s="76">
        <f>STOCK[[#This Row],[Precio Final]]-STOCK[[#This Row],[Costo total]]</f>
        <v>4.5</v>
      </c>
      <c r="X1806" s="76">
        <f>STOCK[[#This Row],[Ganancia Unitaria]]*STOCK[[#This Row],[Salidas]]</f>
        <v>0</v>
      </c>
      <c r="Y1806" s="76" t="s">
        <v>3482</v>
      </c>
      <c r="Z1806" s="87"/>
      <c r="AA1806" s="54">
        <f>STOCK[[#This Row],[Costo total]]*STOCK[[#This Row],[Entradas]]</f>
        <v>10.5</v>
      </c>
      <c r="AB1806" s="54">
        <f>STOCK[[#This Row],[Stock Actual]]*STOCK[[#This Row],[Costo total]]</f>
        <v>10.5</v>
      </c>
      <c r="AC1806" s="76"/>
      <c r="AD1806" s="94"/>
    </row>
    <row r="1807" s="53" customFormat="1" ht="50" customHeight="1" spans="1:30">
      <c r="A1807" s="92" t="s">
        <v>3579</v>
      </c>
      <c r="B1807" s="83"/>
      <c r="C1807" s="53" t="s">
        <v>32</v>
      </c>
      <c r="D1807" s="84" t="s">
        <v>749</v>
      </c>
      <c r="E1807" s="93" t="s">
        <v>3580</v>
      </c>
      <c r="F1807" s="92" t="s">
        <v>3581</v>
      </c>
      <c r="G1807" s="76"/>
      <c r="H1807" s="76">
        <f>STOCK[[#This Row],[Precio Final]]</f>
        <v>30</v>
      </c>
      <c r="I1807" s="80">
        <f>STOCK[[#This Row],[Precio Venta Ideal (x1.5)]]</f>
        <v>18</v>
      </c>
      <c r="J1807" s="92">
        <v>1</v>
      </c>
      <c r="K1807" s="78">
        <f>SUMIFS(VENTAS[Cantidad],VENTAS[Código del producto Vendido],STOCK[[#This Row],[Code]])</f>
        <v>0</v>
      </c>
      <c r="L1807" s="78">
        <f>STOCK[[#This Row],[Entradas]]-STOCK[[#This Row],[Salidas]]</f>
        <v>1</v>
      </c>
      <c r="M1807" s="76">
        <f>STOCK[[#This Row],[Precio Final]]*10%</f>
        <v>3</v>
      </c>
      <c r="N1807" s="54">
        <v>0</v>
      </c>
      <c r="O1807" s="76">
        <v>0</v>
      </c>
      <c r="P1807" s="76">
        <v>9</v>
      </c>
      <c r="Q1807" s="76">
        <v>0</v>
      </c>
      <c r="R1807" s="78">
        <v>0</v>
      </c>
      <c r="S1807" s="76">
        <v>0</v>
      </c>
      <c r="T1807" s="76">
        <f>STOCK[[#This Row],[Costo Unitario (USD)]]+STOCK[[#This Row],[Costo Envío (USD)]]+STOCK[[#This Row],[Comisión 10%]]</f>
        <v>12</v>
      </c>
      <c r="U1807" s="53">
        <f>STOCK[[#This Row],[Costo total]]*1.5</f>
        <v>18</v>
      </c>
      <c r="V1807" s="53">
        <v>30</v>
      </c>
      <c r="W1807" s="76">
        <f>STOCK[[#This Row],[Precio Final]]-STOCK[[#This Row],[Costo total]]</f>
        <v>18</v>
      </c>
      <c r="X1807" s="76">
        <f>STOCK[[#This Row],[Ganancia Unitaria]]*STOCK[[#This Row],[Salidas]]</f>
        <v>0</v>
      </c>
      <c r="Y1807" s="76" t="s">
        <v>3482</v>
      </c>
      <c r="Z1807" s="87"/>
      <c r="AA1807" s="54">
        <f>STOCK[[#This Row],[Costo total]]*STOCK[[#This Row],[Entradas]]</f>
        <v>12</v>
      </c>
      <c r="AB1807" s="54">
        <f>STOCK[[#This Row],[Stock Actual]]*STOCK[[#This Row],[Costo total]]</f>
        <v>12</v>
      </c>
      <c r="AC1807" s="76"/>
      <c r="AD1807" s="94"/>
    </row>
    <row r="1808" s="53" customFormat="1" ht="50" customHeight="1" spans="1:30">
      <c r="A1808" s="92" t="s">
        <v>3582</v>
      </c>
      <c r="B1808" s="83"/>
      <c r="C1808" s="53" t="s">
        <v>32</v>
      </c>
      <c r="D1808" s="84" t="s">
        <v>749</v>
      </c>
      <c r="E1808" s="93" t="s">
        <v>3583</v>
      </c>
      <c r="F1808" s="92" t="s">
        <v>46</v>
      </c>
      <c r="G1808" s="76"/>
      <c r="H1808" s="76">
        <f>STOCK[[#This Row],[Precio Final]]</f>
        <v>15</v>
      </c>
      <c r="I1808" s="80">
        <f>STOCK[[#This Row],[Precio Venta Ideal (x1.5)]]</f>
        <v>15.75</v>
      </c>
      <c r="J1808" s="92">
        <v>1</v>
      </c>
      <c r="K1808" s="78">
        <f>SUMIFS(VENTAS[Cantidad],VENTAS[Código del producto Vendido],STOCK[[#This Row],[Code]])</f>
        <v>0</v>
      </c>
      <c r="L1808" s="78">
        <f>STOCK[[#This Row],[Entradas]]-STOCK[[#This Row],[Salidas]]</f>
        <v>1</v>
      </c>
      <c r="M1808" s="76">
        <f>STOCK[[#This Row],[Precio Final]]*10%</f>
        <v>1.5</v>
      </c>
      <c r="N1808" s="54">
        <v>0</v>
      </c>
      <c r="O1808" s="76">
        <v>0</v>
      </c>
      <c r="P1808" s="76">
        <v>9</v>
      </c>
      <c r="Q1808" s="76">
        <v>0</v>
      </c>
      <c r="R1808" s="78">
        <v>0</v>
      </c>
      <c r="S1808" s="76">
        <v>0</v>
      </c>
      <c r="T1808" s="76">
        <f>STOCK[[#This Row],[Costo Unitario (USD)]]+STOCK[[#This Row],[Costo Envío (USD)]]+STOCK[[#This Row],[Comisión 10%]]</f>
        <v>10.5</v>
      </c>
      <c r="U1808" s="53">
        <f>STOCK[[#This Row],[Costo total]]*1.5</f>
        <v>15.75</v>
      </c>
      <c r="V1808" s="53">
        <v>15</v>
      </c>
      <c r="W1808" s="76">
        <f>STOCK[[#This Row],[Precio Final]]-STOCK[[#This Row],[Costo total]]</f>
        <v>4.5</v>
      </c>
      <c r="X1808" s="76">
        <f>STOCK[[#This Row],[Ganancia Unitaria]]*STOCK[[#This Row],[Salidas]]</f>
        <v>0</v>
      </c>
      <c r="Y1808" s="76" t="s">
        <v>3482</v>
      </c>
      <c r="Z1808" s="87"/>
      <c r="AA1808" s="54">
        <f>STOCK[[#This Row],[Costo total]]*STOCK[[#This Row],[Entradas]]</f>
        <v>10.5</v>
      </c>
      <c r="AB1808" s="54">
        <f>STOCK[[#This Row],[Stock Actual]]*STOCK[[#This Row],[Costo total]]</f>
        <v>10.5</v>
      </c>
      <c r="AC1808" s="76"/>
      <c r="AD1808" s="94"/>
    </row>
    <row r="1809" s="53" customFormat="1" ht="50" customHeight="1" spans="1:30">
      <c r="A1809" s="92" t="s">
        <v>3584</v>
      </c>
      <c r="B1809" s="83"/>
      <c r="C1809" s="53" t="s">
        <v>32</v>
      </c>
      <c r="D1809" s="84" t="s">
        <v>749</v>
      </c>
      <c r="E1809" s="93" t="s">
        <v>3585</v>
      </c>
      <c r="F1809" s="92" t="s">
        <v>62</v>
      </c>
      <c r="G1809" s="76"/>
      <c r="H1809" s="76">
        <f>STOCK[[#This Row],[Precio Final]]</f>
        <v>20</v>
      </c>
      <c r="I1809" s="80">
        <f>STOCK[[#This Row],[Precio Venta Ideal (x1.5)]]</f>
        <v>16.5</v>
      </c>
      <c r="J1809" s="92">
        <v>1</v>
      </c>
      <c r="K1809" s="78">
        <f>SUMIFS(VENTAS[Cantidad],VENTAS[Código del producto Vendido],STOCK[[#This Row],[Code]])</f>
        <v>0</v>
      </c>
      <c r="L1809" s="78">
        <f>STOCK[[#This Row],[Entradas]]-STOCK[[#This Row],[Salidas]]</f>
        <v>1</v>
      </c>
      <c r="M1809" s="76">
        <f>STOCK[[#This Row],[Precio Final]]*10%</f>
        <v>2</v>
      </c>
      <c r="N1809" s="54">
        <v>0</v>
      </c>
      <c r="O1809" s="76">
        <v>0</v>
      </c>
      <c r="P1809" s="76">
        <v>9</v>
      </c>
      <c r="Q1809" s="76">
        <v>0</v>
      </c>
      <c r="R1809" s="78">
        <v>0</v>
      </c>
      <c r="S1809" s="76">
        <v>0</v>
      </c>
      <c r="T1809" s="76">
        <f>STOCK[[#This Row],[Costo Unitario (USD)]]+STOCK[[#This Row],[Costo Envío (USD)]]+STOCK[[#This Row],[Comisión 10%]]</f>
        <v>11</v>
      </c>
      <c r="U1809" s="53">
        <f>STOCK[[#This Row],[Costo total]]*1.5</f>
        <v>16.5</v>
      </c>
      <c r="V1809" s="53">
        <v>20</v>
      </c>
      <c r="W1809" s="76">
        <f>STOCK[[#This Row],[Precio Final]]-STOCK[[#This Row],[Costo total]]</f>
        <v>9</v>
      </c>
      <c r="X1809" s="76">
        <f>STOCK[[#This Row],[Ganancia Unitaria]]*STOCK[[#This Row],[Salidas]]</f>
        <v>0</v>
      </c>
      <c r="Y1809" s="76" t="s">
        <v>3482</v>
      </c>
      <c r="Z1809" s="87"/>
      <c r="AA1809" s="54">
        <f>STOCK[[#This Row],[Costo total]]*STOCK[[#This Row],[Entradas]]</f>
        <v>11</v>
      </c>
      <c r="AB1809" s="54">
        <f>STOCK[[#This Row],[Stock Actual]]*STOCK[[#This Row],[Costo total]]</f>
        <v>11</v>
      </c>
      <c r="AC1809" s="76"/>
      <c r="AD1809" s="94"/>
    </row>
    <row r="1810" s="53" customFormat="1" ht="50" customHeight="1" spans="1:30">
      <c r="A1810" s="92" t="s">
        <v>3586</v>
      </c>
      <c r="B1810" s="83"/>
      <c r="C1810" s="53" t="s">
        <v>32</v>
      </c>
      <c r="D1810" s="84" t="s">
        <v>749</v>
      </c>
      <c r="E1810" s="93" t="s">
        <v>3587</v>
      </c>
      <c r="F1810" s="92" t="s">
        <v>716</v>
      </c>
      <c r="G1810" s="76"/>
      <c r="H1810" s="76">
        <f>STOCK[[#This Row],[Precio Final]]</f>
        <v>20</v>
      </c>
      <c r="I1810" s="80">
        <f>STOCK[[#This Row],[Precio Venta Ideal (x1.5)]]</f>
        <v>16.5</v>
      </c>
      <c r="J1810" s="92">
        <v>1</v>
      </c>
      <c r="K1810" s="78">
        <f>SUMIFS(VENTAS[Cantidad],VENTAS[Código del producto Vendido],STOCK[[#This Row],[Code]])</f>
        <v>0</v>
      </c>
      <c r="L1810" s="78">
        <f>STOCK[[#This Row],[Entradas]]-STOCK[[#This Row],[Salidas]]</f>
        <v>1</v>
      </c>
      <c r="M1810" s="76">
        <f>STOCK[[#This Row],[Precio Final]]*10%</f>
        <v>2</v>
      </c>
      <c r="N1810" s="54">
        <v>0</v>
      </c>
      <c r="O1810" s="76">
        <v>0</v>
      </c>
      <c r="P1810" s="76">
        <v>9</v>
      </c>
      <c r="Q1810" s="76">
        <v>0</v>
      </c>
      <c r="R1810" s="78">
        <v>0</v>
      </c>
      <c r="S1810" s="76">
        <v>0</v>
      </c>
      <c r="T1810" s="76">
        <f>STOCK[[#This Row],[Costo Unitario (USD)]]+STOCK[[#This Row],[Costo Envío (USD)]]+STOCK[[#This Row],[Comisión 10%]]</f>
        <v>11</v>
      </c>
      <c r="U1810" s="53">
        <f>STOCK[[#This Row],[Costo total]]*1.5</f>
        <v>16.5</v>
      </c>
      <c r="V1810" s="53">
        <v>20</v>
      </c>
      <c r="W1810" s="76">
        <f>STOCK[[#This Row],[Precio Final]]-STOCK[[#This Row],[Costo total]]</f>
        <v>9</v>
      </c>
      <c r="X1810" s="76">
        <f>STOCK[[#This Row],[Ganancia Unitaria]]*STOCK[[#This Row],[Salidas]]</f>
        <v>0</v>
      </c>
      <c r="Y1810" s="76" t="s">
        <v>3482</v>
      </c>
      <c r="Z1810" s="87"/>
      <c r="AA1810" s="54">
        <f>STOCK[[#This Row],[Costo total]]*STOCK[[#This Row],[Entradas]]</f>
        <v>11</v>
      </c>
      <c r="AB1810" s="54">
        <f>STOCK[[#This Row],[Stock Actual]]*STOCK[[#This Row],[Costo total]]</f>
        <v>11</v>
      </c>
      <c r="AC1810" s="76"/>
      <c r="AD1810" s="94"/>
    </row>
    <row r="1811" s="53" customFormat="1" ht="50" customHeight="1" spans="1:30">
      <c r="A1811" s="92" t="s">
        <v>3588</v>
      </c>
      <c r="B1811" s="83"/>
      <c r="C1811" s="53" t="s">
        <v>32</v>
      </c>
      <c r="D1811" s="84" t="s">
        <v>780</v>
      </c>
      <c r="E1811" s="93" t="s">
        <v>3589</v>
      </c>
      <c r="F1811" s="92" t="s">
        <v>49</v>
      </c>
      <c r="G1811" s="76"/>
      <c r="H1811" s="76">
        <f>STOCK[[#This Row],[Precio Final]]</f>
        <v>18</v>
      </c>
      <c r="I1811" s="80">
        <f>STOCK[[#This Row],[Precio Venta Ideal (x1.5)]]</f>
        <v>16.2</v>
      </c>
      <c r="J1811" s="92">
        <v>1</v>
      </c>
      <c r="K1811" s="78">
        <f>SUMIFS(VENTAS[Cantidad],VENTAS[Código del producto Vendido],STOCK[[#This Row],[Code]])</f>
        <v>0</v>
      </c>
      <c r="L1811" s="78">
        <f>STOCK[[#This Row],[Entradas]]-STOCK[[#This Row],[Salidas]]</f>
        <v>1</v>
      </c>
      <c r="M1811" s="76">
        <f>STOCK[[#This Row],[Precio Final]]*10%</f>
        <v>1.8</v>
      </c>
      <c r="N1811" s="54">
        <v>0</v>
      </c>
      <c r="O1811" s="76">
        <v>0</v>
      </c>
      <c r="P1811" s="76">
        <v>9</v>
      </c>
      <c r="Q1811" s="76">
        <v>0</v>
      </c>
      <c r="R1811" s="78">
        <v>0</v>
      </c>
      <c r="S1811" s="76">
        <v>0</v>
      </c>
      <c r="T1811" s="76">
        <f>STOCK[[#This Row],[Costo Unitario (USD)]]+STOCK[[#This Row],[Costo Envío (USD)]]+STOCK[[#This Row],[Comisión 10%]]</f>
        <v>10.8</v>
      </c>
      <c r="U1811" s="53">
        <f>STOCK[[#This Row],[Costo total]]*1.5</f>
        <v>16.2</v>
      </c>
      <c r="V1811" s="53">
        <v>18</v>
      </c>
      <c r="W1811" s="76">
        <f>STOCK[[#This Row],[Precio Final]]-STOCK[[#This Row],[Costo total]]</f>
        <v>7.2</v>
      </c>
      <c r="X1811" s="76">
        <f>STOCK[[#This Row],[Ganancia Unitaria]]*STOCK[[#This Row],[Salidas]]</f>
        <v>0</v>
      </c>
      <c r="Y1811" s="76" t="s">
        <v>3482</v>
      </c>
      <c r="Z1811" s="87"/>
      <c r="AA1811" s="54">
        <f>STOCK[[#This Row],[Costo total]]*STOCK[[#This Row],[Entradas]]</f>
        <v>10.8</v>
      </c>
      <c r="AB1811" s="54">
        <f>STOCK[[#This Row],[Stock Actual]]*STOCK[[#This Row],[Costo total]]</f>
        <v>10.8</v>
      </c>
      <c r="AC1811" s="76"/>
      <c r="AD1811" s="94"/>
    </row>
    <row r="1812" s="53" customFormat="1" ht="50" customHeight="1" spans="1:30">
      <c r="A1812" s="92" t="s">
        <v>3590</v>
      </c>
      <c r="B1812" s="83"/>
      <c r="C1812" s="53" t="s">
        <v>32</v>
      </c>
      <c r="D1812" s="84" t="s">
        <v>749</v>
      </c>
      <c r="E1812" s="93" t="s">
        <v>3591</v>
      </c>
      <c r="F1812" s="92" t="s">
        <v>62</v>
      </c>
      <c r="G1812" s="76"/>
      <c r="H1812" s="76">
        <f>STOCK[[#This Row],[Precio Final]]</f>
        <v>22</v>
      </c>
      <c r="I1812" s="80">
        <f>STOCK[[#This Row],[Precio Venta Ideal (x1.5)]]</f>
        <v>16.8</v>
      </c>
      <c r="J1812" s="92">
        <v>1</v>
      </c>
      <c r="K1812" s="78">
        <f>SUMIFS(VENTAS[Cantidad],VENTAS[Código del producto Vendido],STOCK[[#This Row],[Code]])</f>
        <v>0</v>
      </c>
      <c r="L1812" s="78">
        <f>STOCK[[#This Row],[Entradas]]-STOCK[[#This Row],[Salidas]]</f>
        <v>1</v>
      </c>
      <c r="M1812" s="76">
        <f>STOCK[[#This Row],[Precio Final]]*10%</f>
        <v>2.2</v>
      </c>
      <c r="N1812" s="54">
        <v>0</v>
      </c>
      <c r="O1812" s="76">
        <v>0</v>
      </c>
      <c r="P1812" s="76">
        <v>9</v>
      </c>
      <c r="Q1812" s="76">
        <v>0</v>
      </c>
      <c r="R1812" s="78">
        <v>0</v>
      </c>
      <c r="S1812" s="76">
        <v>0</v>
      </c>
      <c r="T1812" s="76">
        <f>STOCK[[#This Row],[Costo Unitario (USD)]]+STOCK[[#This Row],[Costo Envío (USD)]]+STOCK[[#This Row],[Comisión 10%]]</f>
        <v>11.2</v>
      </c>
      <c r="U1812" s="53">
        <f>STOCK[[#This Row],[Costo total]]*1.5</f>
        <v>16.8</v>
      </c>
      <c r="V1812" s="53">
        <v>22</v>
      </c>
      <c r="W1812" s="76">
        <f>STOCK[[#This Row],[Precio Final]]-STOCK[[#This Row],[Costo total]]</f>
        <v>10.8</v>
      </c>
      <c r="X1812" s="76">
        <f>STOCK[[#This Row],[Ganancia Unitaria]]*STOCK[[#This Row],[Salidas]]</f>
        <v>0</v>
      </c>
      <c r="Y1812" s="76" t="s">
        <v>3482</v>
      </c>
      <c r="Z1812" s="87"/>
      <c r="AA1812" s="54">
        <f>STOCK[[#This Row],[Costo total]]*STOCK[[#This Row],[Entradas]]</f>
        <v>11.2</v>
      </c>
      <c r="AB1812" s="54">
        <f>STOCK[[#This Row],[Stock Actual]]*STOCK[[#This Row],[Costo total]]</f>
        <v>11.2</v>
      </c>
      <c r="AC1812" s="76"/>
      <c r="AD1812" s="94"/>
    </row>
    <row r="1813" s="53" customFormat="1" ht="50" customHeight="1" spans="1:30">
      <c r="A1813" s="92" t="s">
        <v>3592</v>
      </c>
      <c r="B1813" s="83"/>
      <c r="C1813" s="53" t="s">
        <v>32</v>
      </c>
      <c r="D1813" s="84" t="s">
        <v>749</v>
      </c>
      <c r="E1813" s="93" t="s">
        <v>3593</v>
      </c>
      <c r="F1813" s="92" t="s">
        <v>3594</v>
      </c>
      <c r="G1813" s="76"/>
      <c r="H1813" s="76">
        <f>STOCK[[#This Row],[Precio Final]]</f>
        <v>35</v>
      </c>
      <c r="I1813" s="80">
        <f>STOCK[[#This Row],[Precio Venta Ideal (x1.5)]]</f>
        <v>18.75</v>
      </c>
      <c r="J1813" s="92">
        <v>1</v>
      </c>
      <c r="K1813" s="78">
        <f>SUMIFS(VENTAS[Cantidad],VENTAS[Código del producto Vendido],STOCK[[#This Row],[Code]])</f>
        <v>0</v>
      </c>
      <c r="L1813" s="78">
        <f>STOCK[[#This Row],[Entradas]]-STOCK[[#This Row],[Salidas]]</f>
        <v>1</v>
      </c>
      <c r="M1813" s="76">
        <f>STOCK[[#This Row],[Precio Final]]*10%</f>
        <v>3.5</v>
      </c>
      <c r="N1813" s="54">
        <v>0</v>
      </c>
      <c r="O1813" s="76">
        <v>0</v>
      </c>
      <c r="P1813" s="76">
        <v>9</v>
      </c>
      <c r="Q1813" s="76">
        <v>0</v>
      </c>
      <c r="R1813" s="78">
        <v>0</v>
      </c>
      <c r="S1813" s="76">
        <v>0</v>
      </c>
      <c r="T1813" s="76">
        <f>STOCK[[#This Row],[Costo Unitario (USD)]]+STOCK[[#This Row],[Costo Envío (USD)]]+STOCK[[#This Row],[Comisión 10%]]</f>
        <v>12.5</v>
      </c>
      <c r="U1813" s="53">
        <f>STOCK[[#This Row],[Costo total]]*1.5</f>
        <v>18.75</v>
      </c>
      <c r="V1813" s="53">
        <v>35</v>
      </c>
      <c r="W1813" s="76">
        <f>STOCK[[#This Row],[Precio Final]]-STOCK[[#This Row],[Costo total]]</f>
        <v>22.5</v>
      </c>
      <c r="X1813" s="76">
        <f>STOCK[[#This Row],[Ganancia Unitaria]]*STOCK[[#This Row],[Salidas]]</f>
        <v>0</v>
      </c>
      <c r="Y1813" s="76" t="s">
        <v>3482</v>
      </c>
      <c r="Z1813" s="87"/>
      <c r="AA1813" s="54">
        <f>STOCK[[#This Row],[Costo total]]*STOCK[[#This Row],[Entradas]]</f>
        <v>12.5</v>
      </c>
      <c r="AB1813" s="54">
        <f>STOCK[[#This Row],[Stock Actual]]*STOCK[[#This Row],[Costo total]]</f>
        <v>12.5</v>
      </c>
      <c r="AC1813" s="76"/>
      <c r="AD1813" s="94"/>
    </row>
    <row r="1814" s="53" customFormat="1" ht="50" customHeight="1" spans="1:30">
      <c r="A1814" s="92" t="s">
        <v>3595</v>
      </c>
      <c r="B1814" s="83"/>
      <c r="C1814" s="53" t="s">
        <v>32</v>
      </c>
      <c r="D1814" s="84" t="s">
        <v>749</v>
      </c>
      <c r="E1814" s="93" t="s">
        <v>3596</v>
      </c>
      <c r="F1814" s="92" t="s">
        <v>49</v>
      </c>
      <c r="G1814" s="76"/>
      <c r="H1814" s="76">
        <f>STOCK[[#This Row],[Precio Final]]</f>
        <v>35</v>
      </c>
      <c r="I1814" s="80">
        <f>STOCK[[#This Row],[Precio Venta Ideal (x1.5)]]</f>
        <v>18.75</v>
      </c>
      <c r="J1814" s="92">
        <v>1</v>
      </c>
      <c r="K1814" s="78">
        <f>SUMIFS(VENTAS[Cantidad],VENTAS[Código del producto Vendido],STOCK[[#This Row],[Code]])</f>
        <v>0</v>
      </c>
      <c r="L1814" s="78">
        <f>STOCK[[#This Row],[Entradas]]-STOCK[[#This Row],[Salidas]]</f>
        <v>1</v>
      </c>
      <c r="M1814" s="76">
        <f>STOCK[[#This Row],[Precio Final]]*10%</f>
        <v>3.5</v>
      </c>
      <c r="N1814" s="54">
        <v>0</v>
      </c>
      <c r="O1814" s="76">
        <v>0</v>
      </c>
      <c r="P1814" s="76">
        <v>9</v>
      </c>
      <c r="Q1814" s="76">
        <v>0</v>
      </c>
      <c r="R1814" s="78">
        <v>0</v>
      </c>
      <c r="S1814" s="76">
        <v>0</v>
      </c>
      <c r="T1814" s="76">
        <f>STOCK[[#This Row],[Costo Unitario (USD)]]+STOCK[[#This Row],[Costo Envío (USD)]]+STOCK[[#This Row],[Comisión 10%]]</f>
        <v>12.5</v>
      </c>
      <c r="U1814" s="53">
        <f>STOCK[[#This Row],[Costo total]]*1.5</f>
        <v>18.75</v>
      </c>
      <c r="V1814" s="53">
        <v>35</v>
      </c>
      <c r="W1814" s="76">
        <f>STOCK[[#This Row],[Precio Final]]-STOCK[[#This Row],[Costo total]]</f>
        <v>22.5</v>
      </c>
      <c r="X1814" s="76">
        <f>STOCK[[#This Row],[Ganancia Unitaria]]*STOCK[[#This Row],[Salidas]]</f>
        <v>0</v>
      </c>
      <c r="Y1814" s="76" t="s">
        <v>3482</v>
      </c>
      <c r="Z1814" s="87"/>
      <c r="AA1814" s="54">
        <f>STOCK[[#This Row],[Costo total]]*STOCK[[#This Row],[Entradas]]</f>
        <v>12.5</v>
      </c>
      <c r="AB1814" s="54">
        <f>STOCK[[#This Row],[Stock Actual]]*STOCK[[#This Row],[Costo total]]</f>
        <v>12.5</v>
      </c>
      <c r="AC1814" s="76"/>
      <c r="AD1814" s="94"/>
    </row>
    <row r="1815" s="53" customFormat="1" ht="50" customHeight="1" spans="1:30">
      <c r="A1815" s="92" t="s">
        <v>3597</v>
      </c>
      <c r="B1815" s="83"/>
      <c r="C1815" s="53" t="s">
        <v>32</v>
      </c>
      <c r="D1815" s="84"/>
      <c r="E1815" s="93" t="s">
        <v>3598</v>
      </c>
      <c r="F1815" s="92" t="s">
        <v>46</v>
      </c>
      <c r="G1815" s="76"/>
      <c r="H1815" s="76">
        <f>STOCK[[#This Row],[Precio Final]]</f>
        <v>10</v>
      </c>
      <c r="I1815" s="80">
        <f>STOCK[[#This Row],[Precio Venta Ideal (x1.5)]]</f>
        <v>15</v>
      </c>
      <c r="J1815" s="92">
        <v>1</v>
      </c>
      <c r="K1815" s="78">
        <v>1</v>
      </c>
      <c r="L1815" s="78">
        <f>STOCK[[#This Row],[Entradas]]-STOCK[[#This Row],[Salidas]]</f>
        <v>0</v>
      </c>
      <c r="M1815" s="76">
        <f>STOCK[[#This Row],[Precio Final]]*10%</f>
        <v>1</v>
      </c>
      <c r="N1815" s="54">
        <v>0</v>
      </c>
      <c r="O1815" s="76">
        <v>0</v>
      </c>
      <c r="P1815" s="76">
        <v>9</v>
      </c>
      <c r="Q1815" s="76">
        <v>0</v>
      </c>
      <c r="R1815" s="78">
        <v>0</v>
      </c>
      <c r="S1815" s="76">
        <v>0</v>
      </c>
      <c r="T1815" s="76">
        <f>STOCK[[#This Row],[Costo Unitario (USD)]]+STOCK[[#This Row],[Costo Envío (USD)]]+STOCK[[#This Row],[Comisión 10%]]</f>
        <v>10</v>
      </c>
      <c r="U1815" s="53">
        <f>STOCK[[#This Row],[Costo total]]*1.5</f>
        <v>15</v>
      </c>
      <c r="V1815" s="53">
        <v>10</v>
      </c>
      <c r="W1815" s="76">
        <f>STOCK[[#This Row],[Precio Final]]-STOCK[[#This Row],[Costo total]]</f>
        <v>0</v>
      </c>
      <c r="X1815" s="76">
        <f>STOCK[[#This Row],[Ganancia Unitaria]]*STOCK[[#This Row],[Salidas]]</f>
        <v>0</v>
      </c>
      <c r="Y1815" s="76" t="s">
        <v>3482</v>
      </c>
      <c r="Z1815" s="87"/>
      <c r="AA1815" s="54">
        <f>STOCK[[#This Row],[Costo total]]*STOCK[[#This Row],[Entradas]]</f>
        <v>10</v>
      </c>
      <c r="AB1815" s="54">
        <f>STOCK[[#This Row],[Stock Actual]]*STOCK[[#This Row],[Costo total]]</f>
        <v>0</v>
      </c>
      <c r="AC1815" s="76"/>
      <c r="AD1815" s="94"/>
    </row>
    <row r="1816" s="53" customFormat="1" ht="50" customHeight="1" spans="1:30">
      <c r="A1816" s="92" t="s">
        <v>3599</v>
      </c>
      <c r="B1816" s="83"/>
      <c r="C1816" s="53" t="s">
        <v>32</v>
      </c>
      <c r="D1816" s="84" t="s">
        <v>749</v>
      </c>
      <c r="E1816" s="93" t="s">
        <v>3600</v>
      </c>
      <c r="F1816" s="92" t="s">
        <v>62</v>
      </c>
      <c r="G1816" s="76"/>
      <c r="H1816" s="76">
        <f>STOCK[[#This Row],[Precio Final]]</f>
        <v>20</v>
      </c>
      <c r="I1816" s="80">
        <f>STOCK[[#This Row],[Precio Venta Ideal (x1.5)]]</f>
        <v>16.5</v>
      </c>
      <c r="J1816" s="92">
        <v>2</v>
      </c>
      <c r="K1816" s="78">
        <f>SUMIFS(VENTAS[Cantidad],VENTAS[Código del producto Vendido],STOCK[[#This Row],[Code]])</f>
        <v>0</v>
      </c>
      <c r="L1816" s="78">
        <f>STOCK[[#This Row],[Entradas]]-STOCK[[#This Row],[Salidas]]</f>
        <v>2</v>
      </c>
      <c r="M1816" s="76">
        <f>STOCK[[#This Row],[Precio Final]]*10%</f>
        <v>2</v>
      </c>
      <c r="N1816" s="54">
        <v>0</v>
      </c>
      <c r="O1816" s="76">
        <v>0</v>
      </c>
      <c r="P1816" s="76">
        <v>9</v>
      </c>
      <c r="Q1816" s="76">
        <v>0</v>
      </c>
      <c r="R1816" s="78">
        <v>0</v>
      </c>
      <c r="S1816" s="76">
        <v>0</v>
      </c>
      <c r="T1816" s="76">
        <f>STOCK[[#This Row],[Costo Unitario (USD)]]+STOCK[[#This Row],[Costo Envío (USD)]]+STOCK[[#This Row],[Comisión 10%]]</f>
        <v>11</v>
      </c>
      <c r="U1816" s="53">
        <f>STOCK[[#This Row],[Costo total]]*1.5</f>
        <v>16.5</v>
      </c>
      <c r="V1816" s="53">
        <v>20</v>
      </c>
      <c r="W1816" s="76">
        <f>STOCK[[#This Row],[Precio Final]]-STOCK[[#This Row],[Costo total]]</f>
        <v>9</v>
      </c>
      <c r="X1816" s="76">
        <f>STOCK[[#This Row],[Ganancia Unitaria]]*STOCK[[#This Row],[Salidas]]</f>
        <v>0</v>
      </c>
      <c r="Y1816" s="76" t="s">
        <v>3482</v>
      </c>
      <c r="Z1816" s="87"/>
      <c r="AA1816" s="54">
        <f>STOCK[[#This Row],[Costo total]]*STOCK[[#This Row],[Entradas]]</f>
        <v>22</v>
      </c>
      <c r="AB1816" s="54">
        <f>STOCK[[#This Row],[Stock Actual]]*STOCK[[#This Row],[Costo total]]</f>
        <v>22</v>
      </c>
      <c r="AC1816" s="76"/>
      <c r="AD1816" s="94"/>
    </row>
    <row r="1817" s="53" customFormat="1" ht="50" customHeight="1" spans="1:30">
      <c r="A1817" s="92" t="s">
        <v>3601</v>
      </c>
      <c r="B1817" s="83"/>
      <c r="C1817" s="53" t="s">
        <v>32</v>
      </c>
      <c r="D1817" s="84" t="s">
        <v>749</v>
      </c>
      <c r="E1817" s="93" t="s">
        <v>3602</v>
      </c>
      <c r="F1817" s="92" t="s">
        <v>40</v>
      </c>
      <c r="G1817" s="76"/>
      <c r="H1817" s="76">
        <f>STOCK[[#This Row],[Precio Final]]</f>
        <v>25</v>
      </c>
      <c r="I1817" s="80">
        <f>STOCK[[#This Row],[Precio Venta Ideal (x1.5)]]</f>
        <v>17.25</v>
      </c>
      <c r="J1817" s="92">
        <v>1</v>
      </c>
      <c r="K1817" s="78">
        <f>SUMIFS(VENTAS[Cantidad],VENTAS[Código del producto Vendido],STOCK[[#This Row],[Code]])</f>
        <v>0</v>
      </c>
      <c r="L1817" s="78">
        <f>STOCK[[#This Row],[Entradas]]-STOCK[[#This Row],[Salidas]]</f>
        <v>1</v>
      </c>
      <c r="M1817" s="76">
        <f>STOCK[[#This Row],[Precio Final]]*10%</f>
        <v>2.5</v>
      </c>
      <c r="N1817" s="54">
        <v>0</v>
      </c>
      <c r="O1817" s="76">
        <v>0</v>
      </c>
      <c r="P1817" s="76">
        <v>9</v>
      </c>
      <c r="Q1817" s="76">
        <v>0</v>
      </c>
      <c r="R1817" s="78">
        <v>0</v>
      </c>
      <c r="S1817" s="76">
        <v>0</v>
      </c>
      <c r="T1817" s="76">
        <f>STOCK[[#This Row],[Costo Unitario (USD)]]+STOCK[[#This Row],[Costo Envío (USD)]]+STOCK[[#This Row],[Comisión 10%]]</f>
        <v>11.5</v>
      </c>
      <c r="U1817" s="53">
        <f>STOCK[[#This Row],[Costo total]]*1.5</f>
        <v>17.25</v>
      </c>
      <c r="V1817" s="53">
        <v>25</v>
      </c>
      <c r="W1817" s="76">
        <f>STOCK[[#This Row],[Precio Final]]-STOCK[[#This Row],[Costo total]]</f>
        <v>13.5</v>
      </c>
      <c r="X1817" s="76">
        <f>STOCK[[#This Row],[Ganancia Unitaria]]*STOCK[[#This Row],[Salidas]]</f>
        <v>0</v>
      </c>
      <c r="Y1817" s="76" t="s">
        <v>3482</v>
      </c>
      <c r="Z1817" s="87"/>
      <c r="AA1817" s="54">
        <f>STOCK[[#This Row],[Costo total]]*STOCK[[#This Row],[Entradas]]</f>
        <v>11.5</v>
      </c>
      <c r="AB1817" s="54">
        <f>STOCK[[#This Row],[Stock Actual]]*STOCK[[#This Row],[Costo total]]</f>
        <v>11.5</v>
      </c>
      <c r="AC1817" s="76"/>
      <c r="AD1817" s="94"/>
    </row>
    <row r="1818" s="53" customFormat="1" ht="50" customHeight="1" spans="1:30">
      <c r="A1818" s="92" t="s">
        <v>3603</v>
      </c>
      <c r="B1818" s="83"/>
      <c r="C1818" s="53" t="s">
        <v>32</v>
      </c>
      <c r="D1818" s="84" t="s">
        <v>780</v>
      </c>
      <c r="E1818" s="93" t="s">
        <v>3604</v>
      </c>
      <c r="F1818" s="92" t="s">
        <v>49</v>
      </c>
      <c r="G1818" s="76"/>
      <c r="H1818" s="76">
        <f>STOCK[[#This Row],[Precio Final]]</f>
        <v>22</v>
      </c>
      <c r="I1818" s="80">
        <f>STOCK[[#This Row],[Precio Venta Ideal (x1.5)]]</f>
        <v>16.8</v>
      </c>
      <c r="J1818" s="92">
        <v>1</v>
      </c>
      <c r="K1818" s="78">
        <f>SUMIFS(VENTAS[Cantidad],VENTAS[Código del producto Vendido],STOCK[[#This Row],[Code]])</f>
        <v>0</v>
      </c>
      <c r="L1818" s="78">
        <f>STOCK[[#This Row],[Entradas]]-STOCK[[#This Row],[Salidas]]</f>
        <v>1</v>
      </c>
      <c r="M1818" s="76">
        <f>STOCK[[#This Row],[Precio Final]]*10%</f>
        <v>2.2</v>
      </c>
      <c r="N1818" s="54">
        <v>0</v>
      </c>
      <c r="O1818" s="76">
        <v>0</v>
      </c>
      <c r="P1818" s="76">
        <v>9</v>
      </c>
      <c r="Q1818" s="76">
        <v>0</v>
      </c>
      <c r="R1818" s="78">
        <v>0</v>
      </c>
      <c r="S1818" s="76">
        <v>0</v>
      </c>
      <c r="T1818" s="76">
        <f>STOCK[[#This Row],[Costo Unitario (USD)]]+STOCK[[#This Row],[Costo Envío (USD)]]+STOCK[[#This Row],[Comisión 10%]]</f>
        <v>11.2</v>
      </c>
      <c r="U1818" s="53">
        <f>STOCK[[#This Row],[Costo total]]*1.5</f>
        <v>16.8</v>
      </c>
      <c r="V1818" s="53">
        <v>22</v>
      </c>
      <c r="W1818" s="76">
        <f>STOCK[[#This Row],[Precio Final]]-STOCK[[#This Row],[Costo total]]</f>
        <v>10.8</v>
      </c>
      <c r="X1818" s="76">
        <f>STOCK[[#This Row],[Ganancia Unitaria]]*STOCK[[#This Row],[Salidas]]</f>
        <v>0</v>
      </c>
      <c r="Y1818" s="76" t="s">
        <v>3482</v>
      </c>
      <c r="Z1818" s="87"/>
      <c r="AA1818" s="54">
        <f>STOCK[[#This Row],[Costo total]]*STOCK[[#This Row],[Entradas]]</f>
        <v>11.2</v>
      </c>
      <c r="AB1818" s="54">
        <f>STOCK[[#This Row],[Stock Actual]]*STOCK[[#This Row],[Costo total]]</f>
        <v>11.2</v>
      </c>
      <c r="AC1818" s="76"/>
      <c r="AD1818" s="94"/>
    </row>
    <row r="1819" s="53" customFormat="1" ht="50" customHeight="1" spans="1:30">
      <c r="A1819" s="92" t="s">
        <v>3605</v>
      </c>
      <c r="B1819" s="83"/>
      <c r="C1819" s="53" t="s">
        <v>32</v>
      </c>
      <c r="D1819" s="84" t="s">
        <v>780</v>
      </c>
      <c r="E1819" s="93" t="s">
        <v>3604</v>
      </c>
      <c r="F1819" s="92" t="s">
        <v>1408</v>
      </c>
      <c r="G1819" s="76"/>
      <c r="H1819" s="76">
        <f>STOCK[[#This Row],[Precio Final]]</f>
        <v>22</v>
      </c>
      <c r="I1819" s="80">
        <f>STOCK[[#This Row],[Precio Venta Ideal (x1.5)]]</f>
        <v>16.8</v>
      </c>
      <c r="J1819" s="92">
        <v>1</v>
      </c>
      <c r="K1819" s="78">
        <f>SUMIFS(VENTAS[Cantidad],VENTAS[Código del producto Vendido],STOCK[[#This Row],[Code]])</f>
        <v>0</v>
      </c>
      <c r="L1819" s="78">
        <f>STOCK[[#This Row],[Entradas]]-STOCK[[#This Row],[Salidas]]</f>
        <v>1</v>
      </c>
      <c r="M1819" s="76">
        <f>STOCK[[#This Row],[Precio Final]]*10%</f>
        <v>2.2</v>
      </c>
      <c r="N1819" s="54">
        <v>0</v>
      </c>
      <c r="O1819" s="76">
        <v>0</v>
      </c>
      <c r="P1819" s="76">
        <v>9</v>
      </c>
      <c r="Q1819" s="76">
        <v>0</v>
      </c>
      <c r="R1819" s="78">
        <v>0</v>
      </c>
      <c r="S1819" s="76">
        <v>0</v>
      </c>
      <c r="T1819" s="76">
        <f>STOCK[[#This Row],[Costo Unitario (USD)]]+STOCK[[#This Row],[Costo Envío (USD)]]+STOCK[[#This Row],[Comisión 10%]]</f>
        <v>11.2</v>
      </c>
      <c r="U1819" s="53">
        <f>STOCK[[#This Row],[Costo total]]*1.5</f>
        <v>16.8</v>
      </c>
      <c r="V1819" s="53">
        <v>22</v>
      </c>
      <c r="W1819" s="76">
        <f>STOCK[[#This Row],[Precio Final]]-STOCK[[#This Row],[Costo total]]</f>
        <v>10.8</v>
      </c>
      <c r="X1819" s="76">
        <f>STOCK[[#This Row],[Ganancia Unitaria]]*STOCK[[#This Row],[Salidas]]</f>
        <v>0</v>
      </c>
      <c r="Y1819" s="76" t="s">
        <v>3482</v>
      </c>
      <c r="Z1819" s="87"/>
      <c r="AA1819" s="54">
        <f>STOCK[[#This Row],[Costo total]]*STOCK[[#This Row],[Entradas]]</f>
        <v>11.2</v>
      </c>
      <c r="AB1819" s="54">
        <f>STOCK[[#This Row],[Stock Actual]]*STOCK[[#This Row],[Costo total]]</f>
        <v>11.2</v>
      </c>
      <c r="AC1819" s="76"/>
      <c r="AD1819" s="94"/>
    </row>
    <row r="1820" s="53" customFormat="1" ht="50" customHeight="1" spans="1:30">
      <c r="A1820" s="92" t="s">
        <v>3606</v>
      </c>
      <c r="B1820" s="83"/>
      <c r="C1820" s="53" t="s">
        <v>32</v>
      </c>
      <c r="D1820" s="84" t="s">
        <v>780</v>
      </c>
      <c r="E1820" s="93" t="s">
        <v>3604</v>
      </c>
      <c r="F1820" s="92" t="s">
        <v>819</v>
      </c>
      <c r="G1820" s="76"/>
      <c r="H1820" s="76">
        <f>STOCK[[#This Row],[Precio Final]]</f>
        <v>22</v>
      </c>
      <c r="I1820" s="80">
        <f>STOCK[[#This Row],[Precio Venta Ideal (x1.5)]]</f>
        <v>16.8</v>
      </c>
      <c r="J1820" s="92">
        <v>1</v>
      </c>
      <c r="K1820" s="78">
        <f>SUMIFS(VENTAS[Cantidad],VENTAS[Código del producto Vendido],STOCK[[#This Row],[Code]])</f>
        <v>0</v>
      </c>
      <c r="L1820" s="78">
        <f>STOCK[[#This Row],[Entradas]]-STOCK[[#This Row],[Salidas]]</f>
        <v>1</v>
      </c>
      <c r="M1820" s="76">
        <f>STOCK[[#This Row],[Precio Final]]*10%</f>
        <v>2.2</v>
      </c>
      <c r="N1820" s="54">
        <v>0</v>
      </c>
      <c r="O1820" s="76">
        <v>0</v>
      </c>
      <c r="P1820" s="76">
        <v>9</v>
      </c>
      <c r="Q1820" s="76">
        <v>0</v>
      </c>
      <c r="R1820" s="78">
        <v>0</v>
      </c>
      <c r="S1820" s="76">
        <v>0</v>
      </c>
      <c r="T1820" s="76">
        <f>STOCK[[#This Row],[Costo Unitario (USD)]]+STOCK[[#This Row],[Costo Envío (USD)]]+STOCK[[#This Row],[Comisión 10%]]</f>
        <v>11.2</v>
      </c>
      <c r="U1820" s="53">
        <f>STOCK[[#This Row],[Costo total]]*1.5</f>
        <v>16.8</v>
      </c>
      <c r="V1820" s="53">
        <v>22</v>
      </c>
      <c r="W1820" s="76">
        <f>STOCK[[#This Row],[Precio Final]]-STOCK[[#This Row],[Costo total]]</f>
        <v>10.8</v>
      </c>
      <c r="X1820" s="76">
        <f>STOCK[[#This Row],[Ganancia Unitaria]]*STOCK[[#This Row],[Salidas]]</f>
        <v>0</v>
      </c>
      <c r="Y1820" s="76" t="s">
        <v>3482</v>
      </c>
      <c r="Z1820" s="87"/>
      <c r="AA1820" s="54">
        <f>STOCK[[#This Row],[Costo total]]*STOCK[[#This Row],[Entradas]]</f>
        <v>11.2</v>
      </c>
      <c r="AB1820" s="54">
        <f>STOCK[[#This Row],[Stock Actual]]*STOCK[[#This Row],[Costo total]]</f>
        <v>11.2</v>
      </c>
      <c r="AC1820" s="76"/>
      <c r="AD1820" s="94"/>
    </row>
    <row r="1821" s="53" customFormat="1" ht="50" customHeight="1" spans="1:30">
      <c r="A1821" s="92" t="s">
        <v>3607</v>
      </c>
      <c r="B1821" s="83"/>
      <c r="C1821" s="53" t="s">
        <v>32</v>
      </c>
      <c r="D1821" s="84" t="s">
        <v>749</v>
      </c>
      <c r="E1821" s="93" t="s">
        <v>3608</v>
      </c>
      <c r="F1821" s="92" t="s">
        <v>716</v>
      </c>
      <c r="G1821" s="76"/>
      <c r="H1821" s="76">
        <f>STOCK[[#This Row],[Precio Final]]</f>
        <v>30</v>
      </c>
      <c r="I1821" s="80">
        <f>STOCK[[#This Row],[Precio Venta Ideal (x1.5)]]</f>
        <v>18</v>
      </c>
      <c r="J1821" s="92">
        <v>3</v>
      </c>
      <c r="K1821" s="78">
        <f>SUMIFS(VENTAS[Cantidad],VENTAS[Código del producto Vendido],STOCK[[#This Row],[Code]])</f>
        <v>0</v>
      </c>
      <c r="L1821" s="78">
        <f>STOCK[[#This Row],[Entradas]]-STOCK[[#This Row],[Salidas]]</f>
        <v>3</v>
      </c>
      <c r="M1821" s="76">
        <f>STOCK[[#This Row],[Precio Final]]*10%</f>
        <v>3</v>
      </c>
      <c r="N1821" s="54">
        <v>0</v>
      </c>
      <c r="O1821" s="76">
        <v>0</v>
      </c>
      <c r="P1821" s="76">
        <v>9</v>
      </c>
      <c r="Q1821" s="76">
        <v>0</v>
      </c>
      <c r="R1821" s="78">
        <v>0</v>
      </c>
      <c r="S1821" s="76">
        <v>0</v>
      </c>
      <c r="T1821" s="76">
        <f>STOCK[[#This Row],[Costo Unitario (USD)]]+STOCK[[#This Row],[Costo Envío (USD)]]+STOCK[[#This Row],[Comisión 10%]]</f>
        <v>12</v>
      </c>
      <c r="U1821" s="53">
        <f>STOCK[[#This Row],[Costo total]]*1.5</f>
        <v>18</v>
      </c>
      <c r="V1821" s="53">
        <v>30</v>
      </c>
      <c r="W1821" s="76">
        <f>STOCK[[#This Row],[Precio Final]]-STOCK[[#This Row],[Costo total]]</f>
        <v>18</v>
      </c>
      <c r="X1821" s="76">
        <f>STOCK[[#This Row],[Ganancia Unitaria]]*STOCK[[#This Row],[Salidas]]</f>
        <v>0</v>
      </c>
      <c r="Y1821" s="76" t="s">
        <v>3482</v>
      </c>
      <c r="Z1821" s="87"/>
      <c r="AA1821" s="54">
        <f>STOCK[[#This Row],[Costo total]]*STOCK[[#This Row],[Entradas]]</f>
        <v>36</v>
      </c>
      <c r="AB1821" s="54">
        <f>STOCK[[#This Row],[Stock Actual]]*STOCK[[#This Row],[Costo total]]</f>
        <v>36</v>
      </c>
      <c r="AC1821" s="76"/>
      <c r="AD1821" s="94"/>
    </row>
    <row r="1822" s="53" customFormat="1" ht="50" customHeight="1" spans="1:30">
      <c r="A1822" s="92" t="s">
        <v>3609</v>
      </c>
      <c r="B1822" s="83"/>
      <c r="C1822" s="53" t="s">
        <v>32</v>
      </c>
      <c r="D1822" s="84" t="s">
        <v>1388</v>
      </c>
      <c r="E1822" s="93" t="s">
        <v>3610</v>
      </c>
      <c r="F1822" s="92" t="s">
        <v>49</v>
      </c>
      <c r="G1822" s="76"/>
      <c r="H1822" s="76">
        <f>STOCK[[#This Row],[Precio Final]]</f>
        <v>30</v>
      </c>
      <c r="I1822" s="80">
        <f>STOCK[[#This Row],[Precio Venta Ideal (x1.5)]]</f>
        <v>18</v>
      </c>
      <c r="J1822" s="92">
        <v>3</v>
      </c>
      <c r="K1822" s="78">
        <f>SUMIFS(VENTAS[Cantidad],VENTAS[Código del producto Vendido],STOCK[[#This Row],[Code]])</f>
        <v>0</v>
      </c>
      <c r="L1822" s="78">
        <f>STOCK[[#This Row],[Entradas]]-STOCK[[#This Row],[Salidas]]</f>
        <v>3</v>
      </c>
      <c r="M1822" s="76">
        <f>STOCK[[#This Row],[Precio Final]]*10%</f>
        <v>3</v>
      </c>
      <c r="N1822" s="54">
        <v>0</v>
      </c>
      <c r="O1822" s="76">
        <v>0</v>
      </c>
      <c r="P1822" s="76">
        <v>9</v>
      </c>
      <c r="Q1822" s="76">
        <v>0</v>
      </c>
      <c r="R1822" s="78">
        <v>0</v>
      </c>
      <c r="S1822" s="76">
        <v>0</v>
      </c>
      <c r="T1822" s="76">
        <f>STOCK[[#This Row],[Costo Unitario (USD)]]+STOCK[[#This Row],[Costo Envío (USD)]]+STOCK[[#This Row],[Comisión 10%]]</f>
        <v>12</v>
      </c>
      <c r="U1822" s="53">
        <f>STOCK[[#This Row],[Costo total]]*1.5</f>
        <v>18</v>
      </c>
      <c r="V1822" s="53">
        <v>30</v>
      </c>
      <c r="W1822" s="76">
        <f>STOCK[[#This Row],[Precio Final]]-STOCK[[#This Row],[Costo total]]</f>
        <v>18</v>
      </c>
      <c r="X1822" s="76">
        <f>STOCK[[#This Row],[Ganancia Unitaria]]*STOCK[[#This Row],[Salidas]]</f>
        <v>0</v>
      </c>
      <c r="Y1822" s="76" t="s">
        <v>3482</v>
      </c>
      <c r="Z1822" s="87"/>
      <c r="AA1822" s="54">
        <f>STOCK[[#This Row],[Costo total]]*STOCK[[#This Row],[Entradas]]</f>
        <v>36</v>
      </c>
      <c r="AB1822" s="54">
        <f>STOCK[[#This Row],[Stock Actual]]*STOCK[[#This Row],[Costo total]]</f>
        <v>36</v>
      </c>
      <c r="AC1822" s="76"/>
      <c r="AD1822" s="94"/>
    </row>
    <row r="1823" s="53" customFormat="1" ht="50" customHeight="1" spans="1:30">
      <c r="A1823" s="92" t="s">
        <v>3611</v>
      </c>
      <c r="B1823" s="83"/>
      <c r="C1823" s="53" t="s">
        <v>32</v>
      </c>
      <c r="D1823" s="84" t="s">
        <v>749</v>
      </c>
      <c r="E1823" s="93" t="s">
        <v>3612</v>
      </c>
      <c r="F1823" s="92" t="s">
        <v>716</v>
      </c>
      <c r="G1823" s="76"/>
      <c r="H1823" s="76">
        <f>STOCK[[#This Row],[Precio Final]]</f>
        <v>15</v>
      </c>
      <c r="I1823" s="80">
        <f>STOCK[[#This Row],[Precio Venta Ideal (x1.5)]]</f>
        <v>15.75</v>
      </c>
      <c r="J1823" s="92">
        <v>2</v>
      </c>
      <c r="K1823" s="78">
        <f>SUMIFS(VENTAS[Cantidad],VENTAS[Código del producto Vendido],STOCK[[#This Row],[Code]])</f>
        <v>0</v>
      </c>
      <c r="L1823" s="78">
        <f>STOCK[[#This Row],[Entradas]]-STOCK[[#This Row],[Salidas]]</f>
        <v>2</v>
      </c>
      <c r="M1823" s="76">
        <f>STOCK[[#This Row],[Precio Final]]*10%</f>
        <v>1.5</v>
      </c>
      <c r="N1823" s="54">
        <v>0</v>
      </c>
      <c r="O1823" s="76">
        <v>0</v>
      </c>
      <c r="P1823" s="76">
        <v>9</v>
      </c>
      <c r="Q1823" s="76">
        <v>0</v>
      </c>
      <c r="R1823" s="78">
        <v>0</v>
      </c>
      <c r="S1823" s="76">
        <v>0</v>
      </c>
      <c r="T1823" s="76">
        <f>STOCK[[#This Row],[Costo Unitario (USD)]]+STOCK[[#This Row],[Costo Envío (USD)]]+STOCK[[#This Row],[Comisión 10%]]</f>
        <v>10.5</v>
      </c>
      <c r="U1823" s="53">
        <f>STOCK[[#This Row],[Costo total]]*1.5</f>
        <v>15.75</v>
      </c>
      <c r="V1823" s="53">
        <v>15</v>
      </c>
      <c r="W1823" s="76">
        <f>STOCK[[#This Row],[Precio Final]]-STOCK[[#This Row],[Costo total]]</f>
        <v>4.5</v>
      </c>
      <c r="X1823" s="76">
        <f>STOCK[[#This Row],[Ganancia Unitaria]]*STOCK[[#This Row],[Salidas]]</f>
        <v>0</v>
      </c>
      <c r="Y1823" s="76" t="s">
        <v>3482</v>
      </c>
      <c r="Z1823" s="87"/>
      <c r="AA1823" s="54">
        <f>STOCK[[#This Row],[Costo total]]*STOCK[[#This Row],[Entradas]]</f>
        <v>21</v>
      </c>
      <c r="AB1823" s="54">
        <f>STOCK[[#This Row],[Stock Actual]]*STOCK[[#This Row],[Costo total]]</f>
        <v>21</v>
      </c>
      <c r="AC1823" s="76"/>
      <c r="AD1823" s="94"/>
    </row>
    <row r="1824" s="53" customFormat="1" ht="50" customHeight="1" spans="1:30">
      <c r="A1824" s="92" t="s">
        <v>3613</v>
      </c>
      <c r="B1824" s="83"/>
      <c r="C1824" s="53" t="s">
        <v>32</v>
      </c>
      <c r="D1824" s="84" t="s">
        <v>780</v>
      </c>
      <c r="E1824" s="93" t="s">
        <v>3614</v>
      </c>
      <c r="F1824" s="92" t="s">
        <v>46</v>
      </c>
      <c r="G1824" s="76"/>
      <c r="H1824" s="76">
        <f>STOCK[[#This Row],[Precio Final]]</f>
        <v>18</v>
      </c>
      <c r="I1824" s="80">
        <f>STOCK[[#This Row],[Precio Venta Ideal (x1.5)]]</f>
        <v>16.2</v>
      </c>
      <c r="J1824" s="92">
        <v>2</v>
      </c>
      <c r="K1824" s="78">
        <f>SUMIFS(VENTAS[Cantidad],VENTAS[Código del producto Vendido],STOCK[[#This Row],[Code]])</f>
        <v>0</v>
      </c>
      <c r="L1824" s="78">
        <f>STOCK[[#This Row],[Entradas]]-STOCK[[#This Row],[Salidas]]</f>
        <v>2</v>
      </c>
      <c r="M1824" s="76">
        <f>STOCK[[#This Row],[Precio Final]]*10%</f>
        <v>1.8</v>
      </c>
      <c r="N1824" s="54">
        <v>0</v>
      </c>
      <c r="O1824" s="76">
        <v>0</v>
      </c>
      <c r="P1824" s="76">
        <v>9</v>
      </c>
      <c r="Q1824" s="76">
        <v>0</v>
      </c>
      <c r="R1824" s="78">
        <v>0</v>
      </c>
      <c r="S1824" s="76">
        <v>0</v>
      </c>
      <c r="T1824" s="76">
        <f>STOCK[[#This Row],[Costo Unitario (USD)]]+STOCK[[#This Row],[Costo Envío (USD)]]+STOCK[[#This Row],[Comisión 10%]]</f>
        <v>10.8</v>
      </c>
      <c r="U1824" s="53">
        <f>STOCK[[#This Row],[Costo total]]*1.5</f>
        <v>16.2</v>
      </c>
      <c r="V1824" s="53">
        <v>18</v>
      </c>
      <c r="W1824" s="76">
        <f>STOCK[[#This Row],[Precio Final]]-STOCK[[#This Row],[Costo total]]</f>
        <v>7.2</v>
      </c>
      <c r="X1824" s="76">
        <f>STOCK[[#This Row],[Ganancia Unitaria]]*STOCK[[#This Row],[Salidas]]</f>
        <v>0</v>
      </c>
      <c r="Y1824" s="76" t="s">
        <v>3482</v>
      </c>
      <c r="Z1824" s="87"/>
      <c r="AA1824" s="54">
        <f>STOCK[[#This Row],[Costo total]]*STOCK[[#This Row],[Entradas]]</f>
        <v>21.6</v>
      </c>
      <c r="AB1824" s="54">
        <f>STOCK[[#This Row],[Stock Actual]]*STOCK[[#This Row],[Costo total]]</f>
        <v>21.6</v>
      </c>
      <c r="AC1824" s="76"/>
      <c r="AD1824" s="94"/>
    </row>
    <row r="1825" s="53" customFormat="1" ht="50" customHeight="1" spans="1:30">
      <c r="A1825" s="92" t="s">
        <v>3615</v>
      </c>
      <c r="B1825" s="83"/>
      <c r="C1825" s="53" t="s">
        <v>32</v>
      </c>
      <c r="D1825" s="84" t="s">
        <v>780</v>
      </c>
      <c r="E1825" s="93" t="s">
        <v>3616</v>
      </c>
      <c r="F1825" s="92" t="s">
        <v>49</v>
      </c>
      <c r="G1825" s="76"/>
      <c r="H1825" s="76">
        <f>STOCK[[#This Row],[Precio Final]]</f>
        <v>15</v>
      </c>
      <c r="I1825" s="80">
        <f>STOCK[[#This Row],[Precio Venta Ideal (x1.5)]]</f>
        <v>15.75</v>
      </c>
      <c r="J1825" s="92">
        <v>1</v>
      </c>
      <c r="K1825" s="78">
        <f>SUMIFS(VENTAS[Cantidad],VENTAS[Código del producto Vendido],STOCK[[#This Row],[Code]])</f>
        <v>0</v>
      </c>
      <c r="L1825" s="78">
        <f>STOCK[[#This Row],[Entradas]]-STOCK[[#This Row],[Salidas]]</f>
        <v>1</v>
      </c>
      <c r="M1825" s="76">
        <f>STOCK[[#This Row],[Precio Final]]*10%</f>
        <v>1.5</v>
      </c>
      <c r="N1825" s="54">
        <v>0</v>
      </c>
      <c r="O1825" s="76">
        <v>0</v>
      </c>
      <c r="P1825" s="76">
        <v>9</v>
      </c>
      <c r="Q1825" s="76">
        <v>0</v>
      </c>
      <c r="R1825" s="78">
        <v>0</v>
      </c>
      <c r="S1825" s="76">
        <v>0</v>
      </c>
      <c r="T1825" s="76">
        <f>STOCK[[#This Row],[Costo Unitario (USD)]]+STOCK[[#This Row],[Costo Envío (USD)]]+STOCK[[#This Row],[Comisión 10%]]</f>
        <v>10.5</v>
      </c>
      <c r="U1825" s="53">
        <f>STOCK[[#This Row],[Costo total]]*1.5</f>
        <v>15.75</v>
      </c>
      <c r="V1825" s="53">
        <v>15</v>
      </c>
      <c r="W1825" s="76">
        <f>STOCK[[#This Row],[Precio Final]]-STOCK[[#This Row],[Costo total]]</f>
        <v>4.5</v>
      </c>
      <c r="X1825" s="76">
        <f>STOCK[[#This Row],[Ganancia Unitaria]]*STOCK[[#This Row],[Salidas]]</f>
        <v>0</v>
      </c>
      <c r="Y1825" s="76" t="s">
        <v>3482</v>
      </c>
      <c r="Z1825" s="87"/>
      <c r="AA1825" s="54">
        <f>STOCK[[#This Row],[Costo total]]*STOCK[[#This Row],[Entradas]]</f>
        <v>10.5</v>
      </c>
      <c r="AB1825" s="54">
        <f>STOCK[[#This Row],[Stock Actual]]*STOCK[[#This Row],[Costo total]]</f>
        <v>10.5</v>
      </c>
      <c r="AC1825" s="76"/>
      <c r="AD1825" s="94"/>
    </row>
    <row r="1826" s="53" customFormat="1" ht="50" customHeight="1" spans="1:30">
      <c r="A1826" s="92" t="s">
        <v>3617</v>
      </c>
      <c r="B1826" s="83"/>
      <c r="C1826" s="53" t="s">
        <v>32</v>
      </c>
      <c r="D1826" s="84" t="s">
        <v>749</v>
      </c>
      <c r="E1826" s="93" t="s">
        <v>3207</v>
      </c>
      <c r="F1826" s="92" t="s">
        <v>62</v>
      </c>
      <c r="G1826" s="76"/>
      <c r="H1826" s="76">
        <f>STOCK[[#This Row],[Precio Final]]</f>
        <v>20</v>
      </c>
      <c r="I1826" s="80">
        <f>STOCK[[#This Row],[Precio Venta Ideal (x1.5)]]</f>
        <v>16.5</v>
      </c>
      <c r="J1826" s="92">
        <v>2</v>
      </c>
      <c r="K1826" s="78">
        <f>SUMIFS(VENTAS[Cantidad],VENTAS[Código del producto Vendido],STOCK[[#This Row],[Code]])</f>
        <v>0</v>
      </c>
      <c r="L1826" s="78">
        <f>STOCK[[#This Row],[Entradas]]-STOCK[[#This Row],[Salidas]]</f>
        <v>2</v>
      </c>
      <c r="M1826" s="76">
        <f>STOCK[[#This Row],[Precio Final]]*10%</f>
        <v>2</v>
      </c>
      <c r="N1826" s="54">
        <v>0</v>
      </c>
      <c r="O1826" s="76">
        <v>0</v>
      </c>
      <c r="P1826" s="76">
        <v>9</v>
      </c>
      <c r="Q1826" s="76">
        <v>0</v>
      </c>
      <c r="R1826" s="78">
        <v>0</v>
      </c>
      <c r="S1826" s="76">
        <v>0</v>
      </c>
      <c r="T1826" s="76">
        <f>STOCK[[#This Row],[Costo Unitario (USD)]]+STOCK[[#This Row],[Costo Envío (USD)]]+STOCK[[#This Row],[Comisión 10%]]</f>
        <v>11</v>
      </c>
      <c r="U1826" s="53">
        <f>STOCK[[#This Row],[Costo total]]*1.5</f>
        <v>16.5</v>
      </c>
      <c r="V1826" s="53">
        <v>20</v>
      </c>
      <c r="W1826" s="76">
        <f>STOCK[[#This Row],[Precio Final]]-STOCK[[#This Row],[Costo total]]</f>
        <v>9</v>
      </c>
      <c r="X1826" s="76">
        <f>STOCK[[#This Row],[Ganancia Unitaria]]*STOCK[[#This Row],[Salidas]]</f>
        <v>0</v>
      </c>
      <c r="Y1826" s="76" t="s">
        <v>3482</v>
      </c>
      <c r="Z1826" s="87"/>
      <c r="AA1826" s="54">
        <f>STOCK[[#This Row],[Costo total]]*STOCK[[#This Row],[Entradas]]</f>
        <v>22</v>
      </c>
      <c r="AB1826" s="54">
        <f>STOCK[[#This Row],[Stock Actual]]*STOCK[[#This Row],[Costo total]]</f>
        <v>22</v>
      </c>
      <c r="AC1826" s="76"/>
      <c r="AD1826" s="94"/>
    </row>
    <row r="1827" s="53" customFormat="1" ht="50" customHeight="1" spans="1:30">
      <c r="A1827" s="92" t="s">
        <v>3618</v>
      </c>
      <c r="B1827" s="83"/>
      <c r="C1827" s="53" t="s">
        <v>32</v>
      </c>
      <c r="D1827" s="84" t="s">
        <v>749</v>
      </c>
      <c r="E1827" s="93" t="s">
        <v>3207</v>
      </c>
      <c r="F1827" s="92" t="s">
        <v>42</v>
      </c>
      <c r="G1827" s="76"/>
      <c r="H1827" s="76">
        <f>STOCK[[#This Row],[Precio Final]]</f>
        <v>20</v>
      </c>
      <c r="I1827" s="80">
        <f>STOCK[[#This Row],[Precio Venta Ideal (x1.5)]]</f>
        <v>16.5</v>
      </c>
      <c r="J1827" s="92">
        <v>1</v>
      </c>
      <c r="K1827" s="78">
        <f>SUMIFS(VENTAS[Cantidad],VENTAS[Código del producto Vendido],STOCK[[#This Row],[Code]])</f>
        <v>0</v>
      </c>
      <c r="L1827" s="78">
        <f>STOCK[[#This Row],[Entradas]]-STOCK[[#This Row],[Salidas]]</f>
        <v>1</v>
      </c>
      <c r="M1827" s="76">
        <f>STOCK[[#This Row],[Precio Final]]*10%</f>
        <v>2</v>
      </c>
      <c r="N1827" s="54">
        <v>0</v>
      </c>
      <c r="O1827" s="76">
        <v>0</v>
      </c>
      <c r="P1827" s="76">
        <v>9</v>
      </c>
      <c r="Q1827" s="76">
        <v>0</v>
      </c>
      <c r="R1827" s="78">
        <v>0</v>
      </c>
      <c r="S1827" s="76">
        <v>0</v>
      </c>
      <c r="T1827" s="76">
        <f>STOCK[[#This Row],[Costo Unitario (USD)]]+STOCK[[#This Row],[Costo Envío (USD)]]+STOCK[[#This Row],[Comisión 10%]]</f>
        <v>11</v>
      </c>
      <c r="U1827" s="53">
        <f>STOCK[[#This Row],[Costo total]]*1.5</f>
        <v>16.5</v>
      </c>
      <c r="V1827" s="53">
        <v>20</v>
      </c>
      <c r="W1827" s="76">
        <f>STOCK[[#This Row],[Precio Final]]-STOCK[[#This Row],[Costo total]]</f>
        <v>9</v>
      </c>
      <c r="X1827" s="76">
        <f>STOCK[[#This Row],[Ganancia Unitaria]]*STOCK[[#This Row],[Salidas]]</f>
        <v>0</v>
      </c>
      <c r="Y1827" s="76" t="s">
        <v>3482</v>
      </c>
      <c r="Z1827" s="87"/>
      <c r="AA1827" s="54">
        <f>STOCK[[#This Row],[Costo total]]*STOCK[[#This Row],[Entradas]]</f>
        <v>11</v>
      </c>
      <c r="AB1827" s="54">
        <f>STOCK[[#This Row],[Stock Actual]]*STOCK[[#This Row],[Costo total]]</f>
        <v>11</v>
      </c>
      <c r="AC1827" s="76"/>
      <c r="AD1827" s="94"/>
    </row>
    <row r="1828" s="53" customFormat="1" ht="50" customHeight="1" spans="1:30">
      <c r="A1828" s="92" t="s">
        <v>3619</v>
      </c>
      <c r="B1828" s="83"/>
      <c r="C1828" s="53" t="s">
        <v>32</v>
      </c>
      <c r="D1828" s="84" t="s">
        <v>749</v>
      </c>
      <c r="E1828" s="93" t="s">
        <v>3620</v>
      </c>
      <c r="F1828" s="92" t="s">
        <v>62</v>
      </c>
      <c r="G1828" s="76"/>
      <c r="H1828" s="76">
        <f>STOCK[[#This Row],[Precio Final]]</f>
        <v>25</v>
      </c>
      <c r="I1828" s="80">
        <f>STOCK[[#This Row],[Precio Venta Ideal (x1.5)]]</f>
        <v>17.25</v>
      </c>
      <c r="J1828" s="92">
        <v>1</v>
      </c>
      <c r="K1828" s="78">
        <f>SUMIFS(VENTAS[Cantidad],VENTAS[Código del producto Vendido],STOCK[[#This Row],[Code]])</f>
        <v>0</v>
      </c>
      <c r="L1828" s="78">
        <f>STOCK[[#This Row],[Entradas]]-STOCK[[#This Row],[Salidas]]</f>
        <v>1</v>
      </c>
      <c r="M1828" s="76">
        <f>STOCK[[#This Row],[Precio Final]]*10%</f>
        <v>2.5</v>
      </c>
      <c r="N1828" s="54">
        <v>0</v>
      </c>
      <c r="O1828" s="76">
        <v>0</v>
      </c>
      <c r="P1828" s="76">
        <v>9</v>
      </c>
      <c r="Q1828" s="76">
        <v>0</v>
      </c>
      <c r="R1828" s="78">
        <v>0</v>
      </c>
      <c r="S1828" s="76">
        <v>0</v>
      </c>
      <c r="T1828" s="76">
        <f>STOCK[[#This Row],[Costo Unitario (USD)]]+STOCK[[#This Row],[Costo Envío (USD)]]+STOCK[[#This Row],[Comisión 10%]]</f>
        <v>11.5</v>
      </c>
      <c r="U1828" s="53">
        <f>STOCK[[#This Row],[Costo total]]*1.5</f>
        <v>17.25</v>
      </c>
      <c r="V1828" s="53">
        <v>25</v>
      </c>
      <c r="W1828" s="76">
        <f>STOCK[[#This Row],[Precio Final]]-STOCK[[#This Row],[Costo total]]</f>
        <v>13.5</v>
      </c>
      <c r="X1828" s="76">
        <f>STOCK[[#This Row],[Ganancia Unitaria]]*STOCK[[#This Row],[Salidas]]</f>
        <v>0</v>
      </c>
      <c r="Y1828" s="76" t="s">
        <v>3482</v>
      </c>
      <c r="Z1828" s="87"/>
      <c r="AA1828" s="54">
        <f>STOCK[[#This Row],[Costo total]]*STOCK[[#This Row],[Entradas]]</f>
        <v>11.5</v>
      </c>
      <c r="AB1828" s="54">
        <f>STOCK[[#This Row],[Stock Actual]]*STOCK[[#This Row],[Costo total]]</f>
        <v>11.5</v>
      </c>
      <c r="AC1828" s="76"/>
      <c r="AD1828" s="94"/>
    </row>
    <row r="1829" s="53" customFormat="1" ht="50" customHeight="1" spans="1:30">
      <c r="A1829" s="92" t="s">
        <v>3621</v>
      </c>
      <c r="B1829" s="83"/>
      <c r="C1829" s="53" t="s">
        <v>32</v>
      </c>
      <c r="D1829" s="84" t="s">
        <v>749</v>
      </c>
      <c r="E1829" s="93" t="s">
        <v>3622</v>
      </c>
      <c r="F1829" s="92" t="s">
        <v>716</v>
      </c>
      <c r="G1829" s="76"/>
      <c r="H1829" s="76">
        <f>STOCK[[#This Row],[Precio Final]]</f>
        <v>30</v>
      </c>
      <c r="I1829" s="80">
        <f>STOCK[[#This Row],[Precio Venta Ideal (x1.5)]]</f>
        <v>18</v>
      </c>
      <c r="J1829" s="92">
        <v>1</v>
      </c>
      <c r="K1829" s="78">
        <f>SUMIFS(VENTAS[Cantidad],VENTAS[Código del producto Vendido],STOCK[[#This Row],[Code]])</f>
        <v>0</v>
      </c>
      <c r="L1829" s="78">
        <f>STOCK[[#This Row],[Entradas]]-STOCK[[#This Row],[Salidas]]</f>
        <v>1</v>
      </c>
      <c r="M1829" s="76">
        <f>STOCK[[#This Row],[Precio Final]]*10%</f>
        <v>3</v>
      </c>
      <c r="N1829" s="54">
        <v>0</v>
      </c>
      <c r="O1829" s="76">
        <v>0</v>
      </c>
      <c r="P1829" s="76">
        <v>9</v>
      </c>
      <c r="Q1829" s="76">
        <v>0</v>
      </c>
      <c r="R1829" s="78">
        <v>0</v>
      </c>
      <c r="S1829" s="76">
        <v>0</v>
      </c>
      <c r="T1829" s="76">
        <f>STOCK[[#This Row],[Costo Unitario (USD)]]+STOCK[[#This Row],[Costo Envío (USD)]]+STOCK[[#This Row],[Comisión 10%]]</f>
        <v>12</v>
      </c>
      <c r="U1829" s="53">
        <f>STOCK[[#This Row],[Costo total]]*1.5</f>
        <v>18</v>
      </c>
      <c r="V1829" s="53">
        <v>30</v>
      </c>
      <c r="W1829" s="76">
        <f>STOCK[[#This Row],[Precio Final]]-STOCK[[#This Row],[Costo total]]</f>
        <v>18</v>
      </c>
      <c r="X1829" s="76">
        <f>STOCK[[#This Row],[Ganancia Unitaria]]*STOCK[[#This Row],[Salidas]]</f>
        <v>0</v>
      </c>
      <c r="Y1829" s="76" t="s">
        <v>3482</v>
      </c>
      <c r="Z1829" s="87"/>
      <c r="AA1829" s="54">
        <f>STOCK[[#This Row],[Costo total]]*STOCK[[#This Row],[Entradas]]</f>
        <v>12</v>
      </c>
      <c r="AB1829" s="54">
        <f>STOCK[[#This Row],[Stock Actual]]*STOCK[[#This Row],[Costo total]]</f>
        <v>12</v>
      </c>
      <c r="AC1829" s="76"/>
      <c r="AD1829" s="94"/>
    </row>
    <row r="1830" s="53" customFormat="1" ht="50" customHeight="1" spans="1:30">
      <c r="A1830" s="92" t="s">
        <v>3623</v>
      </c>
      <c r="B1830" s="83"/>
      <c r="C1830" s="53" t="s">
        <v>32</v>
      </c>
      <c r="D1830" s="84" t="s">
        <v>780</v>
      </c>
      <c r="E1830" s="93" t="s">
        <v>3624</v>
      </c>
      <c r="F1830" s="92" t="s">
        <v>49</v>
      </c>
      <c r="G1830" s="76"/>
      <c r="H1830" s="76">
        <f>STOCK[[#This Row],[Precio Final]]</f>
        <v>12</v>
      </c>
      <c r="I1830" s="80">
        <f>STOCK[[#This Row],[Precio Venta Ideal (x1.5)]]</f>
        <v>15.3</v>
      </c>
      <c r="J1830" s="92">
        <v>1</v>
      </c>
      <c r="K1830" s="78">
        <f>SUMIFS(VENTAS[Cantidad],VENTAS[Código del producto Vendido],STOCK[[#This Row],[Code]])</f>
        <v>0</v>
      </c>
      <c r="L1830" s="78">
        <f>STOCK[[#This Row],[Entradas]]-STOCK[[#This Row],[Salidas]]</f>
        <v>1</v>
      </c>
      <c r="M1830" s="76">
        <f>STOCK[[#This Row],[Precio Final]]*10%</f>
        <v>1.2</v>
      </c>
      <c r="N1830" s="54">
        <v>0</v>
      </c>
      <c r="O1830" s="76">
        <v>0</v>
      </c>
      <c r="P1830" s="76">
        <v>9</v>
      </c>
      <c r="Q1830" s="76">
        <v>0</v>
      </c>
      <c r="R1830" s="78">
        <v>0</v>
      </c>
      <c r="S1830" s="76">
        <v>0</v>
      </c>
      <c r="T1830" s="76">
        <f>STOCK[[#This Row],[Costo Unitario (USD)]]+STOCK[[#This Row],[Costo Envío (USD)]]+STOCK[[#This Row],[Comisión 10%]]</f>
        <v>10.2</v>
      </c>
      <c r="U1830" s="53">
        <f>STOCK[[#This Row],[Costo total]]*1.5</f>
        <v>15.3</v>
      </c>
      <c r="V1830" s="53">
        <v>12</v>
      </c>
      <c r="W1830" s="76">
        <f>STOCK[[#This Row],[Precio Final]]-STOCK[[#This Row],[Costo total]]</f>
        <v>1.8</v>
      </c>
      <c r="X1830" s="76">
        <f>STOCK[[#This Row],[Ganancia Unitaria]]*STOCK[[#This Row],[Salidas]]</f>
        <v>0</v>
      </c>
      <c r="Y1830" s="76" t="s">
        <v>3482</v>
      </c>
      <c r="Z1830" s="87"/>
      <c r="AA1830" s="54">
        <f>STOCK[[#This Row],[Costo total]]*STOCK[[#This Row],[Entradas]]</f>
        <v>10.2</v>
      </c>
      <c r="AB1830" s="54">
        <f>STOCK[[#This Row],[Stock Actual]]*STOCK[[#This Row],[Costo total]]</f>
        <v>10.2</v>
      </c>
      <c r="AC1830" s="76"/>
      <c r="AD1830" s="94"/>
    </row>
    <row r="1831" s="53" customFormat="1" ht="50" customHeight="1" spans="1:30">
      <c r="A1831" s="92" t="s">
        <v>3625</v>
      </c>
      <c r="B1831" s="83"/>
      <c r="C1831" s="53" t="s">
        <v>32</v>
      </c>
      <c r="D1831" s="84" t="s">
        <v>749</v>
      </c>
      <c r="E1831" s="93" t="s">
        <v>3626</v>
      </c>
      <c r="F1831" s="92" t="s">
        <v>49</v>
      </c>
      <c r="G1831" s="76"/>
      <c r="H1831" s="76">
        <f>STOCK[[#This Row],[Precio Final]]</f>
        <v>25</v>
      </c>
      <c r="I1831" s="80">
        <f>STOCK[[#This Row],[Precio Venta Ideal (x1.5)]]</f>
        <v>17.25</v>
      </c>
      <c r="J1831" s="92">
        <v>2</v>
      </c>
      <c r="K1831" s="78">
        <f>SUMIFS(VENTAS[Cantidad],VENTAS[Código del producto Vendido],STOCK[[#This Row],[Code]])</f>
        <v>0</v>
      </c>
      <c r="L1831" s="78">
        <f>STOCK[[#This Row],[Entradas]]-STOCK[[#This Row],[Salidas]]</f>
        <v>2</v>
      </c>
      <c r="M1831" s="76">
        <f>STOCK[[#This Row],[Precio Final]]*10%</f>
        <v>2.5</v>
      </c>
      <c r="N1831" s="54">
        <v>0</v>
      </c>
      <c r="O1831" s="76">
        <v>0</v>
      </c>
      <c r="P1831" s="76">
        <v>9</v>
      </c>
      <c r="Q1831" s="76">
        <v>0</v>
      </c>
      <c r="R1831" s="78">
        <v>0</v>
      </c>
      <c r="S1831" s="76">
        <v>0</v>
      </c>
      <c r="T1831" s="76">
        <f>STOCK[[#This Row],[Costo Unitario (USD)]]+STOCK[[#This Row],[Costo Envío (USD)]]+STOCK[[#This Row],[Comisión 10%]]</f>
        <v>11.5</v>
      </c>
      <c r="U1831" s="53">
        <f>STOCK[[#This Row],[Costo total]]*1.5</f>
        <v>17.25</v>
      </c>
      <c r="V1831" s="53">
        <v>25</v>
      </c>
      <c r="W1831" s="76">
        <f>STOCK[[#This Row],[Precio Final]]-STOCK[[#This Row],[Costo total]]</f>
        <v>13.5</v>
      </c>
      <c r="X1831" s="76">
        <f>STOCK[[#This Row],[Ganancia Unitaria]]*STOCK[[#This Row],[Salidas]]</f>
        <v>0</v>
      </c>
      <c r="Y1831" s="76" t="s">
        <v>3482</v>
      </c>
      <c r="Z1831" s="87"/>
      <c r="AA1831" s="54">
        <f>STOCK[[#This Row],[Costo total]]*STOCK[[#This Row],[Entradas]]</f>
        <v>23</v>
      </c>
      <c r="AB1831" s="54">
        <f>STOCK[[#This Row],[Stock Actual]]*STOCK[[#This Row],[Costo total]]</f>
        <v>23</v>
      </c>
      <c r="AC1831" s="76"/>
      <c r="AD1831" s="94"/>
    </row>
    <row r="1832" s="53" customFormat="1" ht="50" customHeight="1" spans="1:30">
      <c r="A1832" s="92" t="s">
        <v>3627</v>
      </c>
      <c r="B1832" s="83"/>
      <c r="C1832" s="53" t="s">
        <v>32</v>
      </c>
      <c r="D1832" s="84" t="s">
        <v>749</v>
      </c>
      <c r="E1832" s="93" t="s">
        <v>3626</v>
      </c>
      <c r="F1832" s="92" t="s">
        <v>42</v>
      </c>
      <c r="G1832" s="76"/>
      <c r="H1832" s="76">
        <f>STOCK[[#This Row],[Precio Final]]</f>
        <v>25</v>
      </c>
      <c r="I1832" s="80">
        <f>STOCK[[#This Row],[Precio Venta Ideal (x1.5)]]</f>
        <v>17.25</v>
      </c>
      <c r="J1832" s="92">
        <v>1</v>
      </c>
      <c r="K1832" s="78">
        <f>SUMIFS(VENTAS[Cantidad],VENTAS[Código del producto Vendido],STOCK[[#This Row],[Code]])</f>
        <v>0</v>
      </c>
      <c r="L1832" s="78">
        <f>STOCK[[#This Row],[Entradas]]-STOCK[[#This Row],[Salidas]]</f>
        <v>1</v>
      </c>
      <c r="M1832" s="76">
        <f>STOCK[[#This Row],[Precio Final]]*10%</f>
        <v>2.5</v>
      </c>
      <c r="N1832" s="54">
        <v>0</v>
      </c>
      <c r="O1832" s="76">
        <v>0</v>
      </c>
      <c r="P1832" s="76">
        <v>9</v>
      </c>
      <c r="Q1832" s="76">
        <v>0</v>
      </c>
      <c r="R1832" s="78">
        <v>0</v>
      </c>
      <c r="S1832" s="76">
        <v>0</v>
      </c>
      <c r="T1832" s="76">
        <f>STOCK[[#This Row],[Costo Unitario (USD)]]+STOCK[[#This Row],[Costo Envío (USD)]]+STOCK[[#This Row],[Comisión 10%]]</f>
        <v>11.5</v>
      </c>
      <c r="U1832" s="53">
        <f>STOCK[[#This Row],[Costo total]]*1.5</f>
        <v>17.25</v>
      </c>
      <c r="V1832" s="53">
        <v>25</v>
      </c>
      <c r="W1832" s="76">
        <f>STOCK[[#This Row],[Precio Final]]-STOCK[[#This Row],[Costo total]]</f>
        <v>13.5</v>
      </c>
      <c r="X1832" s="76">
        <f>STOCK[[#This Row],[Ganancia Unitaria]]*STOCK[[#This Row],[Salidas]]</f>
        <v>0</v>
      </c>
      <c r="Y1832" s="76" t="s">
        <v>3482</v>
      </c>
      <c r="Z1832" s="87"/>
      <c r="AA1832" s="54">
        <f>STOCK[[#This Row],[Costo total]]*STOCK[[#This Row],[Entradas]]</f>
        <v>11.5</v>
      </c>
      <c r="AB1832" s="54">
        <f>STOCK[[#This Row],[Stock Actual]]*STOCK[[#This Row],[Costo total]]</f>
        <v>11.5</v>
      </c>
      <c r="AC1832" s="76"/>
      <c r="AD1832" s="94"/>
    </row>
    <row r="1833" s="53" customFormat="1" ht="50" customHeight="1" spans="1:30">
      <c r="A1833" s="92" t="s">
        <v>3628</v>
      </c>
      <c r="B1833" s="83"/>
      <c r="C1833" s="53" t="s">
        <v>32</v>
      </c>
      <c r="D1833" s="84" t="s">
        <v>780</v>
      </c>
      <c r="E1833" s="93" t="s">
        <v>3629</v>
      </c>
      <c r="F1833" s="92" t="s">
        <v>46</v>
      </c>
      <c r="G1833" s="76"/>
      <c r="H1833" s="76">
        <f>STOCK[[#This Row],[Precio Final]]</f>
        <v>20</v>
      </c>
      <c r="I1833" s="80">
        <f>STOCK[[#This Row],[Precio Venta Ideal (x1.5)]]</f>
        <v>16.5</v>
      </c>
      <c r="J1833" s="92">
        <v>1</v>
      </c>
      <c r="K1833" s="78">
        <f>SUMIFS(VENTAS[Cantidad],VENTAS[Código del producto Vendido],STOCK[[#This Row],[Code]])</f>
        <v>0</v>
      </c>
      <c r="L1833" s="78">
        <f>STOCK[[#This Row],[Entradas]]-STOCK[[#This Row],[Salidas]]</f>
        <v>1</v>
      </c>
      <c r="M1833" s="76">
        <f>STOCK[[#This Row],[Precio Final]]*10%</f>
        <v>2</v>
      </c>
      <c r="N1833" s="54">
        <v>0</v>
      </c>
      <c r="O1833" s="76">
        <v>0</v>
      </c>
      <c r="P1833" s="76">
        <v>9</v>
      </c>
      <c r="Q1833" s="76">
        <v>0</v>
      </c>
      <c r="R1833" s="78">
        <v>0</v>
      </c>
      <c r="S1833" s="76">
        <v>0</v>
      </c>
      <c r="T1833" s="76">
        <f>STOCK[[#This Row],[Costo Unitario (USD)]]+STOCK[[#This Row],[Costo Envío (USD)]]+STOCK[[#This Row],[Comisión 10%]]</f>
        <v>11</v>
      </c>
      <c r="U1833" s="53">
        <f>STOCK[[#This Row],[Costo total]]*1.5</f>
        <v>16.5</v>
      </c>
      <c r="V1833" s="53">
        <v>20</v>
      </c>
      <c r="W1833" s="76">
        <f>STOCK[[#This Row],[Precio Final]]-STOCK[[#This Row],[Costo total]]</f>
        <v>9</v>
      </c>
      <c r="X1833" s="76">
        <f>STOCK[[#This Row],[Ganancia Unitaria]]*STOCK[[#This Row],[Salidas]]</f>
        <v>0</v>
      </c>
      <c r="Y1833" s="76" t="s">
        <v>3482</v>
      </c>
      <c r="Z1833" s="87"/>
      <c r="AA1833" s="54">
        <f>STOCK[[#This Row],[Costo total]]*STOCK[[#This Row],[Entradas]]</f>
        <v>11</v>
      </c>
      <c r="AB1833" s="54">
        <f>STOCK[[#This Row],[Stock Actual]]*STOCK[[#This Row],[Costo total]]</f>
        <v>11</v>
      </c>
      <c r="AC1833" s="76"/>
      <c r="AD1833" s="94"/>
    </row>
    <row r="1834" s="53" customFormat="1" ht="50" customHeight="1" spans="1:30">
      <c r="A1834" s="92" t="s">
        <v>3630</v>
      </c>
      <c r="B1834" s="83"/>
      <c r="C1834" s="53" t="s">
        <v>32</v>
      </c>
      <c r="D1834" s="84" t="s">
        <v>780</v>
      </c>
      <c r="E1834" s="93" t="s">
        <v>3631</v>
      </c>
      <c r="F1834" s="92" t="s">
        <v>62</v>
      </c>
      <c r="G1834" s="76"/>
      <c r="H1834" s="76">
        <f>STOCK[[#This Row],[Precio Final]]</f>
        <v>15</v>
      </c>
      <c r="I1834" s="80">
        <f>STOCK[[#This Row],[Precio Venta Ideal (x1.5)]]</f>
        <v>15.75</v>
      </c>
      <c r="J1834" s="92">
        <v>1</v>
      </c>
      <c r="K1834" s="78">
        <f>SUMIFS(VENTAS[Cantidad],VENTAS[Código del producto Vendido],STOCK[[#This Row],[Code]])</f>
        <v>0</v>
      </c>
      <c r="L1834" s="78">
        <f>STOCK[[#This Row],[Entradas]]-STOCK[[#This Row],[Salidas]]</f>
        <v>1</v>
      </c>
      <c r="M1834" s="76">
        <f>STOCK[[#This Row],[Precio Final]]*10%</f>
        <v>1.5</v>
      </c>
      <c r="N1834" s="54">
        <v>0</v>
      </c>
      <c r="O1834" s="76">
        <v>0</v>
      </c>
      <c r="P1834" s="76">
        <v>9</v>
      </c>
      <c r="Q1834" s="76">
        <v>0</v>
      </c>
      <c r="R1834" s="78">
        <v>0</v>
      </c>
      <c r="S1834" s="76">
        <v>0</v>
      </c>
      <c r="T1834" s="76">
        <f>STOCK[[#This Row],[Costo Unitario (USD)]]+STOCK[[#This Row],[Costo Envío (USD)]]+STOCK[[#This Row],[Comisión 10%]]</f>
        <v>10.5</v>
      </c>
      <c r="U1834" s="53">
        <f>STOCK[[#This Row],[Costo total]]*1.5</f>
        <v>15.75</v>
      </c>
      <c r="V1834" s="53">
        <v>15</v>
      </c>
      <c r="W1834" s="76">
        <f>STOCK[[#This Row],[Precio Final]]-STOCK[[#This Row],[Costo total]]</f>
        <v>4.5</v>
      </c>
      <c r="X1834" s="76">
        <f>STOCK[[#This Row],[Ganancia Unitaria]]*STOCK[[#This Row],[Salidas]]</f>
        <v>0</v>
      </c>
      <c r="Y1834" s="76" t="s">
        <v>3482</v>
      </c>
      <c r="Z1834" s="87"/>
      <c r="AA1834" s="54">
        <f>STOCK[[#This Row],[Costo total]]*STOCK[[#This Row],[Entradas]]</f>
        <v>10.5</v>
      </c>
      <c r="AB1834" s="54">
        <f>STOCK[[#This Row],[Stock Actual]]*STOCK[[#This Row],[Costo total]]</f>
        <v>10.5</v>
      </c>
      <c r="AC1834" s="76"/>
      <c r="AD1834" s="94"/>
    </row>
    <row r="1835" s="53" customFormat="1" ht="50" customHeight="1" spans="1:30">
      <c r="A1835" s="92" t="s">
        <v>3632</v>
      </c>
      <c r="B1835" s="83"/>
      <c r="C1835" s="53" t="s">
        <v>32</v>
      </c>
      <c r="D1835" s="84" t="s">
        <v>780</v>
      </c>
      <c r="E1835" s="93" t="s">
        <v>3631</v>
      </c>
      <c r="F1835" s="92" t="s">
        <v>49</v>
      </c>
      <c r="G1835" s="76"/>
      <c r="H1835" s="76">
        <f>STOCK[[#This Row],[Precio Final]]</f>
        <v>15</v>
      </c>
      <c r="I1835" s="80">
        <f>STOCK[[#This Row],[Precio Venta Ideal (x1.5)]]</f>
        <v>15.75</v>
      </c>
      <c r="J1835" s="92">
        <v>1</v>
      </c>
      <c r="K1835" s="78">
        <f>SUMIFS(VENTAS[Cantidad],VENTAS[Código del producto Vendido],STOCK[[#This Row],[Code]])</f>
        <v>0</v>
      </c>
      <c r="L1835" s="78">
        <f>STOCK[[#This Row],[Entradas]]-STOCK[[#This Row],[Salidas]]</f>
        <v>1</v>
      </c>
      <c r="M1835" s="76">
        <f>STOCK[[#This Row],[Precio Final]]*10%</f>
        <v>1.5</v>
      </c>
      <c r="N1835" s="54">
        <v>0</v>
      </c>
      <c r="O1835" s="76">
        <v>0</v>
      </c>
      <c r="P1835" s="76">
        <v>9</v>
      </c>
      <c r="Q1835" s="76">
        <v>0</v>
      </c>
      <c r="R1835" s="78">
        <v>0</v>
      </c>
      <c r="S1835" s="76">
        <v>0</v>
      </c>
      <c r="T1835" s="76">
        <f>STOCK[[#This Row],[Costo Unitario (USD)]]+STOCK[[#This Row],[Costo Envío (USD)]]+STOCK[[#This Row],[Comisión 10%]]</f>
        <v>10.5</v>
      </c>
      <c r="U1835" s="53">
        <f>STOCK[[#This Row],[Costo total]]*1.5</f>
        <v>15.75</v>
      </c>
      <c r="V1835" s="53">
        <v>15</v>
      </c>
      <c r="W1835" s="76">
        <f>STOCK[[#This Row],[Precio Final]]-STOCK[[#This Row],[Costo total]]</f>
        <v>4.5</v>
      </c>
      <c r="X1835" s="76">
        <f>STOCK[[#This Row],[Ganancia Unitaria]]*STOCK[[#This Row],[Salidas]]</f>
        <v>0</v>
      </c>
      <c r="Y1835" s="76" t="s">
        <v>3482</v>
      </c>
      <c r="Z1835" s="87"/>
      <c r="AA1835" s="54">
        <f>STOCK[[#This Row],[Costo total]]*STOCK[[#This Row],[Entradas]]</f>
        <v>10.5</v>
      </c>
      <c r="AB1835" s="54">
        <f>STOCK[[#This Row],[Stock Actual]]*STOCK[[#This Row],[Costo total]]</f>
        <v>10.5</v>
      </c>
      <c r="AC1835" s="76"/>
      <c r="AD1835" s="94"/>
    </row>
    <row r="1836" s="53" customFormat="1" ht="50" customHeight="1" spans="1:30">
      <c r="A1836" s="92" t="s">
        <v>3633</v>
      </c>
      <c r="B1836" s="83"/>
      <c r="C1836" s="53" t="s">
        <v>32</v>
      </c>
      <c r="D1836" s="84" t="s">
        <v>780</v>
      </c>
      <c r="E1836" s="93" t="s">
        <v>3631</v>
      </c>
      <c r="F1836" s="92" t="s">
        <v>42</v>
      </c>
      <c r="G1836" s="76"/>
      <c r="H1836" s="76">
        <f>STOCK[[#This Row],[Precio Final]]</f>
        <v>15</v>
      </c>
      <c r="I1836" s="80">
        <f>STOCK[[#This Row],[Precio Venta Ideal (x1.5)]]</f>
        <v>15.75</v>
      </c>
      <c r="J1836" s="92">
        <v>1</v>
      </c>
      <c r="K1836" s="78">
        <f>SUMIFS(VENTAS[Cantidad],VENTAS[Código del producto Vendido],STOCK[[#This Row],[Code]])</f>
        <v>0</v>
      </c>
      <c r="L1836" s="78">
        <f>STOCK[[#This Row],[Entradas]]-STOCK[[#This Row],[Salidas]]</f>
        <v>1</v>
      </c>
      <c r="M1836" s="76">
        <f>STOCK[[#This Row],[Precio Final]]*10%</f>
        <v>1.5</v>
      </c>
      <c r="N1836" s="54">
        <v>0</v>
      </c>
      <c r="O1836" s="76">
        <v>0</v>
      </c>
      <c r="P1836" s="76">
        <v>9</v>
      </c>
      <c r="Q1836" s="76">
        <v>0</v>
      </c>
      <c r="R1836" s="78">
        <v>0</v>
      </c>
      <c r="S1836" s="76">
        <v>0</v>
      </c>
      <c r="T1836" s="76">
        <f>STOCK[[#This Row],[Costo Unitario (USD)]]+STOCK[[#This Row],[Costo Envío (USD)]]+STOCK[[#This Row],[Comisión 10%]]</f>
        <v>10.5</v>
      </c>
      <c r="U1836" s="53">
        <f>STOCK[[#This Row],[Costo total]]*1.5</f>
        <v>15.75</v>
      </c>
      <c r="V1836" s="53">
        <v>15</v>
      </c>
      <c r="W1836" s="76">
        <f>STOCK[[#This Row],[Precio Final]]-STOCK[[#This Row],[Costo total]]</f>
        <v>4.5</v>
      </c>
      <c r="X1836" s="76">
        <f>STOCK[[#This Row],[Ganancia Unitaria]]*STOCK[[#This Row],[Salidas]]</f>
        <v>0</v>
      </c>
      <c r="Y1836" s="76" t="s">
        <v>3482</v>
      </c>
      <c r="Z1836" s="87"/>
      <c r="AA1836" s="54">
        <f>STOCK[[#This Row],[Costo total]]*STOCK[[#This Row],[Entradas]]</f>
        <v>10.5</v>
      </c>
      <c r="AB1836" s="54">
        <f>STOCK[[#This Row],[Stock Actual]]*STOCK[[#This Row],[Costo total]]</f>
        <v>10.5</v>
      </c>
      <c r="AC1836" s="76"/>
      <c r="AD1836" s="94"/>
    </row>
    <row r="1837" s="53" customFormat="1" ht="50" customHeight="1" spans="1:30">
      <c r="A1837" s="92" t="s">
        <v>3634</v>
      </c>
      <c r="B1837" s="83"/>
      <c r="C1837" s="53" t="s">
        <v>32</v>
      </c>
      <c r="D1837" s="84" t="s">
        <v>749</v>
      </c>
      <c r="E1837" s="93" t="s">
        <v>3635</v>
      </c>
      <c r="F1837" s="92" t="s">
        <v>62</v>
      </c>
      <c r="G1837" s="76"/>
      <c r="H1837" s="76">
        <f>STOCK[[#This Row],[Precio Final]]</f>
        <v>18</v>
      </c>
      <c r="I1837" s="80">
        <f>STOCK[[#This Row],[Precio Venta Ideal (x1.5)]]</f>
        <v>16.2</v>
      </c>
      <c r="J1837" s="92">
        <v>1</v>
      </c>
      <c r="K1837" s="78">
        <f>SUMIFS(VENTAS[Cantidad],VENTAS[Código del producto Vendido],STOCK[[#This Row],[Code]])</f>
        <v>0</v>
      </c>
      <c r="L1837" s="78">
        <f>STOCK[[#This Row],[Entradas]]-STOCK[[#This Row],[Salidas]]</f>
        <v>1</v>
      </c>
      <c r="M1837" s="76">
        <f>STOCK[[#This Row],[Precio Final]]*10%</f>
        <v>1.8</v>
      </c>
      <c r="N1837" s="54">
        <v>0</v>
      </c>
      <c r="O1837" s="76">
        <v>0</v>
      </c>
      <c r="P1837" s="76">
        <v>9</v>
      </c>
      <c r="Q1837" s="76">
        <v>0</v>
      </c>
      <c r="R1837" s="78">
        <v>0</v>
      </c>
      <c r="S1837" s="76">
        <v>0</v>
      </c>
      <c r="T1837" s="76">
        <f>STOCK[[#This Row],[Costo Unitario (USD)]]+STOCK[[#This Row],[Costo Envío (USD)]]+STOCK[[#This Row],[Comisión 10%]]</f>
        <v>10.8</v>
      </c>
      <c r="U1837" s="53">
        <f>STOCK[[#This Row],[Costo total]]*1.5</f>
        <v>16.2</v>
      </c>
      <c r="V1837" s="53">
        <v>18</v>
      </c>
      <c r="W1837" s="76">
        <f>STOCK[[#This Row],[Precio Final]]-STOCK[[#This Row],[Costo total]]</f>
        <v>7.2</v>
      </c>
      <c r="X1837" s="76">
        <f>STOCK[[#This Row],[Ganancia Unitaria]]*STOCK[[#This Row],[Salidas]]</f>
        <v>0</v>
      </c>
      <c r="Y1837" s="76" t="s">
        <v>3482</v>
      </c>
      <c r="Z1837" s="87"/>
      <c r="AA1837" s="54">
        <f>STOCK[[#This Row],[Costo total]]*STOCK[[#This Row],[Entradas]]</f>
        <v>10.8</v>
      </c>
      <c r="AB1837" s="54">
        <f>STOCK[[#This Row],[Stock Actual]]*STOCK[[#This Row],[Costo total]]</f>
        <v>10.8</v>
      </c>
      <c r="AC1837" s="76"/>
      <c r="AD1837" s="94"/>
    </row>
    <row r="1838" s="53" customFormat="1" ht="50" customHeight="1" spans="1:30">
      <c r="A1838" s="92" t="s">
        <v>3636</v>
      </c>
      <c r="B1838" s="83"/>
      <c r="C1838" s="53" t="s">
        <v>32</v>
      </c>
      <c r="D1838" s="84" t="s">
        <v>1388</v>
      </c>
      <c r="E1838" s="93" t="s">
        <v>3637</v>
      </c>
      <c r="F1838" s="92" t="s">
        <v>3562</v>
      </c>
      <c r="G1838" s="76"/>
      <c r="H1838" s="76">
        <f>STOCK[[#This Row],[Precio Final]]</f>
        <v>40</v>
      </c>
      <c r="I1838" s="80">
        <f>STOCK[[#This Row],[Precio Venta Ideal (x1.5)]]</f>
        <v>19.5</v>
      </c>
      <c r="J1838" s="92">
        <v>1</v>
      </c>
      <c r="K1838" s="78">
        <f>SUMIFS(VENTAS[Cantidad],VENTAS[Código del producto Vendido],STOCK[[#This Row],[Code]])</f>
        <v>0</v>
      </c>
      <c r="L1838" s="78">
        <f>STOCK[[#This Row],[Entradas]]-STOCK[[#This Row],[Salidas]]</f>
        <v>1</v>
      </c>
      <c r="M1838" s="76">
        <f>STOCK[[#This Row],[Precio Final]]*10%</f>
        <v>4</v>
      </c>
      <c r="N1838" s="54">
        <v>0</v>
      </c>
      <c r="O1838" s="76">
        <v>0</v>
      </c>
      <c r="P1838" s="76">
        <v>9</v>
      </c>
      <c r="Q1838" s="76">
        <v>0</v>
      </c>
      <c r="R1838" s="78">
        <v>0</v>
      </c>
      <c r="S1838" s="76">
        <v>0</v>
      </c>
      <c r="T1838" s="76">
        <f>STOCK[[#This Row],[Costo Unitario (USD)]]+STOCK[[#This Row],[Costo Envío (USD)]]+STOCK[[#This Row],[Comisión 10%]]</f>
        <v>13</v>
      </c>
      <c r="U1838" s="53">
        <f>STOCK[[#This Row],[Costo total]]*1.5</f>
        <v>19.5</v>
      </c>
      <c r="V1838" s="53">
        <v>40</v>
      </c>
      <c r="W1838" s="76">
        <f>STOCK[[#This Row],[Precio Final]]-STOCK[[#This Row],[Costo total]]</f>
        <v>27</v>
      </c>
      <c r="X1838" s="76">
        <f>STOCK[[#This Row],[Ganancia Unitaria]]*STOCK[[#This Row],[Salidas]]</f>
        <v>0</v>
      </c>
      <c r="Y1838" s="76" t="s">
        <v>3482</v>
      </c>
      <c r="Z1838" s="87"/>
      <c r="AA1838" s="54">
        <f>STOCK[[#This Row],[Costo total]]*STOCK[[#This Row],[Entradas]]</f>
        <v>13</v>
      </c>
      <c r="AB1838" s="54">
        <f>STOCK[[#This Row],[Stock Actual]]*STOCK[[#This Row],[Costo total]]</f>
        <v>13</v>
      </c>
      <c r="AC1838" s="76"/>
      <c r="AD1838" s="94"/>
    </row>
    <row r="1839" s="53" customFormat="1" ht="50" customHeight="1" spans="1:30">
      <c r="A1839" s="92" t="s">
        <v>3638</v>
      </c>
      <c r="B1839" s="83"/>
      <c r="C1839" s="53" t="s">
        <v>32</v>
      </c>
      <c r="D1839" s="84" t="s">
        <v>749</v>
      </c>
      <c r="E1839" s="93" t="s">
        <v>3639</v>
      </c>
      <c r="F1839" s="92" t="s">
        <v>1047</v>
      </c>
      <c r="G1839" s="76"/>
      <c r="H1839" s="76">
        <f>STOCK[[#This Row],[Precio Final]]</f>
        <v>20</v>
      </c>
      <c r="I1839" s="80">
        <f>STOCK[[#This Row],[Precio Venta Ideal (x1.5)]]</f>
        <v>16.5</v>
      </c>
      <c r="J1839" s="92">
        <v>1</v>
      </c>
      <c r="K1839" s="78">
        <f>SUMIFS(VENTAS[Cantidad],VENTAS[Código del producto Vendido],STOCK[[#This Row],[Code]])</f>
        <v>0</v>
      </c>
      <c r="L1839" s="78">
        <f>STOCK[[#This Row],[Entradas]]-STOCK[[#This Row],[Salidas]]</f>
        <v>1</v>
      </c>
      <c r="M1839" s="76">
        <f>STOCK[[#This Row],[Precio Final]]*10%</f>
        <v>2</v>
      </c>
      <c r="N1839" s="54">
        <v>0</v>
      </c>
      <c r="O1839" s="76">
        <v>0</v>
      </c>
      <c r="P1839" s="76">
        <v>9</v>
      </c>
      <c r="Q1839" s="76">
        <v>0</v>
      </c>
      <c r="R1839" s="78">
        <v>0</v>
      </c>
      <c r="S1839" s="76">
        <v>0</v>
      </c>
      <c r="T1839" s="76">
        <f>STOCK[[#This Row],[Costo Unitario (USD)]]+STOCK[[#This Row],[Costo Envío (USD)]]+STOCK[[#This Row],[Comisión 10%]]</f>
        <v>11</v>
      </c>
      <c r="U1839" s="53">
        <f>STOCK[[#This Row],[Costo total]]*1.5</f>
        <v>16.5</v>
      </c>
      <c r="V1839" s="53">
        <v>20</v>
      </c>
      <c r="W1839" s="76">
        <f>STOCK[[#This Row],[Precio Final]]-STOCK[[#This Row],[Costo total]]</f>
        <v>9</v>
      </c>
      <c r="X1839" s="76">
        <f>STOCK[[#This Row],[Ganancia Unitaria]]*STOCK[[#This Row],[Salidas]]</f>
        <v>0</v>
      </c>
      <c r="Y1839" s="76" t="s">
        <v>3482</v>
      </c>
      <c r="Z1839" s="87"/>
      <c r="AA1839" s="54">
        <f>STOCK[[#This Row],[Costo total]]*STOCK[[#This Row],[Entradas]]</f>
        <v>11</v>
      </c>
      <c r="AB1839" s="54">
        <f>STOCK[[#This Row],[Stock Actual]]*STOCK[[#This Row],[Costo total]]</f>
        <v>11</v>
      </c>
      <c r="AC1839" s="76"/>
      <c r="AD1839" s="94"/>
    </row>
    <row r="1840" s="53" customFormat="1" ht="50" customHeight="1" spans="1:30">
      <c r="A1840" s="92" t="s">
        <v>3640</v>
      </c>
      <c r="B1840" s="83"/>
      <c r="C1840" s="53" t="s">
        <v>32</v>
      </c>
      <c r="D1840" s="84" t="s">
        <v>749</v>
      </c>
      <c r="E1840" s="93" t="s">
        <v>3641</v>
      </c>
      <c r="F1840" s="92" t="s">
        <v>49</v>
      </c>
      <c r="G1840" s="76"/>
      <c r="H1840" s="76">
        <f>STOCK[[#This Row],[Precio Final]]</f>
        <v>20</v>
      </c>
      <c r="I1840" s="80">
        <f>STOCK[[#This Row],[Precio Venta Ideal (x1.5)]]</f>
        <v>16.5</v>
      </c>
      <c r="J1840" s="92">
        <v>1</v>
      </c>
      <c r="K1840" s="78">
        <f>SUMIFS(VENTAS[Cantidad],VENTAS[Código del producto Vendido],STOCK[[#This Row],[Code]])</f>
        <v>0</v>
      </c>
      <c r="L1840" s="78">
        <f>STOCK[[#This Row],[Entradas]]-STOCK[[#This Row],[Salidas]]</f>
        <v>1</v>
      </c>
      <c r="M1840" s="76">
        <f>STOCK[[#This Row],[Precio Final]]*10%</f>
        <v>2</v>
      </c>
      <c r="N1840" s="54">
        <v>0</v>
      </c>
      <c r="O1840" s="76">
        <v>0</v>
      </c>
      <c r="P1840" s="76">
        <v>9</v>
      </c>
      <c r="Q1840" s="76">
        <v>0</v>
      </c>
      <c r="R1840" s="78">
        <v>0</v>
      </c>
      <c r="S1840" s="76">
        <v>0</v>
      </c>
      <c r="T1840" s="76">
        <f>STOCK[[#This Row],[Costo Unitario (USD)]]+STOCK[[#This Row],[Costo Envío (USD)]]+STOCK[[#This Row],[Comisión 10%]]</f>
        <v>11</v>
      </c>
      <c r="U1840" s="53">
        <f>STOCK[[#This Row],[Costo total]]*1.5</f>
        <v>16.5</v>
      </c>
      <c r="V1840" s="53">
        <v>20</v>
      </c>
      <c r="W1840" s="76">
        <f>STOCK[[#This Row],[Precio Final]]-STOCK[[#This Row],[Costo total]]</f>
        <v>9</v>
      </c>
      <c r="X1840" s="76">
        <f>STOCK[[#This Row],[Ganancia Unitaria]]*STOCK[[#This Row],[Salidas]]</f>
        <v>0</v>
      </c>
      <c r="Y1840" s="76" t="s">
        <v>3482</v>
      </c>
      <c r="Z1840" s="87"/>
      <c r="AA1840" s="54">
        <f>STOCK[[#This Row],[Costo total]]*STOCK[[#This Row],[Entradas]]</f>
        <v>11</v>
      </c>
      <c r="AB1840" s="54">
        <f>STOCK[[#This Row],[Stock Actual]]*STOCK[[#This Row],[Costo total]]</f>
        <v>11</v>
      </c>
      <c r="AC1840" s="76"/>
      <c r="AD1840" s="94"/>
    </row>
    <row r="1841" s="53" customFormat="1" ht="50" customHeight="1" spans="1:30">
      <c r="A1841" s="92" t="s">
        <v>3642</v>
      </c>
      <c r="B1841" s="83"/>
      <c r="C1841" s="53" t="s">
        <v>32</v>
      </c>
      <c r="D1841" s="84" t="s">
        <v>749</v>
      </c>
      <c r="E1841" s="93" t="s">
        <v>3643</v>
      </c>
      <c r="F1841" s="92" t="s">
        <v>62</v>
      </c>
      <c r="G1841" s="76"/>
      <c r="H1841" s="76">
        <f>STOCK[[#This Row],[Precio Final]]</f>
        <v>15</v>
      </c>
      <c r="I1841" s="80">
        <f>STOCK[[#This Row],[Precio Venta Ideal (x1.5)]]</f>
        <v>15.75</v>
      </c>
      <c r="J1841" s="92">
        <v>5</v>
      </c>
      <c r="K1841" s="78">
        <f>SUMIFS(VENTAS[Cantidad],VENTAS[Código del producto Vendido],STOCK[[#This Row],[Code]])</f>
        <v>0</v>
      </c>
      <c r="L1841" s="78">
        <f>STOCK[[#This Row],[Entradas]]-STOCK[[#This Row],[Salidas]]</f>
        <v>5</v>
      </c>
      <c r="M1841" s="76">
        <f>STOCK[[#This Row],[Precio Final]]*10%</f>
        <v>1.5</v>
      </c>
      <c r="N1841" s="54">
        <v>0</v>
      </c>
      <c r="O1841" s="76">
        <v>0</v>
      </c>
      <c r="P1841" s="76">
        <v>9</v>
      </c>
      <c r="Q1841" s="76">
        <v>0</v>
      </c>
      <c r="R1841" s="78">
        <v>0</v>
      </c>
      <c r="S1841" s="76">
        <v>0</v>
      </c>
      <c r="T1841" s="76">
        <f>STOCK[[#This Row],[Costo Unitario (USD)]]+STOCK[[#This Row],[Costo Envío (USD)]]+STOCK[[#This Row],[Comisión 10%]]</f>
        <v>10.5</v>
      </c>
      <c r="U1841" s="53">
        <f>STOCK[[#This Row],[Costo total]]*1.5</f>
        <v>15.75</v>
      </c>
      <c r="V1841" s="53">
        <v>15</v>
      </c>
      <c r="W1841" s="76">
        <f>STOCK[[#This Row],[Precio Final]]-STOCK[[#This Row],[Costo total]]</f>
        <v>4.5</v>
      </c>
      <c r="X1841" s="76">
        <f>STOCK[[#This Row],[Ganancia Unitaria]]*STOCK[[#This Row],[Salidas]]</f>
        <v>0</v>
      </c>
      <c r="Y1841" s="76" t="s">
        <v>3482</v>
      </c>
      <c r="Z1841" s="87"/>
      <c r="AA1841" s="54">
        <f>STOCK[[#This Row],[Costo total]]*STOCK[[#This Row],[Entradas]]</f>
        <v>52.5</v>
      </c>
      <c r="AB1841" s="54">
        <f>STOCK[[#This Row],[Stock Actual]]*STOCK[[#This Row],[Costo total]]</f>
        <v>52.5</v>
      </c>
      <c r="AC1841" s="76"/>
      <c r="AD1841" s="94"/>
    </row>
    <row r="1842" s="53" customFormat="1" ht="50" customHeight="1" spans="1:30">
      <c r="A1842" s="92" t="s">
        <v>3644</v>
      </c>
      <c r="B1842" s="83"/>
      <c r="C1842" s="53" t="s">
        <v>32</v>
      </c>
      <c r="D1842" s="84" t="s">
        <v>780</v>
      </c>
      <c r="E1842" s="93" t="s">
        <v>3645</v>
      </c>
      <c r="F1842" s="92" t="s">
        <v>46</v>
      </c>
      <c r="G1842" s="76"/>
      <c r="H1842" s="76">
        <f>STOCK[[#This Row],[Precio Final]]</f>
        <v>15</v>
      </c>
      <c r="I1842" s="80">
        <f>STOCK[[#This Row],[Precio Venta Ideal (x1.5)]]</f>
        <v>15.75</v>
      </c>
      <c r="J1842" s="92">
        <v>1</v>
      </c>
      <c r="K1842" s="78">
        <f>SUMIFS(VENTAS[Cantidad],VENTAS[Código del producto Vendido],STOCK[[#This Row],[Code]])</f>
        <v>0</v>
      </c>
      <c r="L1842" s="78">
        <f>STOCK[[#This Row],[Entradas]]-STOCK[[#This Row],[Salidas]]</f>
        <v>1</v>
      </c>
      <c r="M1842" s="76">
        <f>STOCK[[#This Row],[Precio Final]]*10%</f>
        <v>1.5</v>
      </c>
      <c r="N1842" s="54">
        <v>0</v>
      </c>
      <c r="O1842" s="76">
        <v>0</v>
      </c>
      <c r="P1842" s="76">
        <v>9</v>
      </c>
      <c r="Q1842" s="76">
        <v>0</v>
      </c>
      <c r="R1842" s="78">
        <v>0</v>
      </c>
      <c r="S1842" s="76">
        <v>0</v>
      </c>
      <c r="T1842" s="76">
        <f>STOCK[[#This Row],[Costo Unitario (USD)]]+STOCK[[#This Row],[Costo Envío (USD)]]+STOCK[[#This Row],[Comisión 10%]]</f>
        <v>10.5</v>
      </c>
      <c r="U1842" s="53">
        <f>STOCK[[#This Row],[Costo total]]*1.5</f>
        <v>15.75</v>
      </c>
      <c r="V1842" s="53">
        <v>15</v>
      </c>
      <c r="W1842" s="76">
        <f>STOCK[[#This Row],[Precio Final]]-STOCK[[#This Row],[Costo total]]</f>
        <v>4.5</v>
      </c>
      <c r="X1842" s="76">
        <f>STOCK[[#This Row],[Ganancia Unitaria]]*STOCK[[#This Row],[Salidas]]</f>
        <v>0</v>
      </c>
      <c r="Y1842" s="76" t="s">
        <v>3482</v>
      </c>
      <c r="Z1842" s="87"/>
      <c r="AA1842" s="54">
        <f>STOCK[[#This Row],[Costo total]]*STOCK[[#This Row],[Entradas]]</f>
        <v>10.5</v>
      </c>
      <c r="AB1842" s="54">
        <f>STOCK[[#This Row],[Stock Actual]]*STOCK[[#This Row],[Costo total]]</f>
        <v>10.5</v>
      </c>
      <c r="AC1842" s="76"/>
      <c r="AD1842" s="94"/>
    </row>
    <row r="1843" s="53" customFormat="1" ht="50" customHeight="1" spans="1:30">
      <c r="A1843" s="92" t="s">
        <v>3646</v>
      </c>
      <c r="B1843" s="83"/>
      <c r="C1843" s="53" t="s">
        <v>32</v>
      </c>
      <c r="D1843" s="84" t="s">
        <v>780</v>
      </c>
      <c r="E1843" s="93" t="s">
        <v>3645</v>
      </c>
      <c r="F1843" s="92" t="s">
        <v>281</v>
      </c>
      <c r="G1843" s="76"/>
      <c r="H1843" s="76">
        <f>STOCK[[#This Row],[Precio Final]]</f>
        <v>15</v>
      </c>
      <c r="I1843" s="80">
        <f>STOCK[[#This Row],[Precio Venta Ideal (x1.5)]]</f>
        <v>15.75</v>
      </c>
      <c r="J1843" s="92">
        <v>1</v>
      </c>
      <c r="K1843" s="78">
        <f>SUMIFS(VENTAS[Cantidad],VENTAS[Código del producto Vendido],STOCK[[#This Row],[Code]])</f>
        <v>0</v>
      </c>
      <c r="L1843" s="78">
        <f>STOCK[[#This Row],[Entradas]]-STOCK[[#This Row],[Salidas]]</f>
        <v>1</v>
      </c>
      <c r="M1843" s="76">
        <f>STOCK[[#This Row],[Precio Final]]*10%</f>
        <v>1.5</v>
      </c>
      <c r="N1843" s="54">
        <v>0</v>
      </c>
      <c r="O1843" s="76">
        <v>0</v>
      </c>
      <c r="P1843" s="76">
        <v>9</v>
      </c>
      <c r="Q1843" s="76">
        <v>0</v>
      </c>
      <c r="R1843" s="78">
        <v>0</v>
      </c>
      <c r="S1843" s="76">
        <v>0</v>
      </c>
      <c r="T1843" s="76">
        <f>STOCK[[#This Row],[Costo Unitario (USD)]]+STOCK[[#This Row],[Costo Envío (USD)]]+STOCK[[#This Row],[Comisión 10%]]</f>
        <v>10.5</v>
      </c>
      <c r="U1843" s="53">
        <f>STOCK[[#This Row],[Costo total]]*1.5</f>
        <v>15.75</v>
      </c>
      <c r="V1843" s="53">
        <v>15</v>
      </c>
      <c r="W1843" s="76">
        <f>STOCK[[#This Row],[Precio Final]]-STOCK[[#This Row],[Costo total]]</f>
        <v>4.5</v>
      </c>
      <c r="X1843" s="76">
        <f>STOCK[[#This Row],[Ganancia Unitaria]]*STOCK[[#This Row],[Salidas]]</f>
        <v>0</v>
      </c>
      <c r="Y1843" s="76" t="s">
        <v>3482</v>
      </c>
      <c r="Z1843" s="87"/>
      <c r="AA1843" s="54">
        <f>STOCK[[#This Row],[Costo total]]*STOCK[[#This Row],[Entradas]]</f>
        <v>10.5</v>
      </c>
      <c r="AB1843" s="54">
        <f>STOCK[[#This Row],[Stock Actual]]*STOCK[[#This Row],[Costo total]]</f>
        <v>10.5</v>
      </c>
      <c r="AC1843" s="76"/>
      <c r="AD1843" s="94"/>
    </row>
    <row r="1844" s="53" customFormat="1" ht="50" customHeight="1" spans="1:30">
      <c r="A1844" s="92" t="s">
        <v>3647</v>
      </c>
      <c r="B1844" s="83"/>
      <c r="C1844" s="53" t="s">
        <v>32</v>
      </c>
      <c r="D1844" s="84" t="s">
        <v>780</v>
      </c>
      <c r="E1844" s="93" t="s">
        <v>3648</v>
      </c>
      <c r="F1844" s="92" t="s">
        <v>1408</v>
      </c>
      <c r="G1844" s="76"/>
      <c r="H1844" s="76">
        <f>STOCK[[#This Row],[Precio Final]]</f>
        <v>15</v>
      </c>
      <c r="I1844" s="80">
        <f>STOCK[[#This Row],[Precio Venta Ideal (x1.5)]]</f>
        <v>15.75</v>
      </c>
      <c r="J1844" s="92">
        <v>1</v>
      </c>
      <c r="K1844" s="78">
        <f>SUMIFS(VENTAS[Cantidad],VENTAS[Código del producto Vendido],STOCK[[#This Row],[Code]])</f>
        <v>0</v>
      </c>
      <c r="L1844" s="78">
        <f>STOCK[[#This Row],[Entradas]]-STOCK[[#This Row],[Salidas]]</f>
        <v>1</v>
      </c>
      <c r="M1844" s="76">
        <f>STOCK[[#This Row],[Precio Final]]*10%</f>
        <v>1.5</v>
      </c>
      <c r="N1844" s="54">
        <v>0</v>
      </c>
      <c r="O1844" s="76">
        <v>0</v>
      </c>
      <c r="P1844" s="76">
        <v>9</v>
      </c>
      <c r="Q1844" s="76">
        <v>0</v>
      </c>
      <c r="R1844" s="78">
        <v>0</v>
      </c>
      <c r="S1844" s="76">
        <v>0</v>
      </c>
      <c r="T1844" s="76">
        <f>STOCK[[#This Row],[Costo Unitario (USD)]]+STOCK[[#This Row],[Costo Envío (USD)]]+STOCK[[#This Row],[Comisión 10%]]</f>
        <v>10.5</v>
      </c>
      <c r="U1844" s="53">
        <f>STOCK[[#This Row],[Costo total]]*1.5</f>
        <v>15.75</v>
      </c>
      <c r="V1844" s="53">
        <v>15</v>
      </c>
      <c r="W1844" s="76">
        <f>STOCK[[#This Row],[Precio Final]]-STOCK[[#This Row],[Costo total]]</f>
        <v>4.5</v>
      </c>
      <c r="X1844" s="76">
        <f>STOCK[[#This Row],[Ganancia Unitaria]]*STOCK[[#This Row],[Salidas]]</f>
        <v>0</v>
      </c>
      <c r="Y1844" s="76" t="s">
        <v>3482</v>
      </c>
      <c r="Z1844" s="87"/>
      <c r="AA1844" s="54">
        <f>STOCK[[#This Row],[Costo total]]*STOCK[[#This Row],[Entradas]]</f>
        <v>10.5</v>
      </c>
      <c r="AB1844" s="54">
        <f>STOCK[[#This Row],[Stock Actual]]*STOCK[[#This Row],[Costo total]]</f>
        <v>10.5</v>
      </c>
      <c r="AC1844" s="76"/>
      <c r="AD1844" s="94"/>
    </row>
    <row r="1845" s="53" customFormat="1" ht="50" customHeight="1" spans="1:30">
      <c r="A1845" s="95" t="s">
        <v>3649</v>
      </c>
      <c r="B1845" s="83"/>
      <c r="C1845" s="53" t="s">
        <v>32</v>
      </c>
      <c r="D1845" s="84"/>
      <c r="E1845" s="96" t="s">
        <v>3650</v>
      </c>
      <c r="F1845" s="95" t="s">
        <v>62</v>
      </c>
      <c r="G1845" s="76"/>
      <c r="H1845" s="76">
        <f>STOCK[[#This Row],[Precio Final]]</f>
        <v>0</v>
      </c>
      <c r="I1845" s="80">
        <f>STOCK[[#This Row],[Precio Venta Ideal (x1.5)]]</f>
        <v>13.5</v>
      </c>
      <c r="J1845" s="95">
        <v>2</v>
      </c>
      <c r="K1845" s="78">
        <f>SUMIFS(VENTAS[Cantidad],VENTAS[Código del producto Vendido],STOCK[[#This Row],[Code]])</f>
        <v>0</v>
      </c>
      <c r="L1845" s="78">
        <f>STOCK[[#This Row],[Entradas]]-STOCK[[#This Row],[Salidas]]</f>
        <v>2</v>
      </c>
      <c r="M1845" s="76">
        <f>STOCK[[#This Row],[Precio Final]]*10%</f>
        <v>0</v>
      </c>
      <c r="N1845" s="54">
        <v>0</v>
      </c>
      <c r="O1845" s="76">
        <v>0</v>
      </c>
      <c r="P1845" s="76">
        <v>9</v>
      </c>
      <c r="Q1845" s="76">
        <v>0</v>
      </c>
      <c r="R1845" s="78">
        <v>0</v>
      </c>
      <c r="S1845" s="76">
        <v>0</v>
      </c>
      <c r="T1845" s="76">
        <f>STOCK[[#This Row],[Costo Unitario (USD)]]+STOCK[[#This Row],[Costo Envío (USD)]]+STOCK[[#This Row],[Comisión 10%]]</f>
        <v>9</v>
      </c>
      <c r="U1845" s="53">
        <f>STOCK[[#This Row],[Costo total]]*1.5</f>
        <v>13.5</v>
      </c>
      <c r="W1845" s="76">
        <f>STOCK[[#This Row],[Precio Final]]-STOCK[[#This Row],[Costo total]]</f>
        <v>-9</v>
      </c>
      <c r="X1845" s="76">
        <f>STOCK[[#This Row],[Ganancia Unitaria]]*STOCK[[#This Row],[Salidas]]</f>
        <v>0</v>
      </c>
      <c r="Y1845" s="76"/>
      <c r="Z1845" s="87"/>
      <c r="AA1845" s="54"/>
      <c r="AB1845" s="54"/>
      <c r="AC1845" s="76"/>
      <c r="AD1845" s="94"/>
    </row>
    <row r="1846" s="53" customFormat="1" ht="50" customHeight="1" spans="1:30">
      <c r="A1846" s="95" t="s">
        <v>3651</v>
      </c>
      <c r="B1846" s="83"/>
      <c r="C1846" s="53" t="s">
        <v>32</v>
      </c>
      <c r="D1846" s="84"/>
      <c r="E1846" s="96" t="s">
        <v>3652</v>
      </c>
      <c r="F1846" s="95" t="s">
        <v>46</v>
      </c>
      <c r="G1846" s="76"/>
      <c r="H1846" s="76">
        <f>STOCK[[#This Row],[Precio Final]]</f>
        <v>0</v>
      </c>
      <c r="I1846" s="80">
        <f>STOCK[[#This Row],[Precio Venta Ideal (x1.5)]]</f>
        <v>13.5</v>
      </c>
      <c r="J1846" s="95">
        <v>1</v>
      </c>
      <c r="K1846" s="78">
        <f>SUMIFS(VENTAS[Cantidad],VENTAS[Código del producto Vendido],STOCK[[#This Row],[Code]])</f>
        <v>0</v>
      </c>
      <c r="L1846" s="78">
        <f>STOCK[[#This Row],[Entradas]]-STOCK[[#This Row],[Salidas]]</f>
        <v>1</v>
      </c>
      <c r="M1846" s="76">
        <f>STOCK[[#This Row],[Precio Final]]*10%</f>
        <v>0</v>
      </c>
      <c r="N1846" s="54">
        <v>0</v>
      </c>
      <c r="O1846" s="76">
        <v>0</v>
      </c>
      <c r="P1846" s="76">
        <v>9</v>
      </c>
      <c r="Q1846" s="76">
        <v>0</v>
      </c>
      <c r="R1846" s="78">
        <v>0</v>
      </c>
      <c r="S1846" s="76">
        <v>0</v>
      </c>
      <c r="T1846" s="76">
        <f>STOCK[[#This Row],[Costo Unitario (USD)]]+STOCK[[#This Row],[Costo Envío (USD)]]+STOCK[[#This Row],[Comisión 10%]]</f>
        <v>9</v>
      </c>
      <c r="U1846" s="53">
        <f>STOCK[[#This Row],[Costo total]]*1.5</f>
        <v>13.5</v>
      </c>
      <c r="W1846" s="76">
        <f>STOCK[[#This Row],[Precio Final]]-STOCK[[#This Row],[Costo total]]</f>
        <v>-9</v>
      </c>
      <c r="X1846" s="76">
        <f>STOCK[[#This Row],[Ganancia Unitaria]]*STOCK[[#This Row],[Salidas]]</f>
        <v>0</v>
      </c>
      <c r="Y1846" s="76"/>
      <c r="Z1846" s="87"/>
      <c r="AA1846" s="54"/>
      <c r="AB1846" s="54"/>
      <c r="AC1846" s="76"/>
      <c r="AD1846" s="94"/>
    </row>
    <row r="1847" s="53" customFormat="1" ht="50" customHeight="1" spans="1:30">
      <c r="A1847" s="95" t="s">
        <v>3653</v>
      </c>
      <c r="B1847" s="83"/>
      <c r="C1847" s="53" t="s">
        <v>32</v>
      </c>
      <c r="D1847" s="84"/>
      <c r="E1847" s="96" t="s">
        <v>3654</v>
      </c>
      <c r="F1847" s="95" t="s">
        <v>46</v>
      </c>
      <c r="G1847" s="76"/>
      <c r="H1847" s="76">
        <f>STOCK[[#This Row],[Precio Final]]</f>
        <v>0</v>
      </c>
      <c r="I1847" s="80">
        <f>STOCK[[#This Row],[Precio Venta Ideal (x1.5)]]</f>
        <v>13.5</v>
      </c>
      <c r="J1847" s="95">
        <v>1</v>
      </c>
      <c r="K1847" s="78">
        <f>SUMIFS(VENTAS[Cantidad],VENTAS[Código del producto Vendido],STOCK[[#This Row],[Code]])</f>
        <v>0</v>
      </c>
      <c r="L1847" s="78">
        <f>STOCK[[#This Row],[Entradas]]-STOCK[[#This Row],[Salidas]]</f>
        <v>1</v>
      </c>
      <c r="M1847" s="76">
        <f>STOCK[[#This Row],[Precio Final]]*10%</f>
        <v>0</v>
      </c>
      <c r="N1847" s="54">
        <v>0</v>
      </c>
      <c r="O1847" s="76">
        <v>0</v>
      </c>
      <c r="P1847" s="76">
        <v>9</v>
      </c>
      <c r="Q1847" s="76">
        <v>0</v>
      </c>
      <c r="R1847" s="78">
        <v>0</v>
      </c>
      <c r="S1847" s="76">
        <v>0</v>
      </c>
      <c r="T1847" s="76">
        <f>STOCK[[#This Row],[Costo Unitario (USD)]]+STOCK[[#This Row],[Costo Envío (USD)]]+STOCK[[#This Row],[Comisión 10%]]</f>
        <v>9</v>
      </c>
      <c r="U1847" s="53">
        <f>STOCK[[#This Row],[Costo total]]*1.5</f>
        <v>13.5</v>
      </c>
      <c r="W1847" s="76">
        <f>STOCK[[#This Row],[Precio Final]]-STOCK[[#This Row],[Costo total]]</f>
        <v>-9</v>
      </c>
      <c r="X1847" s="76">
        <f>STOCK[[#This Row],[Ganancia Unitaria]]*STOCK[[#This Row],[Salidas]]</f>
        <v>0</v>
      </c>
      <c r="Y1847" s="76"/>
      <c r="Z1847" s="87"/>
      <c r="AA1847" s="54"/>
      <c r="AB1847" s="54"/>
      <c r="AC1847" s="76"/>
      <c r="AD1847" s="94"/>
    </row>
    <row r="1848" s="53" customFormat="1" ht="50" customHeight="1" spans="1:30">
      <c r="A1848" s="95" t="s">
        <v>3655</v>
      </c>
      <c r="B1848" s="83"/>
      <c r="C1848" s="53" t="s">
        <v>32</v>
      </c>
      <c r="D1848" s="84"/>
      <c r="E1848" s="96" t="s">
        <v>3656</v>
      </c>
      <c r="F1848" s="95" t="s">
        <v>46</v>
      </c>
      <c r="G1848" s="76"/>
      <c r="H1848" s="76">
        <f>STOCK[[#This Row],[Precio Final]]</f>
        <v>0</v>
      </c>
      <c r="I1848" s="80">
        <f>STOCK[[#This Row],[Precio Venta Ideal (x1.5)]]</f>
        <v>13.5</v>
      </c>
      <c r="J1848" s="95">
        <v>1</v>
      </c>
      <c r="K1848" s="78">
        <f>SUMIFS(VENTAS[Cantidad],VENTAS[Código del producto Vendido],STOCK[[#This Row],[Code]])</f>
        <v>0</v>
      </c>
      <c r="L1848" s="78">
        <f>STOCK[[#This Row],[Entradas]]-STOCK[[#This Row],[Salidas]]</f>
        <v>1</v>
      </c>
      <c r="M1848" s="76">
        <f>STOCK[[#This Row],[Precio Final]]*10%</f>
        <v>0</v>
      </c>
      <c r="N1848" s="54">
        <v>0</v>
      </c>
      <c r="O1848" s="76">
        <v>0</v>
      </c>
      <c r="P1848" s="76">
        <v>9</v>
      </c>
      <c r="Q1848" s="76">
        <v>0</v>
      </c>
      <c r="R1848" s="78">
        <v>0</v>
      </c>
      <c r="S1848" s="76">
        <v>0</v>
      </c>
      <c r="T1848" s="76">
        <f>STOCK[[#This Row],[Costo Unitario (USD)]]+STOCK[[#This Row],[Costo Envío (USD)]]+STOCK[[#This Row],[Comisión 10%]]</f>
        <v>9</v>
      </c>
      <c r="U1848" s="53">
        <f>STOCK[[#This Row],[Costo total]]*1.5</f>
        <v>13.5</v>
      </c>
      <c r="W1848" s="76">
        <f>STOCK[[#This Row],[Precio Final]]-STOCK[[#This Row],[Costo total]]</f>
        <v>-9</v>
      </c>
      <c r="X1848" s="76">
        <f>STOCK[[#This Row],[Ganancia Unitaria]]*STOCK[[#This Row],[Salidas]]</f>
        <v>0</v>
      </c>
      <c r="Y1848" s="76"/>
      <c r="Z1848" s="87"/>
      <c r="AA1848" s="54"/>
      <c r="AB1848" s="54"/>
      <c r="AC1848" s="76"/>
      <c r="AD1848" s="94"/>
    </row>
    <row r="1849" s="53" customFormat="1" ht="50" customHeight="1" spans="1:30">
      <c r="A1849" s="95" t="s">
        <v>3657</v>
      </c>
      <c r="B1849" s="83"/>
      <c r="C1849" s="53" t="s">
        <v>32</v>
      </c>
      <c r="D1849" s="84"/>
      <c r="E1849" s="96" t="s">
        <v>3658</v>
      </c>
      <c r="F1849" s="95" t="s">
        <v>46</v>
      </c>
      <c r="G1849" s="76"/>
      <c r="H1849" s="76">
        <f>STOCK[[#This Row],[Precio Final]]</f>
        <v>0</v>
      </c>
      <c r="I1849" s="80">
        <f>STOCK[[#This Row],[Precio Venta Ideal (x1.5)]]</f>
        <v>13.5</v>
      </c>
      <c r="J1849" s="95">
        <v>1</v>
      </c>
      <c r="K1849" s="78">
        <f>SUMIFS(VENTAS[Cantidad],VENTAS[Código del producto Vendido],STOCK[[#This Row],[Code]])</f>
        <v>0</v>
      </c>
      <c r="L1849" s="78">
        <f>STOCK[[#This Row],[Entradas]]-STOCK[[#This Row],[Salidas]]</f>
        <v>1</v>
      </c>
      <c r="M1849" s="76">
        <f>STOCK[[#This Row],[Precio Final]]*10%</f>
        <v>0</v>
      </c>
      <c r="N1849" s="54">
        <v>0</v>
      </c>
      <c r="O1849" s="76">
        <v>0</v>
      </c>
      <c r="P1849" s="76">
        <v>9</v>
      </c>
      <c r="Q1849" s="76">
        <v>0</v>
      </c>
      <c r="R1849" s="78">
        <v>0</v>
      </c>
      <c r="S1849" s="76">
        <v>0</v>
      </c>
      <c r="T1849" s="76">
        <f>STOCK[[#This Row],[Costo Unitario (USD)]]+STOCK[[#This Row],[Costo Envío (USD)]]+STOCK[[#This Row],[Comisión 10%]]</f>
        <v>9</v>
      </c>
      <c r="U1849" s="53">
        <f>STOCK[[#This Row],[Costo total]]*1.5</f>
        <v>13.5</v>
      </c>
      <c r="W1849" s="76">
        <f>STOCK[[#This Row],[Precio Final]]-STOCK[[#This Row],[Costo total]]</f>
        <v>-9</v>
      </c>
      <c r="X1849" s="76">
        <f>STOCK[[#This Row],[Ganancia Unitaria]]*STOCK[[#This Row],[Salidas]]</f>
        <v>0</v>
      </c>
      <c r="Y1849" s="76"/>
      <c r="Z1849" s="87"/>
      <c r="AA1849" s="54"/>
      <c r="AB1849" s="54"/>
      <c r="AC1849" s="76"/>
      <c r="AD1849" s="94"/>
    </row>
    <row r="1850" s="53" customFormat="1" ht="50" customHeight="1" spans="1:30">
      <c r="A1850" s="95" t="s">
        <v>3659</v>
      </c>
      <c r="B1850" s="83"/>
      <c r="C1850" s="53" t="s">
        <v>32</v>
      </c>
      <c r="D1850" s="84"/>
      <c r="E1850" s="96" t="s">
        <v>3660</v>
      </c>
      <c r="F1850" s="95" t="s">
        <v>42</v>
      </c>
      <c r="G1850" s="76"/>
      <c r="H1850" s="76">
        <f>STOCK[[#This Row],[Precio Final]]</f>
        <v>0</v>
      </c>
      <c r="I1850" s="80">
        <f>STOCK[[#This Row],[Precio Venta Ideal (x1.5)]]</f>
        <v>13.5</v>
      </c>
      <c r="J1850" s="95">
        <v>1</v>
      </c>
      <c r="K1850" s="78">
        <f>SUMIFS(VENTAS[Cantidad],VENTAS[Código del producto Vendido],STOCK[[#This Row],[Code]])</f>
        <v>0</v>
      </c>
      <c r="L1850" s="78">
        <f>STOCK[[#This Row],[Entradas]]-STOCK[[#This Row],[Salidas]]</f>
        <v>1</v>
      </c>
      <c r="M1850" s="76">
        <f>STOCK[[#This Row],[Precio Final]]*10%</f>
        <v>0</v>
      </c>
      <c r="N1850" s="54">
        <v>0</v>
      </c>
      <c r="O1850" s="76">
        <v>0</v>
      </c>
      <c r="P1850" s="76">
        <v>9</v>
      </c>
      <c r="Q1850" s="76">
        <v>0</v>
      </c>
      <c r="R1850" s="78">
        <v>0</v>
      </c>
      <c r="S1850" s="76">
        <v>0</v>
      </c>
      <c r="T1850" s="76">
        <f>STOCK[[#This Row],[Costo Unitario (USD)]]+STOCK[[#This Row],[Costo Envío (USD)]]+STOCK[[#This Row],[Comisión 10%]]</f>
        <v>9</v>
      </c>
      <c r="U1850" s="53">
        <f>STOCK[[#This Row],[Costo total]]*1.5</f>
        <v>13.5</v>
      </c>
      <c r="W1850" s="76">
        <f>STOCK[[#This Row],[Precio Final]]-STOCK[[#This Row],[Costo total]]</f>
        <v>-9</v>
      </c>
      <c r="X1850" s="76">
        <f>STOCK[[#This Row],[Ganancia Unitaria]]*STOCK[[#This Row],[Salidas]]</f>
        <v>0</v>
      </c>
      <c r="Y1850" s="76"/>
      <c r="Z1850" s="87"/>
      <c r="AA1850" s="54"/>
      <c r="AB1850" s="54"/>
      <c r="AC1850" s="76"/>
      <c r="AD1850" s="94"/>
    </row>
    <row r="1851" s="53" customFormat="1" ht="50" customHeight="1" spans="1:30">
      <c r="A1851" s="95" t="s">
        <v>3661</v>
      </c>
      <c r="B1851" s="83"/>
      <c r="C1851" s="53" t="s">
        <v>32</v>
      </c>
      <c r="D1851" s="84"/>
      <c r="E1851" s="96" t="s">
        <v>3662</v>
      </c>
      <c r="F1851" s="95" t="s">
        <v>46</v>
      </c>
      <c r="G1851" s="76"/>
      <c r="H1851" s="76">
        <f>STOCK[[#This Row],[Precio Final]]</f>
        <v>0</v>
      </c>
      <c r="I1851" s="80">
        <f>STOCK[[#This Row],[Precio Venta Ideal (x1.5)]]</f>
        <v>13.5</v>
      </c>
      <c r="J1851" s="95">
        <v>2</v>
      </c>
      <c r="K1851" s="78">
        <f>SUMIFS(VENTAS[Cantidad],VENTAS[Código del producto Vendido],STOCK[[#This Row],[Code]])</f>
        <v>0</v>
      </c>
      <c r="L1851" s="78">
        <f>STOCK[[#This Row],[Entradas]]-STOCK[[#This Row],[Salidas]]</f>
        <v>2</v>
      </c>
      <c r="M1851" s="76">
        <f>STOCK[[#This Row],[Precio Final]]*10%</f>
        <v>0</v>
      </c>
      <c r="N1851" s="54">
        <v>0</v>
      </c>
      <c r="O1851" s="76">
        <v>0</v>
      </c>
      <c r="P1851" s="76">
        <v>9</v>
      </c>
      <c r="Q1851" s="76">
        <v>0</v>
      </c>
      <c r="R1851" s="78">
        <v>0</v>
      </c>
      <c r="S1851" s="76">
        <v>0</v>
      </c>
      <c r="T1851" s="76">
        <f>STOCK[[#This Row],[Costo Unitario (USD)]]+STOCK[[#This Row],[Costo Envío (USD)]]+STOCK[[#This Row],[Comisión 10%]]</f>
        <v>9</v>
      </c>
      <c r="U1851" s="53">
        <f>STOCK[[#This Row],[Costo total]]*1.5</f>
        <v>13.5</v>
      </c>
      <c r="W1851" s="76">
        <f>STOCK[[#This Row],[Precio Final]]-STOCK[[#This Row],[Costo total]]</f>
        <v>-9</v>
      </c>
      <c r="X1851" s="76">
        <f>STOCK[[#This Row],[Ganancia Unitaria]]*STOCK[[#This Row],[Salidas]]</f>
        <v>0</v>
      </c>
      <c r="Y1851" s="76"/>
      <c r="Z1851" s="87"/>
      <c r="AA1851" s="54"/>
      <c r="AB1851" s="54"/>
      <c r="AC1851" s="76"/>
      <c r="AD1851" s="94"/>
    </row>
    <row r="1852" s="53" customFormat="1" ht="50" customHeight="1" spans="1:30">
      <c r="A1852" s="95" t="s">
        <v>3663</v>
      </c>
      <c r="B1852" s="83"/>
      <c r="C1852" s="53" t="s">
        <v>32</v>
      </c>
      <c r="D1852" s="84"/>
      <c r="E1852" s="96" t="s">
        <v>3664</v>
      </c>
      <c r="F1852" s="95" t="s">
        <v>46</v>
      </c>
      <c r="G1852" s="76"/>
      <c r="H1852" s="76">
        <f>STOCK[[#This Row],[Precio Final]]</f>
        <v>0</v>
      </c>
      <c r="I1852" s="80">
        <f>STOCK[[#This Row],[Precio Venta Ideal (x1.5)]]</f>
        <v>13.5</v>
      </c>
      <c r="J1852" s="95">
        <v>3</v>
      </c>
      <c r="K1852" s="78">
        <f>SUMIFS(VENTAS[Cantidad],VENTAS[Código del producto Vendido],STOCK[[#This Row],[Code]])</f>
        <v>0</v>
      </c>
      <c r="L1852" s="78">
        <f>STOCK[[#This Row],[Entradas]]-STOCK[[#This Row],[Salidas]]</f>
        <v>3</v>
      </c>
      <c r="M1852" s="76">
        <f>STOCK[[#This Row],[Precio Final]]*10%</f>
        <v>0</v>
      </c>
      <c r="N1852" s="54">
        <v>0</v>
      </c>
      <c r="O1852" s="76">
        <v>0</v>
      </c>
      <c r="P1852" s="76">
        <v>9</v>
      </c>
      <c r="Q1852" s="76">
        <v>0</v>
      </c>
      <c r="R1852" s="78">
        <v>0</v>
      </c>
      <c r="S1852" s="76">
        <v>0</v>
      </c>
      <c r="T1852" s="76">
        <f>STOCK[[#This Row],[Costo Unitario (USD)]]+STOCK[[#This Row],[Costo Envío (USD)]]+STOCK[[#This Row],[Comisión 10%]]</f>
        <v>9</v>
      </c>
      <c r="U1852" s="53">
        <f>STOCK[[#This Row],[Costo total]]*1.5</f>
        <v>13.5</v>
      </c>
      <c r="W1852" s="76">
        <f>STOCK[[#This Row],[Precio Final]]-STOCK[[#This Row],[Costo total]]</f>
        <v>-9</v>
      </c>
      <c r="X1852" s="76">
        <f>STOCK[[#This Row],[Ganancia Unitaria]]*STOCK[[#This Row],[Salidas]]</f>
        <v>0</v>
      </c>
      <c r="Y1852" s="76"/>
      <c r="Z1852" s="87"/>
      <c r="AA1852" s="54"/>
      <c r="AB1852" s="54"/>
      <c r="AC1852" s="76"/>
      <c r="AD1852" s="94"/>
    </row>
    <row r="1853" s="53" customFormat="1" ht="50" customHeight="1" spans="1:30">
      <c r="A1853" s="95" t="s">
        <v>3665</v>
      </c>
      <c r="B1853" s="83"/>
      <c r="C1853" s="53" t="s">
        <v>32</v>
      </c>
      <c r="D1853" s="84"/>
      <c r="E1853" s="96" t="s">
        <v>3666</v>
      </c>
      <c r="F1853" s="95" t="s">
        <v>49</v>
      </c>
      <c r="G1853" s="76"/>
      <c r="H1853" s="76">
        <f>STOCK[[#This Row],[Precio Final]]</f>
        <v>0</v>
      </c>
      <c r="I1853" s="80">
        <f>STOCK[[#This Row],[Precio Venta Ideal (x1.5)]]</f>
        <v>13.5</v>
      </c>
      <c r="J1853" s="95">
        <v>1</v>
      </c>
      <c r="K1853" s="78">
        <f>SUMIFS(VENTAS[Cantidad],VENTAS[Código del producto Vendido],STOCK[[#This Row],[Code]])</f>
        <v>0</v>
      </c>
      <c r="L1853" s="78">
        <f>STOCK[[#This Row],[Entradas]]-STOCK[[#This Row],[Salidas]]</f>
        <v>1</v>
      </c>
      <c r="M1853" s="76">
        <f>STOCK[[#This Row],[Precio Final]]*10%</f>
        <v>0</v>
      </c>
      <c r="N1853" s="54">
        <v>0</v>
      </c>
      <c r="O1853" s="76">
        <v>0</v>
      </c>
      <c r="P1853" s="76">
        <v>9</v>
      </c>
      <c r="Q1853" s="76">
        <v>0</v>
      </c>
      <c r="R1853" s="78">
        <v>0</v>
      </c>
      <c r="S1853" s="76">
        <v>0</v>
      </c>
      <c r="T1853" s="76">
        <f>STOCK[[#This Row],[Costo Unitario (USD)]]+STOCK[[#This Row],[Costo Envío (USD)]]+STOCK[[#This Row],[Comisión 10%]]</f>
        <v>9</v>
      </c>
      <c r="U1853" s="53">
        <f>STOCK[[#This Row],[Costo total]]*1.5</f>
        <v>13.5</v>
      </c>
      <c r="W1853" s="76">
        <f>STOCK[[#This Row],[Precio Final]]-STOCK[[#This Row],[Costo total]]</f>
        <v>-9</v>
      </c>
      <c r="X1853" s="76">
        <f>STOCK[[#This Row],[Ganancia Unitaria]]*STOCK[[#This Row],[Salidas]]</f>
        <v>0</v>
      </c>
      <c r="Y1853" s="76"/>
      <c r="Z1853" s="87"/>
      <c r="AA1853" s="54"/>
      <c r="AB1853" s="54"/>
      <c r="AC1853" s="76"/>
      <c r="AD1853" s="94"/>
    </row>
    <row r="1854" s="53" customFormat="1" ht="50" customHeight="1" spans="1:30">
      <c r="A1854" s="95" t="s">
        <v>3667</v>
      </c>
      <c r="B1854" s="83"/>
      <c r="C1854" s="53" t="s">
        <v>32</v>
      </c>
      <c r="D1854" s="84"/>
      <c r="E1854" s="96" t="s">
        <v>3668</v>
      </c>
      <c r="F1854" s="95" t="s">
        <v>46</v>
      </c>
      <c r="G1854" s="76"/>
      <c r="H1854" s="76">
        <f>STOCK[[#This Row],[Precio Final]]</f>
        <v>0</v>
      </c>
      <c r="I1854" s="80">
        <f>STOCK[[#This Row],[Precio Venta Ideal (x1.5)]]</f>
        <v>13.5</v>
      </c>
      <c r="J1854" s="95">
        <v>1</v>
      </c>
      <c r="K1854" s="78">
        <f>SUMIFS(VENTAS[Cantidad],VENTAS[Código del producto Vendido],STOCK[[#This Row],[Code]])</f>
        <v>0</v>
      </c>
      <c r="L1854" s="78">
        <f>STOCK[[#This Row],[Entradas]]-STOCK[[#This Row],[Salidas]]</f>
        <v>1</v>
      </c>
      <c r="M1854" s="76">
        <f>STOCK[[#This Row],[Precio Final]]*10%</f>
        <v>0</v>
      </c>
      <c r="N1854" s="54">
        <v>0</v>
      </c>
      <c r="O1854" s="76">
        <v>0</v>
      </c>
      <c r="P1854" s="76">
        <v>9</v>
      </c>
      <c r="Q1854" s="76">
        <v>0</v>
      </c>
      <c r="R1854" s="78">
        <v>0</v>
      </c>
      <c r="S1854" s="76">
        <v>0</v>
      </c>
      <c r="T1854" s="76">
        <f>STOCK[[#This Row],[Costo Unitario (USD)]]+STOCK[[#This Row],[Costo Envío (USD)]]+STOCK[[#This Row],[Comisión 10%]]</f>
        <v>9</v>
      </c>
      <c r="U1854" s="53">
        <f>STOCK[[#This Row],[Costo total]]*1.5</f>
        <v>13.5</v>
      </c>
      <c r="W1854" s="76">
        <f>STOCK[[#This Row],[Precio Final]]-STOCK[[#This Row],[Costo total]]</f>
        <v>-9</v>
      </c>
      <c r="X1854" s="76">
        <f>STOCK[[#This Row],[Ganancia Unitaria]]*STOCK[[#This Row],[Salidas]]</f>
        <v>0</v>
      </c>
      <c r="Y1854" s="76"/>
      <c r="Z1854" s="87"/>
      <c r="AA1854" s="54"/>
      <c r="AB1854" s="54"/>
      <c r="AC1854" s="76"/>
      <c r="AD1854" s="94"/>
    </row>
    <row r="1855" s="53" customFormat="1" ht="50" customHeight="1" spans="1:30">
      <c r="A1855" s="95" t="s">
        <v>3669</v>
      </c>
      <c r="B1855" s="83"/>
      <c r="C1855" s="53" t="s">
        <v>32</v>
      </c>
      <c r="D1855" s="84"/>
      <c r="E1855" s="96" t="s">
        <v>3670</v>
      </c>
      <c r="F1855" s="95" t="s">
        <v>716</v>
      </c>
      <c r="G1855" s="76"/>
      <c r="H1855" s="76">
        <f>STOCK[[#This Row],[Precio Final]]</f>
        <v>0</v>
      </c>
      <c r="I1855" s="80">
        <f>STOCK[[#This Row],[Precio Venta Ideal (x1.5)]]</f>
        <v>13.5</v>
      </c>
      <c r="J1855" s="95">
        <v>1</v>
      </c>
      <c r="K1855" s="78">
        <f>SUMIFS(VENTAS[Cantidad],VENTAS[Código del producto Vendido],STOCK[[#This Row],[Code]])</f>
        <v>0</v>
      </c>
      <c r="L1855" s="78">
        <f>STOCK[[#This Row],[Entradas]]-STOCK[[#This Row],[Salidas]]</f>
        <v>1</v>
      </c>
      <c r="M1855" s="76">
        <f>STOCK[[#This Row],[Precio Final]]*10%</f>
        <v>0</v>
      </c>
      <c r="N1855" s="54">
        <v>0</v>
      </c>
      <c r="O1855" s="76">
        <v>0</v>
      </c>
      <c r="P1855" s="76">
        <v>9</v>
      </c>
      <c r="Q1855" s="76">
        <v>0</v>
      </c>
      <c r="R1855" s="78">
        <v>0</v>
      </c>
      <c r="S1855" s="76">
        <v>0</v>
      </c>
      <c r="T1855" s="76">
        <f>STOCK[[#This Row],[Costo Unitario (USD)]]+STOCK[[#This Row],[Costo Envío (USD)]]+STOCK[[#This Row],[Comisión 10%]]</f>
        <v>9</v>
      </c>
      <c r="U1855" s="53">
        <f>STOCK[[#This Row],[Costo total]]*1.5</f>
        <v>13.5</v>
      </c>
      <c r="W1855" s="76">
        <f>STOCK[[#This Row],[Precio Final]]-STOCK[[#This Row],[Costo total]]</f>
        <v>-9</v>
      </c>
      <c r="X1855" s="76">
        <f>STOCK[[#This Row],[Ganancia Unitaria]]*STOCK[[#This Row],[Salidas]]</f>
        <v>0</v>
      </c>
      <c r="Y1855" s="76"/>
      <c r="Z1855" s="87"/>
      <c r="AA1855" s="54"/>
      <c r="AB1855" s="54"/>
      <c r="AC1855" s="76"/>
      <c r="AD1855" s="94"/>
    </row>
    <row r="1856" s="53" customFormat="1" ht="50" customHeight="1" spans="1:30">
      <c r="A1856" s="95" t="s">
        <v>3671</v>
      </c>
      <c r="B1856" s="83"/>
      <c r="C1856" s="53" t="s">
        <v>32</v>
      </c>
      <c r="D1856" s="84"/>
      <c r="E1856" s="96" t="s">
        <v>3672</v>
      </c>
      <c r="F1856" s="95" t="s">
        <v>46</v>
      </c>
      <c r="G1856" s="76"/>
      <c r="H1856" s="76">
        <f>STOCK[[#This Row],[Precio Final]]</f>
        <v>0</v>
      </c>
      <c r="I1856" s="80">
        <f>STOCK[[#This Row],[Precio Venta Ideal (x1.5)]]</f>
        <v>13.5</v>
      </c>
      <c r="J1856" s="95">
        <v>1</v>
      </c>
      <c r="K1856" s="78">
        <f>SUMIFS(VENTAS[Cantidad],VENTAS[Código del producto Vendido],STOCK[[#This Row],[Code]])</f>
        <v>0</v>
      </c>
      <c r="L1856" s="78">
        <f>STOCK[[#This Row],[Entradas]]-STOCK[[#This Row],[Salidas]]</f>
        <v>1</v>
      </c>
      <c r="M1856" s="76">
        <f>STOCK[[#This Row],[Precio Final]]*10%</f>
        <v>0</v>
      </c>
      <c r="N1856" s="54">
        <v>0</v>
      </c>
      <c r="O1856" s="76">
        <v>0</v>
      </c>
      <c r="P1856" s="76">
        <v>9</v>
      </c>
      <c r="Q1856" s="76">
        <v>0</v>
      </c>
      <c r="R1856" s="78">
        <v>0</v>
      </c>
      <c r="S1856" s="76">
        <v>0</v>
      </c>
      <c r="T1856" s="76">
        <f>STOCK[[#This Row],[Costo Unitario (USD)]]+STOCK[[#This Row],[Costo Envío (USD)]]+STOCK[[#This Row],[Comisión 10%]]</f>
        <v>9</v>
      </c>
      <c r="U1856" s="53">
        <f>STOCK[[#This Row],[Costo total]]*1.5</f>
        <v>13.5</v>
      </c>
      <c r="W1856" s="76">
        <f>STOCK[[#This Row],[Precio Final]]-STOCK[[#This Row],[Costo total]]</f>
        <v>-9</v>
      </c>
      <c r="X1856" s="76">
        <f>STOCK[[#This Row],[Ganancia Unitaria]]*STOCK[[#This Row],[Salidas]]</f>
        <v>0</v>
      </c>
      <c r="Y1856" s="76"/>
      <c r="Z1856" s="87"/>
      <c r="AA1856" s="54"/>
      <c r="AB1856" s="54"/>
      <c r="AC1856" s="76"/>
      <c r="AD1856" s="94"/>
    </row>
    <row r="1857" s="53" customFormat="1" ht="50" customHeight="1" spans="1:30">
      <c r="A1857" s="95" t="s">
        <v>3673</v>
      </c>
      <c r="B1857" s="83"/>
      <c r="C1857" s="53" t="s">
        <v>32</v>
      </c>
      <c r="D1857" s="84"/>
      <c r="E1857" s="96" t="s">
        <v>3674</v>
      </c>
      <c r="F1857" s="95" t="s">
        <v>46</v>
      </c>
      <c r="G1857" s="76"/>
      <c r="H1857" s="76">
        <f>STOCK[[#This Row],[Precio Final]]</f>
        <v>0</v>
      </c>
      <c r="I1857" s="80">
        <f>STOCK[[#This Row],[Precio Venta Ideal (x1.5)]]</f>
        <v>13.5</v>
      </c>
      <c r="J1857" s="95">
        <v>1</v>
      </c>
      <c r="K1857" s="78">
        <f>SUMIFS(VENTAS[Cantidad],VENTAS[Código del producto Vendido],STOCK[[#This Row],[Code]])</f>
        <v>0</v>
      </c>
      <c r="L1857" s="78">
        <f>STOCK[[#This Row],[Entradas]]-STOCK[[#This Row],[Salidas]]</f>
        <v>1</v>
      </c>
      <c r="M1857" s="76">
        <f>STOCK[[#This Row],[Precio Final]]*10%</f>
        <v>0</v>
      </c>
      <c r="N1857" s="54">
        <v>0</v>
      </c>
      <c r="O1857" s="76">
        <v>0</v>
      </c>
      <c r="P1857" s="76">
        <v>9</v>
      </c>
      <c r="Q1857" s="76">
        <v>0</v>
      </c>
      <c r="R1857" s="78">
        <v>0</v>
      </c>
      <c r="S1857" s="76">
        <v>0</v>
      </c>
      <c r="T1857" s="76">
        <f>STOCK[[#This Row],[Costo Unitario (USD)]]+STOCK[[#This Row],[Costo Envío (USD)]]+STOCK[[#This Row],[Comisión 10%]]</f>
        <v>9</v>
      </c>
      <c r="U1857" s="53">
        <f>STOCK[[#This Row],[Costo total]]*1.5</f>
        <v>13.5</v>
      </c>
      <c r="W1857" s="76">
        <f>STOCK[[#This Row],[Precio Final]]-STOCK[[#This Row],[Costo total]]</f>
        <v>-9</v>
      </c>
      <c r="X1857" s="76">
        <f>STOCK[[#This Row],[Ganancia Unitaria]]*STOCK[[#This Row],[Salidas]]</f>
        <v>0</v>
      </c>
      <c r="Y1857" s="76"/>
      <c r="Z1857" s="87"/>
      <c r="AA1857" s="54"/>
      <c r="AB1857" s="54"/>
      <c r="AC1857" s="76"/>
      <c r="AD1857" s="94"/>
    </row>
    <row r="1858" s="53" customFormat="1" ht="50" customHeight="1" spans="1:30">
      <c r="A1858" s="95" t="s">
        <v>3675</v>
      </c>
      <c r="B1858" s="83"/>
      <c r="C1858" s="53" t="s">
        <v>32</v>
      </c>
      <c r="D1858" s="84"/>
      <c r="E1858" s="96" t="s">
        <v>3676</v>
      </c>
      <c r="F1858" s="95" t="s">
        <v>42</v>
      </c>
      <c r="G1858" s="76"/>
      <c r="H1858" s="76">
        <f>STOCK[[#This Row],[Precio Final]]</f>
        <v>0</v>
      </c>
      <c r="I1858" s="80">
        <f>STOCK[[#This Row],[Precio Venta Ideal (x1.5)]]</f>
        <v>13.5</v>
      </c>
      <c r="J1858" s="95">
        <v>1</v>
      </c>
      <c r="K1858" s="78">
        <f>SUMIFS(VENTAS[Cantidad],VENTAS[Código del producto Vendido],STOCK[[#This Row],[Code]])</f>
        <v>0</v>
      </c>
      <c r="L1858" s="78">
        <f>STOCK[[#This Row],[Entradas]]-STOCK[[#This Row],[Salidas]]</f>
        <v>1</v>
      </c>
      <c r="M1858" s="76">
        <f>STOCK[[#This Row],[Precio Final]]*10%</f>
        <v>0</v>
      </c>
      <c r="N1858" s="54">
        <v>0</v>
      </c>
      <c r="O1858" s="76">
        <v>0</v>
      </c>
      <c r="P1858" s="76">
        <v>9</v>
      </c>
      <c r="Q1858" s="76">
        <v>0</v>
      </c>
      <c r="R1858" s="78">
        <v>0</v>
      </c>
      <c r="S1858" s="76">
        <v>0</v>
      </c>
      <c r="T1858" s="76">
        <f>STOCK[[#This Row],[Costo Unitario (USD)]]+STOCK[[#This Row],[Costo Envío (USD)]]+STOCK[[#This Row],[Comisión 10%]]</f>
        <v>9</v>
      </c>
      <c r="U1858" s="53">
        <f>STOCK[[#This Row],[Costo total]]*1.5</f>
        <v>13.5</v>
      </c>
      <c r="W1858" s="76">
        <f>STOCK[[#This Row],[Precio Final]]-STOCK[[#This Row],[Costo total]]</f>
        <v>-9</v>
      </c>
      <c r="X1858" s="76">
        <f>STOCK[[#This Row],[Ganancia Unitaria]]*STOCK[[#This Row],[Salidas]]</f>
        <v>0</v>
      </c>
      <c r="Y1858" s="76"/>
      <c r="Z1858" s="87"/>
      <c r="AA1858" s="54"/>
      <c r="AB1858" s="54"/>
      <c r="AC1858" s="76"/>
      <c r="AD1858" s="94"/>
    </row>
    <row r="1859" s="53" customFormat="1" ht="50" customHeight="1" spans="1:30">
      <c r="A1859" s="95" t="s">
        <v>3677</v>
      </c>
      <c r="B1859" s="83"/>
      <c r="C1859" s="53" t="s">
        <v>32</v>
      </c>
      <c r="D1859" s="84"/>
      <c r="E1859" s="96" t="s">
        <v>3676</v>
      </c>
      <c r="F1859" s="95" t="s">
        <v>46</v>
      </c>
      <c r="G1859" s="76"/>
      <c r="H1859" s="76">
        <f>STOCK[[#This Row],[Precio Final]]</f>
        <v>0</v>
      </c>
      <c r="I1859" s="80">
        <f>STOCK[[#This Row],[Precio Venta Ideal (x1.5)]]</f>
        <v>13.5</v>
      </c>
      <c r="J1859" s="95">
        <v>1</v>
      </c>
      <c r="K1859" s="78">
        <f>SUMIFS(VENTAS[Cantidad],VENTAS[Código del producto Vendido],STOCK[[#This Row],[Code]])</f>
        <v>0</v>
      </c>
      <c r="L1859" s="78">
        <f>STOCK[[#This Row],[Entradas]]-STOCK[[#This Row],[Salidas]]</f>
        <v>1</v>
      </c>
      <c r="M1859" s="76">
        <f>STOCK[[#This Row],[Precio Final]]*10%</f>
        <v>0</v>
      </c>
      <c r="N1859" s="54">
        <v>0</v>
      </c>
      <c r="O1859" s="76">
        <v>0</v>
      </c>
      <c r="P1859" s="76">
        <v>9</v>
      </c>
      <c r="Q1859" s="76">
        <v>0</v>
      </c>
      <c r="R1859" s="78">
        <v>0</v>
      </c>
      <c r="S1859" s="76">
        <v>0</v>
      </c>
      <c r="T1859" s="76">
        <f>STOCK[[#This Row],[Costo Unitario (USD)]]+STOCK[[#This Row],[Costo Envío (USD)]]+STOCK[[#This Row],[Comisión 10%]]</f>
        <v>9</v>
      </c>
      <c r="U1859" s="53">
        <f>STOCK[[#This Row],[Costo total]]*1.5</f>
        <v>13.5</v>
      </c>
      <c r="W1859" s="76">
        <f>STOCK[[#This Row],[Precio Final]]-STOCK[[#This Row],[Costo total]]</f>
        <v>-9</v>
      </c>
      <c r="X1859" s="76">
        <f>STOCK[[#This Row],[Ganancia Unitaria]]*STOCK[[#This Row],[Salidas]]</f>
        <v>0</v>
      </c>
      <c r="Y1859" s="76"/>
      <c r="Z1859" s="87"/>
      <c r="AA1859" s="54"/>
      <c r="AB1859" s="54"/>
      <c r="AC1859" s="76"/>
      <c r="AD1859" s="94"/>
    </row>
    <row r="1860" s="53" customFormat="1" ht="50" customHeight="1" spans="1:30">
      <c r="A1860" s="95" t="s">
        <v>3678</v>
      </c>
      <c r="B1860" s="83"/>
      <c r="C1860" s="53" t="s">
        <v>32</v>
      </c>
      <c r="D1860" s="84"/>
      <c r="E1860" s="96" t="s">
        <v>3679</v>
      </c>
      <c r="F1860" s="95" t="s">
        <v>49</v>
      </c>
      <c r="G1860" s="76"/>
      <c r="H1860" s="76">
        <f>STOCK[[#This Row],[Precio Final]]</f>
        <v>0</v>
      </c>
      <c r="I1860" s="80">
        <f>STOCK[[#This Row],[Precio Venta Ideal (x1.5)]]</f>
        <v>13.5</v>
      </c>
      <c r="J1860" s="95">
        <v>1</v>
      </c>
      <c r="K1860" s="78">
        <f>SUMIFS(VENTAS[Cantidad],VENTAS[Código del producto Vendido],STOCK[[#This Row],[Code]])</f>
        <v>0</v>
      </c>
      <c r="L1860" s="78">
        <f>STOCK[[#This Row],[Entradas]]-STOCK[[#This Row],[Salidas]]</f>
        <v>1</v>
      </c>
      <c r="M1860" s="76">
        <f>STOCK[[#This Row],[Precio Final]]*10%</f>
        <v>0</v>
      </c>
      <c r="N1860" s="54">
        <v>0</v>
      </c>
      <c r="O1860" s="76">
        <v>0</v>
      </c>
      <c r="P1860" s="76">
        <v>9</v>
      </c>
      <c r="Q1860" s="76">
        <v>0</v>
      </c>
      <c r="R1860" s="78">
        <v>0</v>
      </c>
      <c r="S1860" s="76">
        <v>0</v>
      </c>
      <c r="T1860" s="76">
        <f>STOCK[[#This Row],[Costo Unitario (USD)]]+STOCK[[#This Row],[Costo Envío (USD)]]+STOCK[[#This Row],[Comisión 10%]]</f>
        <v>9</v>
      </c>
      <c r="U1860" s="53">
        <f>STOCK[[#This Row],[Costo total]]*1.5</f>
        <v>13.5</v>
      </c>
      <c r="W1860" s="76">
        <f>STOCK[[#This Row],[Precio Final]]-STOCK[[#This Row],[Costo total]]</f>
        <v>-9</v>
      </c>
      <c r="X1860" s="76">
        <f>STOCK[[#This Row],[Ganancia Unitaria]]*STOCK[[#This Row],[Salidas]]</f>
        <v>0</v>
      </c>
      <c r="Y1860" s="76"/>
      <c r="Z1860" s="87"/>
      <c r="AA1860" s="54"/>
      <c r="AB1860" s="54"/>
      <c r="AC1860" s="76"/>
      <c r="AD1860" s="94"/>
    </row>
    <row r="1861" s="53" customFormat="1" ht="50" customHeight="1" spans="1:30">
      <c r="A1861" s="95" t="s">
        <v>3680</v>
      </c>
      <c r="B1861" s="83"/>
      <c r="C1861" s="53" t="s">
        <v>32</v>
      </c>
      <c r="D1861" s="84"/>
      <c r="E1861" s="96" t="s">
        <v>3681</v>
      </c>
      <c r="F1861" s="95" t="s">
        <v>49</v>
      </c>
      <c r="G1861" s="76"/>
      <c r="H1861" s="76">
        <f>STOCK[[#This Row],[Precio Final]]</f>
        <v>0</v>
      </c>
      <c r="I1861" s="80">
        <f>STOCK[[#This Row],[Precio Venta Ideal (x1.5)]]</f>
        <v>13.5</v>
      </c>
      <c r="J1861" s="95">
        <v>2</v>
      </c>
      <c r="K1861" s="78">
        <f>SUMIFS(VENTAS[Cantidad],VENTAS[Código del producto Vendido],STOCK[[#This Row],[Code]])</f>
        <v>0</v>
      </c>
      <c r="L1861" s="78">
        <f>STOCK[[#This Row],[Entradas]]-STOCK[[#This Row],[Salidas]]</f>
        <v>2</v>
      </c>
      <c r="M1861" s="76">
        <f>STOCK[[#This Row],[Precio Final]]*10%</f>
        <v>0</v>
      </c>
      <c r="N1861" s="54">
        <v>0</v>
      </c>
      <c r="O1861" s="76">
        <v>0</v>
      </c>
      <c r="P1861" s="76">
        <v>9</v>
      </c>
      <c r="Q1861" s="76">
        <v>0</v>
      </c>
      <c r="R1861" s="78">
        <v>0</v>
      </c>
      <c r="S1861" s="76">
        <v>0</v>
      </c>
      <c r="T1861" s="76">
        <f>STOCK[[#This Row],[Costo Unitario (USD)]]+STOCK[[#This Row],[Costo Envío (USD)]]+STOCK[[#This Row],[Comisión 10%]]</f>
        <v>9</v>
      </c>
      <c r="U1861" s="53">
        <f>STOCK[[#This Row],[Costo total]]*1.5</f>
        <v>13.5</v>
      </c>
      <c r="W1861" s="76">
        <f>STOCK[[#This Row],[Precio Final]]-STOCK[[#This Row],[Costo total]]</f>
        <v>-9</v>
      </c>
      <c r="X1861" s="76">
        <f>STOCK[[#This Row],[Ganancia Unitaria]]*STOCK[[#This Row],[Salidas]]</f>
        <v>0</v>
      </c>
      <c r="Y1861" s="76"/>
      <c r="Z1861" s="87"/>
      <c r="AA1861" s="54"/>
      <c r="AB1861" s="54"/>
      <c r="AC1861" s="76"/>
      <c r="AD1861" s="94"/>
    </row>
    <row r="1862" s="53" customFormat="1" ht="50" customHeight="1" spans="1:30">
      <c r="A1862" s="95" t="s">
        <v>3682</v>
      </c>
      <c r="B1862" s="83"/>
      <c r="C1862" s="53" t="s">
        <v>32</v>
      </c>
      <c r="D1862" s="84"/>
      <c r="E1862" s="96" t="s">
        <v>3683</v>
      </c>
      <c r="F1862" s="95" t="s">
        <v>3684</v>
      </c>
      <c r="G1862" s="76"/>
      <c r="H1862" s="76">
        <f>STOCK[[#This Row],[Precio Final]]</f>
        <v>0</v>
      </c>
      <c r="I1862" s="80">
        <f>STOCK[[#This Row],[Precio Venta Ideal (x1.5)]]</f>
        <v>13.5</v>
      </c>
      <c r="J1862" s="95">
        <v>1</v>
      </c>
      <c r="K1862" s="78">
        <f>SUMIFS(VENTAS[Cantidad],VENTAS[Código del producto Vendido],STOCK[[#This Row],[Code]])</f>
        <v>0</v>
      </c>
      <c r="L1862" s="78">
        <f>STOCK[[#This Row],[Entradas]]-STOCK[[#This Row],[Salidas]]</f>
        <v>1</v>
      </c>
      <c r="M1862" s="76">
        <f>STOCK[[#This Row],[Precio Final]]*10%</f>
        <v>0</v>
      </c>
      <c r="N1862" s="54">
        <v>0</v>
      </c>
      <c r="O1862" s="76">
        <v>0</v>
      </c>
      <c r="P1862" s="76">
        <v>9</v>
      </c>
      <c r="Q1862" s="76">
        <v>0</v>
      </c>
      <c r="R1862" s="78">
        <v>0</v>
      </c>
      <c r="S1862" s="76">
        <v>0</v>
      </c>
      <c r="T1862" s="76">
        <f>STOCK[[#This Row],[Costo Unitario (USD)]]+STOCK[[#This Row],[Costo Envío (USD)]]+STOCK[[#This Row],[Comisión 10%]]</f>
        <v>9</v>
      </c>
      <c r="U1862" s="53">
        <f>STOCK[[#This Row],[Costo total]]*1.5</f>
        <v>13.5</v>
      </c>
      <c r="W1862" s="76">
        <f>STOCK[[#This Row],[Precio Final]]-STOCK[[#This Row],[Costo total]]</f>
        <v>-9</v>
      </c>
      <c r="X1862" s="76">
        <f>STOCK[[#This Row],[Ganancia Unitaria]]*STOCK[[#This Row],[Salidas]]</f>
        <v>0</v>
      </c>
      <c r="Y1862" s="76"/>
      <c r="Z1862" s="87"/>
      <c r="AA1862" s="54"/>
      <c r="AB1862" s="54"/>
      <c r="AC1862" s="76"/>
      <c r="AD1862" s="94"/>
    </row>
    <row r="1863" s="53" customFormat="1" ht="50" customHeight="1" spans="1:30">
      <c r="A1863" s="95" t="s">
        <v>3685</v>
      </c>
      <c r="B1863" s="83"/>
      <c r="C1863" s="53" t="s">
        <v>32</v>
      </c>
      <c r="D1863" s="84"/>
      <c r="E1863" s="96" t="s">
        <v>3686</v>
      </c>
      <c r="F1863" s="95" t="s">
        <v>49</v>
      </c>
      <c r="G1863" s="76"/>
      <c r="H1863" s="76">
        <f>STOCK[[#This Row],[Precio Final]]</f>
        <v>0</v>
      </c>
      <c r="I1863" s="80">
        <f>STOCK[[#This Row],[Precio Venta Ideal (x1.5)]]</f>
        <v>13.5</v>
      </c>
      <c r="J1863" s="95">
        <v>1</v>
      </c>
      <c r="K1863" s="78">
        <f>SUMIFS(VENTAS[Cantidad],VENTAS[Código del producto Vendido],STOCK[[#This Row],[Code]])</f>
        <v>0</v>
      </c>
      <c r="L1863" s="78">
        <f>STOCK[[#This Row],[Entradas]]-STOCK[[#This Row],[Salidas]]</f>
        <v>1</v>
      </c>
      <c r="M1863" s="76">
        <f>STOCK[[#This Row],[Precio Final]]*10%</f>
        <v>0</v>
      </c>
      <c r="N1863" s="54">
        <v>0</v>
      </c>
      <c r="O1863" s="76">
        <v>0</v>
      </c>
      <c r="P1863" s="76">
        <v>9</v>
      </c>
      <c r="Q1863" s="76">
        <v>0</v>
      </c>
      <c r="R1863" s="78">
        <v>0</v>
      </c>
      <c r="S1863" s="76">
        <v>0</v>
      </c>
      <c r="T1863" s="76">
        <f>STOCK[[#This Row],[Costo Unitario (USD)]]+STOCK[[#This Row],[Costo Envío (USD)]]+STOCK[[#This Row],[Comisión 10%]]</f>
        <v>9</v>
      </c>
      <c r="U1863" s="53">
        <f>STOCK[[#This Row],[Costo total]]*1.5</f>
        <v>13.5</v>
      </c>
      <c r="W1863" s="76">
        <f>STOCK[[#This Row],[Precio Final]]-STOCK[[#This Row],[Costo total]]</f>
        <v>-9</v>
      </c>
      <c r="X1863" s="76">
        <f>STOCK[[#This Row],[Ganancia Unitaria]]*STOCK[[#This Row],[Salidas]]</f>
        <v>0</v>
      </c>
      <c r="Y1863" s="76"/>
      <c r="Z1863" s="87"/>
      <c r="AA1863" s="54"/>
      <c r="AB1863" s="54"/>
      <c r="AC1863" s="76"/>
      <c r="AD1863" s="94"/>
    </row>
    <row r="1864" s="53" customFormat="1" ht="50" customHeight="1" spans="1:30">
      <c r="A1864" s="95" t="s">
        <v>3687</v>
      </c>
      <c r="B1864" s="83"/>
      <c r="C1864" s="53" t="s">
        <v>32</v>
      </c>
      <c r="D1864" s="84"/>
      <c r="E1864" s="96" t="s">
        <v>3688</v>
      </c>
      <c r="F1864" s="95" t="s">
        <v>3689</v>
      </c>
      <c r="G1864" s="76"/>
      <c r="H1864" s="76">
        <f>STOCK[[#This Row],[Precio Final]]</f>
        <v>0</v>
      </c>
      <c r="I1864" s="80">
        <f>STOCK[[#This Row],[Precio Venta Ideal (x1.5)]]</f>
        <v>13.5</v>
      </c>
      <c r="J1864" s="95">
        <v>2</v>
      </c>
      <c r="K1864" s="78">
        <f>SUMIFS(VENTAS[Cantidad],VENTAS[Código del producto Vendido],STOCK[[#This Row],[Code]])</f>
        <v>0</v>
      </c>
      <c r="L1864" s="78">
        <f>STOCK[[#This Row],[Entradas]]-STOCK[[#This Row],[Salidas]]</f>
        <v>2</v>
      </c>
      <c r="M1864" s="76">
        <f>STOCK[[#This Row],[Precio Final]]*10%</f>
        <v>0</v>
      </c>
      <c r="N1864" s="54">
        <v>0</v>
      </c>
      <c r="O1864" s="76">
        <v>0</v>
      </c>
      <c r="P1864" s="76">
        <v>9</v>
      </c>
      <c r="Q1864" s="76">
        <v>0</v>
      </c>
      <c r="R1864" s="78">
        <v>0</v>
      </c>
      <c r="S1864" s="76">
        <v>0</v>
      </c>
      <c r="T1864" s="76">
        <f>STOCK[[#This Row],[Costo Unitario (USD)]]+STOCK[[#This Row],[Costo Envío (USD)]]+STOCK[[#This Row],[Comisión 10%]]</f>
        <v>9</v>
      </c>
      <c r="U1864" s="53">
        <f>STOCK[[#This Row],[Costo total]]*1.5</f>
        <v>13.5</v>
      </c>
      <c r="W1864" s="76">
        <f>STOCK[[#This Row],[Precio Final]]-STOCK[[#This Row],[Costo total]]</f>
        <v>-9</v>
      </c>
      <c r="X1864" s="76">
        <f>STOCK[[#This Row],[Ganancia Unitaria]]*STOCK[[#This Row],[Salidas]]</f>
        <v>0</v>
      </c>
      <c r="Y1864" s="76"/>
      <c r="Z1864" s="87"/>
      <c r="AA1864" s="54"/>
      <c r="AB1864" s="54"/>
      <c r="AC1864" s="76"/>
      <c r="AD1864" s="94"/>
    </row>
    <row r="1865" s="53" customFormat="1" ht="50" customHeight="1" spans="1:30">
      <c r="A1865" s="95" t="s">
        <v>3690</v>
      </c>
      <c r="B1865" s="83"/>
      <c r="C1865" s="53" t="s">
        <v>32</v>
      </c>
      <c r="D1865" s="84"/>
      <c r="E1865" s="96" t="s">
        <v>3691</v>
      </c>
      <c r="F1865" s="95" t="s">
        <v>3689</v>
      </c>
      <c r="G1865" s="76"/>
      <c r="H1865" s="76">
        <f>STOCK[[#This Row],[Precio Final]]</f>
        <v>0</v>
      </c>
      <c r="I1865" s="80">
        <f>STOCK[[#This Row],[Precio Venta Ideal (x1.5)]]</f>
        <v>13.5</v>
      </c>
      <c r="J1865" s="95">
        <v>1</v>
      </c>
      <c r="K1865" s="78">
        <f>SUMIFS(VENTAS[Cantidad],VENTAS[Código del producto Vendido],STOCK[[#This Row],[Code]])</f>
        <v>0</v>
      </c>
      <c r="L1865" s="78">
        <f>STOCK[[#This Row],[Entradas]]-STOCK[[#This Row],[Salidas]]</f>
        <v>1</v>
      </c>
      <c r="M1865" s="76">
        <f>STOCK[[#This Row],[Precio Final]]*10%</f>
        <v>0</v>
      </c>
      <c r="N1865" s="54">
        <v>0</v>
      </c>
      <c r="O1865" s="76">
        <v>0</v>
      </c>
      <c r="P1865" s="76">
        <v>9</v>
      </c>
      <c r="Q1865" s="76">
        <v>0</v>
      </c>
      <c r="R1865" s="78">
        <v>0</v>
      </c>
      <c r="S1865" s="76">
        <v>0</v>
      </c>
      <c r="T1865" s="76">
        <f>STOCK[[#This Row],[Costo Unitario (USD)]]+STOCK[[#This Row],[Costo Envío (USD)]]+STOCK[[#This Row],[Comisión 10%]]</f>
        <v>9</v>
      </c>
      <c r="U1865" s="53">
        <f>STOCK[[#This Row],[Costo total]]*1.5</f>
        <v>13.5</v>
      </c>
      <c r="W1865" s="76">
        <f>STOCK[[#This Row],[Precio Final]]-STOCK[[#This Row],[Costo total]]</f>
        <v>-9</v>
      </c>
      <c r="X1865" s="76">
        <f>STOCK[[#This Row],[Ganancia Unitaria]]*STOCK[[#This Row],[Salidas]]</f>
        <v>0</v>
      </c>
      <c r="Y1865" s="76"/>
      <c r="Z1865" s="87"/>
      <c r="AA1865" s="54"/>
      <c r="AB1865" s="54"/>
      <c r="AC1865" s="76"/>
      <c r="AD1865" s="94"/>
    </row>
    <row r="1866" s="53" customFormat="1" ht="50" customHeight="1" spans="1:30">
      <c r="A1866" s="95" t="s">
        <v>3692</v>
      </c>
      <c r="B1866" s="83"/>
      <c r="C1866" s="53" t="s">
        <v>32</v>
      </c>
      <c r="D1866" s="84"/>
      <c r="E1866" s="96" t="s">
        <v>3693</v>
      </c>
      <c r="F1866" s="95" t="s">
        <v>3694</v>
      </c>
      <c r="G1866" s="76"/>
      <c r="H1866" s="76">
        <f>STOCK[[#This Row],[Precio Final]]</f>
        <v>0</v>
      </c>
      <c r="I1866" s="80">
        <f>STOCK[[#This Row],[Precio Venta Ideal (x1.5)]]</f>
        <v>13.5</v>
      </c>
      <c r="J1866" s="95">
        <v>1</v>
      </c>
      <c r="K1866" s="78">
        <f>SUMIFS(VENTAS[Cantidad],VENTAS[Código del producto Vendido],STOCK[[#This Row],[Code]])</f>
        <v>0</v>
      </c>
      <c r="L1866" s="78">
        <f>STOCK[[#This Row],[Entradas]]-STOCK[[#This Row],[Salidas]]</f>
        <v>1</v>
      </c>
      <c r="M1866" s="76">
        <f>STOCK[[#This Row],[Precio Final]]*10%</f>
        <v>0</v>
      </c>
      <c r="N1866" s="54">
        <v>0</v>
      </c>
      <c r="O1866" s="76">
        <v>0</v>
      </c>
      <c r="P1866" s="76">
        <v>9</v>
      </c>
      <c r="Q1866" s="76">
        <v>0</v>
      </c>
      <c r="R1866" s="78">
        <v>0</v>
      </c>
      <c r="S1866" s="76">
        <v>0</v>
      </c>
      <c r="T1866" s="76">
        <f>STOCK[[#This Row],[Costo Unitario (USD)]]+STOCK[[#This Row],[Costo Envío (USD)]]+STOCK[[#This Row],[Comisión 10%]]</f>
        <v>9</v>
      </c>
      <c r="U1866" s="53">
        <f>STOCK[[#This Row],[Costo total]]*1.5</f>
        <v>13.5</v>
      </c>
      <c r="W1866" s="76">
        <f>STOCK[[#This Row],[Precio Final]]-STOCK[[#This Row],[Costo total]]</f>
        <v>-9</v>
      </c>
      <c r="X1866" s="76">
        <f>STOCK[[#This Row],[Ganancia Unitaria]]*STOCK[[#This Row],[Salidas]]</f>
        <v>0</v>
      </c>
      <c r="Y1866" s="76"/>
      <c r="Z1866" s="87"/>
      <c r="AA1866" s="54"/>
      <c r="AB1866" s="54"/>
      <c r="AC1866" s="76"/>
      <c r="AD1866" s="94"/>
    </row>
    <row r="1867" s="53" customFormat="1" ht="50" customHeight="1" spans="1:30">
      <c r="A1867" s="95" t="s">
        <v>3695</v>
      </c>
      <c r="B1867" s="83"/>
      <c r="C1867" s="53" t="s">
        <v>32</v>
      </c>
      <c r="D1867" s="84"/>
      <c r="E1867" s="96" t="s">
        <v>3693</v>
      </c>
      <c r="F1867" s="95" t="s">
        <v>3689</v>
      </c>
      <c r="G1867" s="76"/>
      <c r="H1867" s="76">
        <f>STOCK[[#This Row],[Precio Final]]</f>
        <v>0</v>
      </c>
      <c r="I1867" s="80">
        <f>STOCK[[#This Row],[Precio Venta Ideal (x1.5)]]</f>
        <v>13.5</v>
      </c>
      <c r="J1867" s="95">
        <v>1</v>
      </c>
      <c r="K1867" s="78">
        <f>SUMIFS(VENTAS[Cantidad],VENTAS[Código del producto Vendido],STOCK[[#This Row],[Code]])</f>
        <v>0</v>
      </c>
      <c r="L1867" s="78">
        <f>STOCK[[#This Row],[Entradas]]-STOCK[[#This Row],[Salidas]]</f>
        <v>1</v>
      </c>
      <c r="M1867" s="76">
        <f>STOCK[[#This Row],[Precio Final]]*10%</f>
        <v>0</v>
      </c>
      <c r="N1867" s="54">
        <v>0</v>
      </c>
      <c r="O1867" s="76">
        <v>0</v>
      </c>
      <c r="P1867" s="76">
        <v>9</v>
      </c>
      <c r="Q1867" s="76">
        <v>0</v>
      </c>
      <c r="R1867" s="78">
        <v>0</v>
      </c>
      <c r="S1867" s="76">
        <v>0</v>
      </c>
      <c r="T1867" s="76">
        <f>STOCK[[#This Row],[Costo Unitario (USD)]]+STOCK[[#This Row],[Costo Envío (USD)]]+STOCK[[#This Row],[Comisión 10%]]</f>
        <v>9</v>
      </c>
      <c r="U1867" s="53">
        <f>STOCK[[#This Row],[Costo total]]*1.5</f>
        <v>13.5</v>
      </c>
      <c r="W1867" s="76">
        <f>STOCK[[#This Row],[Precio Final]]-STOCK[[#This Row],[Costo total]]</f>
        <v>-9</v>
      </c>
      <c r="X1867" s="76">
        <f>STOCK[[#This Row],[Ganancia Unitaria]]*STOCK[[#This Row],[Salidas]]</f>
        <v>0</v>
      </c>
      <c r="Y1867" s="76"/>
      <c r="Z1867" s="87"/>
      <c r="AA1867" s="54"/>
      <c r="AB1867" s="54"/>
      <c r="AC1867" s="76"/>
      <c r="AD1867" s="94"/>
    </row>
    <row r="1868" s="53" customFormat="1" ht="50" customHeight="1" spans="1:30">
      <c r="A1868" s="95" t="s">
        <v>3696</v>
      </c>
      <c r="B1868" s="83"/>
      <c r="C1868" s="53" t="s">
        <v>32</v>
      </c>
      <c r="D1868" s="84"/>
      <c r="E1868" s="96" t="s">
        <v>3697</v>
      </c>
      <c r="F1868" s="95" t="s">
        <v>46</v>
      </c>
      <c r="G1868" s="76"/>
      <c r="H1868" s="76">
        <f>STOCK[[#This Row],[Precio Final]]</f>
        <v>0</v>
      </c>
      <c r="I1868" s="80">
        <f>STOCK[[#This Row],[Precio Venta Ideal (x1.5)]]</f>
        <v>13.5</v>
      </c>
      <c r="J1868" s="95">
        <v>1</v>
      </c>
      <c r="K1868" s="78">
        <f>SUMIFS(VENTAS[Cantidad],VENTAS[Código del producto Vendido],STOCK[[#This Row],[Code]])</f>
        <v>0</v>
      </c>
      <c r="L1868" s="78">
        <f>STOCK[[#This Row],[Entradas]]-STOCK[[#This Row],[Salidas]]</f>
        <v>1</v>
      </c>
      <c r="M1868" s="76">
        <f>STOCK[[#This Row],[Precio Final]]*10%</f>
        <v>0</v>
      </c>
      <c r="N1868" s="54">
        <v>0</v>
      </c>
      <c r="O1868" s="76">
        <v>0</v>
      </c>
      <c r="P1868" s="76">
        <v>9</v>
      </c>
      <c r="Q1868" s="76">
        <v>0</v>
      </c>
      <c r="R1868" s="78">
        <v>0</v>
      </c>
      <c r="S1868" s="76">
        <v>0</v>
      </c>
      <c r="T1868" s="76">
        <f>STOCK[[#This Row],[Costo Unitario (USD)]]+STOCK[[#This Row],[Costo Envío (USD)]]+STOCK[[#This Row],[Comisión 10%]]</f>
        <v>9</v>
      </c>
      <c r="U1868" s="53">
        <f>STOCK[[#This Row],[Costo total]]*1.5</f>
        <v>13.5</v>
      </c>
      <c r="W1868" s="76">
        <f>STOCK[[#This Row],[Precio Final]]-STOCK[[#This Row],[Costo total]]</f>
        <v>-9</v>
      </c>
      <c r="X1868" s="76">
        <f>STOCK[[#This Row],[Ganancia Unitaria]]*STOCK[[#This Row],[Salidas]]</f>
        <v>0</v>
      </c>
      <c r="Y1868" s="76"/>
      <c r="Z1868" s="87"/>
      <c r="AA1868" s="54"/>
      <c r="AB1868" s="54"/>
      <c r="AC1868" s="76"/>
      <c r="AD1868" s="94"/>
    </row>
    <row r="1869" s="53" customFormat="1" ht="50" customHeight="1" spans="1:30">
      <c r="A1869" s="95" t="s">
        <v>3698</v>
      </c>
      <c r="B1869" s="83"/>
      <c r="C1869" s="53" t="s">
        <v>32</v>
      </c>
      <c r="D1869" s="84"/>
      <c r="E1869" s="96" t="s">
        <v>3699</v>
      </c>
      <c r="F1869" s="95" t="s">
        <v>281</v>
      </c>
      <c r="G1869" s="76"/>
      <c r="H1869" s="76">
        <f>STOCK[[#This Row],[Precio Final]]</f>
        <v>0</v>
      </c>
      <c r="I1869" s="80">
        <f>STOCK[[#This Row],[Precio Venta Ideal (x1.5)]]</f>
        <v>13.5</v>
      </c>
      <c r="J1869" s="95">
        <v>1</v>
      </c>
      <c r="K1869" s="78">
        <f>SUMIFS(VENTAS[Cantidad],VENTAS[Código del producto Vendido],STOCK[[#This Row],[Code]])</f>
        <v>0</v>
      </c>
      <c r="L1869" s="78">
        <f>STOCK[[#This Row],[Entradas]]-STOCK[[#This Row],[Salidas]]</f>
        <v>1</v>
      </c>
      <c r="M1869" s="76">
        <f>STOCK[[#This Row],[Precio Final]]*10%</f>
        <v>0</v>
      </c>
      <c r="N1869" s="54">
        <v>0</v>
      </c>
      <c r="O1869" s="76">
        <v>0</v>
      </c>
      <c r="P1869" s="76">
        <v>9</v>
      </c>
      <c r="Q1869" s="76">
        <v>0</v>
      </c>
      <c r="R1869" s="78">
        <v>0</v>
      </c>
      <c r="S1869" s="76">
        <v>0</v>
      </c>
      <c r="T1869" s="76">
        <f>STOCK[[#This Row],[Costo Unitario (USD)]]+STOCK[[#This Row],[Costo Envío (USD)]]+STOCK[[#This Row],[Comisión 10%]]</f>
        <v>9</v>
      </c>
      <c r="U1869" s="53">
        <f>STOCK[[#This Row],[Costo total]]*1.5</f>
        <v>13.5</v>
      </c>
      <c r="W1869" s="76">
        <f>STOCK[[#This Row],[Precio Final]]-STOCK[[#This Row],[Costo total]]</f>
        <v>-9</v>
      </c>
      <c r="X1869" s="76">
        <f>STOCK[[#This Row],[Ganancia Unitaria]]*STOCK[[#This Row],[Salidas]]</f>
        <v>0</v>
      </c>
      <c r="Y1869" s="76"/>
      <c r="Z1869" s="87"/>
      <c r="AA1869" s="54"/>
      <c r="AB1869" s="54"/>
      <c r="AC1869" s="76"/>
      <c r="AD1869" s="94"/>
    </row>
    <row r="1870" s="53" customFormat="1" ht="50" customHeight="1" spans="1:30">
      <c r="A1870" s="95" t="s">
        <v>3700</v>
      </c>
      <c r="B1870" s="83"/>
      <c r="C1870" s="53" t="s">
        <v>32</v>
      </c>
      <c r="D1870" s="84"/>
      <c r="E1870" s="96" t="s">
        <v>3701</v>
      </c>
      <c r="F1870" s="95" t="s">
        <v>46</v>
      </c>
      <c r="G1870" s="76"/>
      <c r="H1870" s="76">
        <f>STOCK[[#This Row],[Precio Final]]</f>
        <v>0</v>
      </c>
      <c r="I1870" s="80">
        <f>STOCK[[#This Row],[Precio Venta Ideal (x1.5)]]</f>
        <v>13.5</v>
      </c>
      <c r="J1870" s="95">
        <v>1</v>
      </c>
      <c r="K1870" s="78">
        <f>SUMIFS(VENTAS[Cantidad],VENTAS[Código del producto Vendido],STOCK[[#This Row],[Code]])</f>
        <v>0</v>
      </c>
      <c r="L1870" s="78">
        <f>STOCK[[#This Row],[Entradas]]-STOCK[[#This Row],[Salidas]]</f>
        <v>1</v>
      </c>
      <c r="M1870" s="76">
        <f>STOCK[[#This Row],[Precio Final]]*10%</f>
        <v>0</v>
      </c>
      <c r="N1870" s="54">
        <v>0</v>
      </c>
      <c r="O1870" s="76">
        <v>0</v>
      </c>
      <c r="P1870" s="76">
        <v>9</v>
      </c>
      <c r="Q1870" s="76">
        <v>0</v>
      </c>
      <c r="R1870" s="78">
        <v>0</v>
      </c>
      <c r="S1870" s="76">
        <v>0</v>
      </c>
      <c r="T1870" s="76">
        <f>STOCK[[#This Row],[Costo Unitario (USD)]]+STOCK[[#This Row],[Costo Envío (USD)]]+STOCK[[#This Row],[Comisión 10%]]</f>
        <v>9</v>
      </c>
      <c r="U1870" s="53">
        <f>STOCK[[#This Row],[Costo total]]*1.5</f>
        <v>13.5</v>
      </c>
      <c r="W1870" s="76">
        <f>STOCK[[#This Row],[Precio Final]]-STOCK[[#This Row],[Costo total]]</f>
        <v>-9</v>
      </c>
      <c r="X1870" s="76">
        <f>STOCK[[#This Row],[Ganancia Unitaria]]*STOCK[[#This Row],[Salidas]]</f>
        <v>0</v>
      </c>
      <c r="Y1870" s="76"/>
      <c r="Z1870" s="87"/>
      <c r="AA1870" s="54"/>
      <c r="AB1870" s="54"/>
      <c r="AC1870" s="76"/>
      <c r="AD1870" s="94"/>
    </row>
    <row r="1871" s="53" customFormat="1" ht="50" customHeight="1" spans="1:30">
      <c r="A1871" s="95" t="s">
        <v>3702</v>
      </c>
      <c r="B1871" s="83"/>
      <c r="C1871" s="53" t="s">
        <v>32</v>
      </c>
      <c r="D1871" s="84"/>
      <c r="E1871" s="96" t="s">
        <v>3703</v>
      </c>
      <c r="F1871" s="95" t="s">
        <v>40</v>
      </c>
      <c r="G1871" s="76"/>
      <c r="H1871" s="76">
        <f>STOCK[[#This Row],[Precio Final]]</f>
        <v>0</v>
      </c>
      <c r="I1871" s="80">
        <f>STOCK[[#This Row],[Precio Venta Ideal (x1.5)]]</f>
        <v>13.5</v>
      </c>
      <c r="J1871" s="95">
        <v>1</v>
      </c>
      <c r="K1871" s="78">
        <f>SUMIFS(VENTAS[Cantidad],VENTAS[Código del producto Vendido],STOCK[[#This Row],[Code]])</f>
        <v>0</v>
      </c>
      <c r="L1871" s="78">
        <f>STOCK[[#This Row],[Entradas]]-STOCK[[#This Row],[Salidas]]</f>
        <v>1</v>
      </c>
      <c r="M1871" s="76">
        <f>STOCK[[#This Row],[Precio Final]]*10%</f>
        <v>0</v>
      </c>
      <c r="N1871" s="54">
        <v>0</v>
      </c>
      <c r="O1871" s="76">
        <v>0</v>
      </c>
      <c r="P1871" s="76">
        <v>9</v>
      </c>
      <c r="Q1871" s="76">
        <v>0</v>
      </c>
      <c r="R1871" s="78">
        <v>0</v>
      </c>
      <c r="S1871" s="76">
        <v>0</v>
      </c>
      <c r="T1871" s="76">
        <f>STOCK[[#This Row],[Costo Unitario (USD)]]+STOCK[[#This Row],[Costo Envío (USD)]]+STOCK[[#This Row],[Comisión 10%]]</f>
        <v>9</v>
      </c>
      <c r="U1871" s="53">
        <f>STOCK[[#This Row],[Costo total]]*1.5</f>
        <v>13.5</v>
      </c>
      <c r="W1871" s="76">
        <f>STOCK[[#This Row],[Precio Final]]-STOCK[[#This Row],[Costo total]]</f>
        <v>-9</v>
      </c>
      <c r="X1871" s="76">
        <f>STOCK[[#This Row],[Ganancia Unitaria]]*STOCK[[#This Row],[Salidas]]</f>
        <v>0</v>
      </c>
      <c r="Y1871" s="76"/>
      <c r="Z1871" s="87"/>
      <c r="AA1871" s="54"/>
      <c r="AB1871" s="54"/>
      <c r="AC1871" s="76"/>
      <c r="AD1871" s="94"/>
    </row>
    <row r="1872" s="53" customFormat="1" ht="50" customHeight="1" spans="1:30">
      <c r="A1872" s="95" t="s">
        <v>3704</v>
      </c>
      <c r="B1872" s="83"/>
      <c r="C1872" s="53" t="s">
        <v>32</v>
      </c>
      <c r="D1872" s="84"/>
      <c r="E1872" s="96" t="s">
        <v>3705</v>
      </c>
      <c r="F1872" s="95" t="s">
        <v>49</v>
      </c>
      <c r="G1872" s="76"/>
      <c r="H1872" s="76">
        <f>STOCK[[#This Row],[Precio Final]]</f>
        <v>0</v>
      </c>
      <c r="I1872" s="80">
        <f>STOCK[[#This Row],[Precio Venta Ideal (x1.5)]]</f>
        <v>13.5</v>
      </c>
      <c r="J1872" s="95">
        <v>1</v>
      </c>
      <c r="K1872" s="78">
        <f>SUMIFS(VENTAS[Cantidad],VENTAS[Código del producto Vendido],STOCK[[#This Row],[Code]])</f>
        <v>0</v>
      </c>
      <c r="L1872" s="78">
        <f>STOCK[[#This Row],[Entradas]]-STOCK[[#This Row],[Salidas]]</f>
        <v>1</v>
      </c>
      <c r="M1872" s="76">
        <f>STOCK[[#This Row],[Precio Final]]*10%</f>
        <v>0</v>
      </c>
      <c r="N1872" s="54">
        <v>0</v>
      </c>
      <c r="O1872" s="76">
        <v>0</v>
      </c>
      <c r="P1872" s="76">
        <v>9</v>
      </c>
      <c r="Q1872" s="76">
        <v>0</v>
      </c>
      <c r="R1872" s="78">
        <v>0</v>
      </c>
      <c r="S1872" s="76">
        <v>0</v>
      </c>
      <c r="T1872" s="76">
        <f>STOCK[[#This Row],[Costo Unitario (USD)]]+STOCK[[#This Row],[Costo Envío (USD)]]+STOCK[[#This Row],[Comisión 10%]]</f>
        <v>9</v>
      </c>
      <c r="U1872" s="53">
        <f>STOCK[[#This Row],[Costo total]]*1.5</f>
        <v>13.5</v>
      </c>
      <c r="W1872" s="76">
        <f>STOCK[[#This Row],[Precio Final]]-STOCK[[#This Row],[Costo total]]</f>
        <v>-9</v>
      </c>
      <c r="X1872" s="76">
        <f>STOCK[[#This Row],[Ganancia Unitaria]]*STOCK[[#This Row],[Salidas]]</f>
        <v>0</v>
      </c>
      <c r="Y1872" s="76"/>
      <c r="Z1872" s="87"/>
      <c r="AA1872" s="54"/>
      <c r="AB1872" s="54"/>
      <c r="AC1872" s="76"/>
      <c r="AD1872" s="94"/>
    </row>
    <row r="1873" s="53" customFormat="1" ht="50" customHeight="1" spans="1:30">
      <c r="A1873" s="95" t="s">
        <v>3706</v>
      </c>
      <c r="B1873" s="83"/>
      <c r="C1873" s="53" t="s">
        <v>32</v>
      </c>
      <c r="D1873" s="84"/>
      <c r="E1873" s="96" t="s">
        <v>3707</v>
      </c>
      <c r="F1873" s="95" t="s">
        <v>46</v>
      </c>
      <c r="G1873" s="76"/>
      <c r="H1873" s="76">
        <f>STOCK[[#This Row],[Precio Final]]</f>
        <v>0</v>
      </c>
      <c r="I1873" s="80">
        <f>STOCK[[#This Row],[Precio Venta Ideal (x1.5)]]</f>
        <v>13.5</v>
      </c>
      <c r="J1873" s="95">
        <v>1</v>
      </c>
      <c r="K1873" s="78">
        <f>SUMIFS(VENTAS[Cantidad],VENTAS[Código del producto Vendido],STOCK[[#This Row],[Code]])</f>
        <v>0</v>
      </c>
      <c r="L1873" s="78">
        <f>STOCK[[#This Row],[Entradas]]-STOCK[[#This Row],[Salidas]]</f>
        <v>1</v>
      </c>
      <c r="M1873" s="76">
        <f>STOCK[[#This Row],[Precio Final]]*10%</f>
        <v>0</v>
      </c>
      <c r="N1873" s="54">
        <v>0</v>
      </c>
      <c r="O1873" s="76">
        <v>0</v>
      </c>
      <c r="P1873" s="76">
        <v>9</v>
      </c>
      <c r="Q1873" s="76">
        <v>0</v>
      </c>
      <c r="R1873" s="78">
        <v>0</v>
      </c>
      <c r="S1873" s="76">
        <v>0</v>
      </c>
      <c r="T1873" s="76">
        <f>STOCK[[#This Row],[Costo Unitario (USD)]]+STOCK[[#This Row],[Costo Envío (USD)]]+STOCK[[#This Row],[Comisión 10%]]</f>
        <v>9</v>
      </c>
      <c r="U1873" s="53">
        <f>STOCK[[#This Row],[Costo total]]*1.5</f>
        <v>13.5</v>
      </c>
      <c r="W1873" s="76">
        <f>STOCK[[#This Row],[Precio Final]]-STOCK[[#This Row],[Costo total]]</f>
        <v>-9</v>
      </c>
      <c r="X1873" s="76">
        <f>STOCK[[#This Row],[Ganancia Unitaria]]*STOCK[[#This Row],[Salidas]]</f>
        <v>0</v>
      </c>
      <c r="Y1873" s="76"/>
      <c r="Z1873" s="87"/>
      <c r="AA1873" s="54"/>
      <c r="AB1873" s="54"/>
      <c r="AC1873" s="76"/>
      <c r="AD1873" s="94"/>
    </row>
    <row r="1874" s="53" customFormat="1" ht="50" customHeight="1" spans="1:30">
      <c r="A1874" s="95" t="s">
        <v>3708</v>
      </c>
      <c r="B1874" s="83"/>
      <c r="C1874" s="53" t="s">
        <v>32</v>
      </c>
      <c r="D1874" s="84"/>
      <c r="E1874" s="96" t="s">
        <v>3709</v>
      </c>
      <c r="F1874" s="95" t="s">
        <v>46</v>
      </c>
      <c r="G1874" s="76"/>
      <c r="H1874" s="76">
        <f>STOCK[[#This Row],[Precio Final]]</f>
        <v>0</v>
      </c>
      <c r="I1874" s="80">
        <f>STOCK[[#This Row],[Precio Venta Ideal (x1.5)]]</f>
        <v>13.5</v>
      </c>
      <c r="J1874" s="95">
        <v>2</v>
      </c>
      <c r="K1874" s="78">
        <f>SUMIFS(VENTAS[Cantidad],VENTAS[Código del producto Vendido],STOCK[[#This Row],[Code]])</f>
        <v>0</v>
      </c>
      <c r="L1874" s="78">
        <f>STOCK[[#This Row],[Entradas]]-STOCK[[#This Row],[Salidas]]</f>
        <v>2</v>
      </c>
      <c r="M1874" s="76">
        <f>STOCK[[#This Row],[Precio Final]]*10%</f>
        <v>0</v>
      </c>
      <c r="N1874" s="54">
        <v>0</v>
      </c>
      <c r="O1874" s="76">
        <v>0</v>
      </c>
      <c r="P1874" s="76">
        <v>9</v>
      </c>
      <c r="Q1874" s="76">
        <v>0</v>
      </c>
      <c r="R1874" s="78">
        <v>0</v>
      </c>
      <c r="S1874" s="76">
        <v>0</v>
      </c>
      <c r="T1874" s="76">
        <f>STOCK[[#This Row],[Costo Unitario (USD)]]+STOCK[[#This Row],[Costo Envío (USD)]]+STOCK[[#This Row],[Comisión 10%]]</f>
        <v>9</v>
      </c>
      <c r="U1874" s="53">
        <f>STOCK[[#This Row],[Costo total]]*1.5</f>
        <v>13.5</v>
      </c>
      <c r="W1874" s="76">
        <f>STOCK[[#This Row],[Precio Final]]-STOCK[[#This Row],[Costo total]]</f>
        <v>-9</v>
      </c>
      <c r="X1874" s="76">
        <f>STOCK[[#This Row],[Ganancia Unitaria]]*STOCK[[#This Row],[Salidas]]</f>
        <v>0</v>
      </c>
      <c r="Y1874" s="76"/>
      <c r="Z1874" s="87"/>
      <c r="AA1874" s="54"/>
      <c r="AB1874" s="54"/>
      <c r="AC1874" s="76"/>
      <c r="AD1874" s="94"/>
    </row>
    <row r="1875" s="53" customFormat="1" ht="50" customHeight="1" spans="1:30">
      <c r="A1875" s="95" t="s">
        <v>3710</v>
      </c>
      <c r="B1875" s="83"/>
      <c r="C1875" s="53" t="s">
        <v>32</v>
      </c>
      <c r="D1875" s="84"/>
      <c r="E1875" s="96" t="s">
        <v>3711</v>
      </c>
      <c r="F1875" s="95" t="s">
        <v>716</v>
      </c>
      <c r="G1875" s="76"/>
      <c r="H1875" s="76">
        <f>STOCK[[#This Row],[Precio Final]]</f>
        <v>0</v>
      </c>
      <c r="I1875" s="80">
        <f>STOCK[[#This Row],[Precio Venta Ideal (x1.5)]]</f>
        <v>13.5</v>
      </c>
      <c r="J1875" s="95">
        <v>1</v>
      </c>
      <c r="K1875" s="78">
        <f>SUMIFS(VENTAS[Cantidad],VENTAS[Código del producto Vendido],STOCK[[#This Row],[Code]])</f>
        <v>0</v>
      </c>
      <c r="L1875" s="78">
        <f>STOCK[[#This Row],[Entradas]]-STOCK[[#This Row],[Salidas]]</f>
        <v>1</v>
      </c>
      <c r="M1875" s="76">
        <f>STOCK[[#This Row],[Precio Final]]*10%</f>
        <v>0</v>
      </c>
      <c r="N1875" s="54">
        <v>0</v>
      </c>
      <c r="O1875" s="76">
        <v>0</v>
      </c>
      <c r="P1875" s="76">
        <v>9</v>
      </c>
      <c r="Q1875" s="76">
        <v>0</v>
      </c>
      <c r="R1875" s="78">
        <v>0</v>
      </c>
      <c r="S1875" s="76">
        <v>0</v>
      </c>
      <c r="T1875" s="76">
        <f>STOCK[[#This Row],[Costo Unitario (USD)]]+STOCK[[#This Row],[Costo Envío (USD)]]+STOCK[[#This Row],[Comisión 10%]]</f>
        <v>9</v>
      </c>
      <c r="U1875" s="53">
        <f>STOCK[[#This Row],[Costo total]]*1.5</f>
        <v>13.5</v>
      </c>
      <c r="W1875" s="76">
        <f>STOCK[[#This Row],[Precio Final]]-STOCK[[#This Row],[Costo total]]</f>
        <v>-9</v>
      </c>
      <c r="X1875" s="76">
        <f>STOCK[[#This Row],[Ganancia Unitaria]]*STOCK[[#This Row],[Salidas]]</f>
        <v>0</v>
      </c>
      <c r="Y1875" s="76"/>
      <c r="Z1875" s="87"/>
      <c r="AA1875" s="54"/>
      <c r="AB1875" s="54"/>
      <c r="AC1875" s="76"/>
      <c r="AD1875" s="94"/>
    </row>
    <row r="1876" s="53" customFormat="1" ht="50" customHeight="1" spans="1:30">
      <c r="A1876" s="95" t="s">
        <v>3712</v>
      </c>
      <c r="B1876" s="83"/>
      <c r="C1876" s="53" t="s">
        <v>32</v>
      </c>
      <c r="D1876" s="84"/>
      <c r="E1876" s="96" t="s">
        <v>3713</v>
      </c>
      <c r="F1876" s="95" t="s">
        <v>46</v>
      </c>
      <c r="G1876" s="76"/>
      <c r="H1876" s="76">
        <f>STOCK[[#This Row],[Precio Final]]</f>
        <v>0</v>
      </c>
      <c r="I1876" s="80">
        <f>STOCK[[#This Row],[Precio Venta Ideal (x1.5)]]</f>
        <v>13.5</v>
      </c>
      <c r="J1876" s="95">
        <v>1</v>
      </c>
      <c r="K1876" s="78">
        <f>SUMIFS(VENTAS[Cantidad],VENTAS[Código del producto Vendido],STOCK[[#This Row],[Code]])</f>
        <v>0</v>
      </c>
      <c r="L1876" s="78">
        <f>STOCK[[#This Row],[Entradas]]-STOCK[[#This Row],[Salidas]]</f>
        <v>1</v>
      </c>
      <c r="M1876" s="76">
        <f>STOCK[[#This Row],[Precio Final]]*10%</f>
        <v>0</v>
      </c>
      <c r="N1876" s="54">
        <v>0</v>
      </c>
      <c r="O1876" s="76">
        <v>0</v>
      </c>
      <c r="P1876" s="76">
        <v>9</v>
      </c>
      <c r="Q1876" s="76">
        <v>0</v>
      </c>
      <c r="R1876" s="78">
        <v>0</v>
      </c>
      <c r="S1876" s="76">
        <v>0</v>
      </c>
      <c r="T1876" s="76">
        <f>STOCK[[#This Row],[Costo Unitario (USD)]]+STOCK[[#This Row],[Costo Envío (USD)]]+STOCK[[#This Row],[Comisión 10%]]</f>
        <v>9</v>
      </c>
      <c r="U1876" s="53">
        <f>STOCK[[#This Row],[Costo total]]*1.5</f>
        <v>13.5</v>
      </c>
      <c r="W1876" s="76">
        <f>STOCK[[#This Row],[Precio Final]]-STOCK[[#This Row],[Costo total]]</f>
        <v>-9</v>
      </c>
      <c r="X1876" s="76">
        <f>STOCK[[#This Row],[Ganancia Unitaria]]*STOCK[[#This Row],[Salidas]]</f>
        <v>0</v>
      </c>
      <c r="Y1876" s="76"/>
      <c r="Z1876" s="87"/>
      <c r="AA1876" s="54"/>
      <c r="AB1876" s="54"/>
      <c r="AC1876" s="76"/>
      <c r="AD1876" s="94"/>
    </row>
    <row r="1877" s="53" customFormat="1" ht="50" customHeight="1" spans="1:30">
      <c r="A1877" s="95" t="s">
        <v>3714</v>
      </c>
      <c r="B1877" s="83"/>
      <c r="C1877" s="53" t="s">
        <v>32</v>
      </c>
      <c r="D1877" s="84"/>
      <c r="E1877" s="96" t="s">
        <v>3715</v>
      </c>
      <c r="F1877" s="95" t="s">
        <v>42</v>
      </c>
      <c r="G1877" s="76"/>
      <c r="H1877" s="76">
        <f>STOCK[[#This Row],[Precio Final]]</f>
        <v>0</v>
      </c>
      <c r="I1877" s="80">
        <f>STOCK[[#This Row],[Precio Venta Ideal (x1.5)]]</f>
        <v>13.5</v>
      </c>
      <c r="J1877" s="95">
        <v>1</v>
      </c>
      <c r="K1877" s="78">
        <f>SUMIFS(VENTAS[Cantidad],VENTAS[Código del producto Vendido],STOCK[[#This Row],[Code]])</f>
        <v>0</v>
      </c>
      <c r="L1877" s="78">
        <f>STOCK[[#This Row],[Entradas]]-STOCK[[#This Row],[Salidas]]</f>
        <v>1</v>
      </c>
      <c r="M1877" s="76">
        <f>STOCK[[#This Row],[Precio Final]]*10%</f>
        <v>0</v>
      </c>
      <c r="N1877" s="54">
        <v>0</v>
      </c>
      <c r="O1877" s="76">
        <v>0</v>
      </c>
      <c r="P1877" s="76">
        <v>9</v>
      </c>
      <c r="Q1877" s="76">
        <v>0</v>
      </c>
      <c r="R1877" s="78">
        <v>0</v>
      </c>
      <c r="S1877" s="76">
        <v>0</v>
      </c>
      <c r="T1877" s="76">
        <f>STOCK[[#This Row],[Costo Unitario (USD)]]+STOCK[[#This Row],[Costo Envío (USD)]]+STOCK[[#This Row],[Comisión 10%]]</f>
        <v>9</v>
      </c>
      <c r="U1877" s="53">
        <f>STOCK[[#This Row],[Costo total]]*1.5</f>
        <v>13.5</v>
      </c>
      <c r="W1877" s="76">
        <f>STOCK[[#This Row],[Precio Final]]-STOCK[[#This Row],[Costo total]]</f>
        <v>-9</v>
      </c>
      <c r="X1877" s="76">
        <f>STOCK[[#This Row],[Ganancia Unitaria]]*STOCK[[#This Row],[Salidas]]</f>
        <v>0</v>
      </c>
      <c r="Y1877" s="76"/>
      <c r="Z1877" s="87"/>
      <c r="AA1877" s="54"/>
      <c r="AB1877" s="54"/>
      <c r="AC1877" s="76"/>
      <c r="AD1877" s="94"/>
    </row>
    <row r="1878" s="53" customFormat="1" ht="50" customHeight="1" spans="1:30">
      <c r="A1878" s="95" t="s">
        <v>3716</v>
      </c>
      <c r="B1878" s="83"/>
      <c r="C1878" s="53" t="s">
        <v>32</v>
      </c>
      <c r="D1878" s="84"/>
      <c r="E1878" s="96" t="s">
        <v>3717</v>
      </c>
      <c r="F1878" s="95" t="s">
        <v>42</v>
      </c>
      <c r="G1878" s="76"/>
      <c r="H1878" s="76">
        <f>STOCK[[#This Row],[Precio Final]]</f>
        <v>0</v>
      </c>
      <c r="I1878" s="80">
        <f>STOCK[[#This Row],[Precio Venta Ideal (x1.5)]]</f>
        <v>13.5</v>
      </c>
      <c r="J1878" s="95">
        <v>1</v>
      </c>
      <c r="K1878" s="78">
        <f>SUMIFS(VENTAS[Cantidad],VENTAS[Código del producto Vendido],STOCK[[#This Row],[Code]])</f>
        <v>0</v>
      </c>
      <c r="L1878" s="78">
        <f>STOCK[[#This Row],[Entradas]]-STOCK[[#This Row],[Salidas]]</f>
        <v>1</v>
      </c>
      <c r="M1878" s="76">
        <f>STOCK[[#This Row],[Precio Final]]*10%</f>
        <v>0</v>
      </c>
      <c r="N1878" s="54">
        <v>0</v>
      </c>
      <c r="O1878" s="76">
        <v>0</v>
      </c>
      <c r="P1878" s="76">
        <v>9</v>
      </c>
      <c r="Q1878" s="76">
        <v>0</v>
      </c>
      <c r="R1878" s="78">
        <v>0</v>
      </c>
      <c r="S1878" s="76">
        <v>0</v>
      </c>
      <c r="T1878" s="76">
        <f>STOCK[[#This Row],[Costo Unitario (USD)]]+STOCK[[#This Row],[Costo Envío (USD)]]+STOCK[[#This Row],[Comisión 10%]]</f>
        <v>9</v>
      </c>
      <c r="U1878" s="53">
        <f>STOCK[[#This Row],[Costo total]]*1.5</f>
        <v>13.5</v>
      </c>
      <c r="W1878" s="76">
        <f>STOCK[[#This Row],[Precio Final]]-STOCK[[#This Row],[Costo total]]</f>
        <v>-9</v>
      </c>
      <c r="X1878" s="76">
        <f>STOCK[[#This Row],[Ganancia Unitaria]]*STOCK[[#This Row],[Salidas]]</f>
        <v>0</v>
      </c>
      <c r="Y1878" s="76"/>
      <c r="Z1878" s="87"/>
      <c r="AA1878" s="54"/>
      <c r="AB1878" s="54"/>
      <c r="AC1878" s="76"/>
      <c r="AD1878" s="94"/>
    </row>
    <row r="1879" s="53" customFormat="1" ht="50" customHeight="1" spans="1:30">
      <c r="A1879" s="95" t="s">
        <v>3718</v>
      </c>
      <c r="B1879" s="83"/>
      <c r="C1879" s="53" t="s">
        <v>32</v>
      </c>
      <c r="D1879" s="84"/>
      <c r="E1879" s="96" t="s">
        <v>3719</v>
      </c>
      <c r="F1879" s="95" t="s">
        <v>46</v>
      </c>
      <c r="G1879" s="76"/>
      <c r="H1879" s="76">
        <f>STOCK[[#This Row],[Precio Final]]</f>
        <v>0</v>
      </c>
      <c r="I1879" s="80">
        <f>STOCK[[#This Row],[Precio Venta Ideal (x1.5)]]</f>
        <v>13.5</v>
      </c>
      <c r="J1879" s="95">
        <v>1</v>
      </c>
      <c r="K1879" s="78">
        <f>SUMIFS(VENTAS[Cantidad],VENTAS[Código del producto Vendido],STOCK[[#This Row],[Code]])</f>
        <v>0</v>
      </c>
      <c r="L1879" s="78">
        <f>STOCK[[#This Row],[Entradas]]-STOCK[[#This Row],[Salidas]]</f>
        <v>1</v>
      </c>
      <c r="M1879" s="76">
        <f>STOCK[[#This Row],[Precio Final]]*10%</f>
        <v>0</v>
      </c>
      <c r="N1879" s="54">
        <v>0</v>
      </c>
      <c r="O1879" s="76">
        <v>0</v>
      </c>
      <c r="P1879" s="76">
        <v>9</v>
      </c>
      <c r="Q1879" s="76">
        <v>0</v>
      </c>
      <c r="R1879" s="78">
        <v>0</v>
      </c>
      <c r="S1879" s="76">
        <v>0</v>
      </c>
      <c r="T1879" s="76">
        <f>STOCK[[#This Row],[Costo Unitario (USD)]]+STOCK[[#This Row],[Costo Envío (USD)]]+STOCK[[#This Row],[Comisión 10%]]</f>
        <v>9</v>
      </c>
      <c r="U1879" s="53">
        <f>STOCK[[#This Row],[Costo total]]*1.5</f>
        <v>13.5</v>
      </c>
      <c r="W1879" s="76">
        <f>STOCK[[#This Row],[Precio Final]]-STOCK[[#This Row],[Costo total]]</f>
        <v>-9</v>
      </c>
      <c r="X1879" s="76">
        <f>STOCK[[#This Row],[Ganancia Unitaria]]*STOCK[[#This Row],[Salidas]]</f>
        <v>0</v>
      </c>
      <c r="Y1879" s="76"/>
      <c r="Z1879" s="87"/>
      <c r="AA1879" s="54"/>
      <c r="AB1879" s="54"/>
      <c r="AC1879" s="76"/>
      <c r="AD1879" s="94"/>
    </row>
    <row r="1880" s="53" customFormat="1" ht="50" customHeight="1" spans="1:30">
      <c r="A1880" s="95" t="s">
        <v>3720</v>
      </c>
      <c r="B1880" s="83"/>
      <c r="C1880" s="53" t="s">
        <v>32</v>
      </c>
      <c r="D1880" s="84"/>
      <c r="E1880" s="96" t="s">
        <v>3721</v>
      </c>
      <c r="F1880" s="95" t="s">
        <v>42</v>
      </c>
      <c r="G1880" s="76"/>
      <c r="H1880" s="76">
        <f>STOCK[[#This Row],[Precio Final]]</f>
        <v>0</v>
      </c>
      <c r="I1880" s="80">
        <f>STOCK[[#This Row],[Precio Venta Ideal (x1.5)]]</f>
        <v>13.5</v>
      </c>
      <c r="J1880" s="95">
        <v>1</v>
      </c>
      <c r="K1880" s="78">
        <f>SUMIFS(VENTAS[Cantidad],VENTAS[Código del producto Vendido],STOCK[[#This Row],[Code]])</f>
        <v>0</v>
      </c>
      <c r="L1880" s="78">
        <f>STOCK[[#This Row],[Entradas]]-STOCK[[#This Row],[Salidas]]</f>
        <v>1</v>
      </c>
      <c r="M1880" s="76">
        <f>STOCK[[#This Row],[Precio Final]]*10%</f>
        <v>0</v>
      </c>
      <c r="N1880" s="54">
        <v>0</v>
      </c>
      <c r="O1880" s="76">
        <v>0</v>
      </c>
      <c r="P1880" s="76">
        <v>9</v>
      </c>
      <c r="Q1880" s="76">
        <v>0</v>
      </c>
      <c r="R1880" s="78">
        <v>0</v>
      </c>
      <c r="S1880" s="76">
        <v>0</v>
      </c>
      <c r="T1880" s="76">
        <f>STOCK[[#This Row],[Costo Unitario (USD)]]+STOCK[[#This Row],[Costo Envío (USD)]]+STOCK[[#This Row],[Comisión 10%]]</f>
        <v>9</v>
      </c>
      <c r="U1880" s="53">
        <f>STOCK[[#This Row],[Costo total]]*1.5</f>
        <v>13.5</v>
      </c>
      <c r="W1880" s="76">
        <f>STOCK[[#This Row],[Precio Final]]-STOCK[[#This Row],[Costo total]]</f>
        <v>-9</v>
      </c>
      <c r="X1880" s="76">
        <f>STOCK[[#This Row],[Ganancia Unitaria]]*STOCK[[#This Row],[Salidas]]</f>
        <v>0</v>
      </c>
      <c r="Y1880" s="76"/>
      <c r="Z1880" s="87"/>
      <c r="AA1880" s="54"/>
      <c r="AB1880" s="54"/>
      <c r="AC1880" s="76"/>
      <c r="AD1880" s="94"/>
    </row>
    <row r="1881" s="53" customFormat="1" ht="50" customHeight="1" spans="1:30">
      <c r="A1881" s="95" t="s">
        <v>3722</v>
      </c>
      <c r="B1881" s="83"/>
      <c r="C1881" s="53" t="s">
        <v>32</v>
      </c>
      <c r="D1881" s="84"/>
      <c r="E1881" s="96" t="s">
        <v>3723</v>
      </c>
      <c r="F1881" s="95" t="s">
        <v>42</v>
      </c>
      <c r="G1881" s="76"/>
      <c r="H1881" s="76">
        <f>STOCK[[#This Row],[Precio Final]]</f>
        <v>0</v>
      </c>
      <c r="I1881" s="80">
        <f>STOCK[[#This Row],[Precio Venta Ideal (x1.5)]]</f>
        <v>13.5</v>
      </c>
      <c r="J1881" s="95">
        <v>1</v>
      </c>
      <c r="K1881" s="78">
        <f>SUMIFS(VENTAS[Cantidad],VENTAS[Código del producto Vendido],STOCK[[#This Row],[Code]])</f>
        <v>0</v>
      </c>
      <c r="L1881" s="78">
        <f>STOCK[[#This Row],[Entradas]]-STOCK[[#This Row],[Salidas]]</f>
        <v>1</v>
      </c>
      <c r="M1881" s="76">
        <f>STOCK[[#This Row],[Precio Final]]*10%</f>
        <v>0</v>
      </c>
      <c r="N1881" s="54">
        <v>0</v>
      </c>
      <c r="O1881" s="76">
        <v>0</v>
      </c>
      <c r="P1881" s="76">
        <v>9</v>
      </c>
      <c r="Q1881" s="76">
        <v>0</v>
      </c>
      <c r="R1881" s="78">
        <v>0</v>
      </c>
      <c r="S1881" s="76">
        <v>0</v>
      </c>
      <c r="T1881" s="76">
        <f>STOCK[[#This Row],[Costo Unitario (USD)]]+STOCK[[#This Row],[Costo Envío (USD)]]+STOCK[[#This Row],[Comisión 10%]]</f>
        <v>9</v>
      </c>
      <c r="U1881" s="53">
        <f>STOCK[[#This Row],[Costo total]]*1.5</f>
        <v>13.5</v>
      </c>
      <c r="W1881" s="76">
        <f>STOCK[[#This Row],[Precio Final]]-STOCK[[#This Row],[Costo total]]</f>
        <v>-9</v>
      </c>
      <c r="X1881" s="76">
        <f>STOCK[[#This Row],[Ganancia Unitaria]]*STOCK[[#This Row],[Salidas]]</f>
        <v>0</v>
      </c>
      <c r="Y1881" s="76"/>
      <c r="Z1881" s="87"/>
      <c r="AA1881" s="54"/>
      <c r="AB1881" s="54"/>
      <c r="AC1881" s="76"/>
      <c r="AD1881" s="94"/>
    </row>
    <row r="1882" s="53" customFormat="1" ht="50" customHeight="1" spans="1:30">
      <c r="A1882" s="95" t="s">
        <v>3724</v>
      </c>
      <c r="B1882" s="83"/>
      <c r="C1882" s="53" t="s">
        <v>32</v>
      </c>
      <c r="D1882" s="84"/>
      <c r="E1882" s="96" t="s">
        <v>3725</v>
      </c>
      <c r="F1882" s="95" t="s">
        <v>49</v>
      </c>
      <c r="G1882" s="76"/>
      <c r="H1882" s="76">
        <f>STOCK[[#This Row],[Precio Final]]</f>
        <v>0</v>
      </c>
      <c r="I1882" s="80">
        <f>STOCK[[#This Row],[Precio Venta Ideal (x1.5)]]</f>
        <v>13.5</v>
      </c>
      <c r="J1882" s="95">
        <v>1</v>
      </c>
      <c r="K1882" s="78">
        <f>SUMIFS(VENTAS[Cantidad],VENTAS[Código del producto Vendido],STOCK[[#This Row],[Code]])</f>
        <v>0</v>
      </c>
      <c r="L1882" s="78">
        <f>STOCK[[#This Row],[Entradas]]-STOCK[[#This Row],[Salidas]]</f>
        <v>1</v>
      </c>
      <c r="M1882" s="76">
        <f>STOCK[[#This Row],[Precio Final]]*10%</f>
        <v>0</v>
      </c>
      <c r="N1882" s="54">
        <v>0</v>
      </c>
      <c r="O1882" s="76">
        <v>0</v>
      </c>
      <c r="P1882" s="76">
        <v>9</v>
      </c>
      <c r="Q1882" s="76">
        <v>0</v>
      </c>
      <c r="R1882" s="78">
        <v>0</v>
      </c>
      <c r="S1882" s="76">
        <v>0</v>
      </c>
      <c r="T1882" s="76">
        <f>STOCK[[#This Row],[Costo Unitario (USD)]]+STOCK[[#This Row],[Costo Envío (USD)]]+STOCK[[#This Row],[Comisión 10%]]</f>
        <v>9</v>
      </c>
      <c r="U1882" s="53">
        <f>STOCK[[#This Row],[Costo total]]*1.5</f>
        <v>13.5</v>
      </c>
      <c r="W1882" s="76">
        <f>STOCK[[#This Row],[Precio Final]]-STOCK[[#This Row],[Costo total]]</f>
        <v>-9</v>
      </c>
      <c r="X1882" s="76">
        <f>STOCK[[#This Row],[Ganancia Unitaria]]*STOCK[[#This Row],[Salidas]]</f>
        <v>0</v>
      </c>
      <c r="Y1882" s="76"/>
      <c r="Z1882" s="87"/>
      <c r="AA1882" s="54"/>
      <c r="AB1882" s="54"/>
      <c r="AC1882" s="76"/>
      <c r="AD1882" s="94"/>
    </row>
    <row r="1883" s="53" customFormat="1" ht="50" customHeight="1" spans="1:30">
      <c r="A1883" s="95" t="s">
        <v>3726</v>
      </c>
      <c r="B1883" s="83"/>
      <c r="C1883" s="53" t="s">
        <v>32</v>
      </c>
      <c r="D1883" s="84"/>
      <c r="E1883" s="96" t="s">
        <v>3727</v>
      </c>
      <c r="F1883" s="95" t="s">
        <v>42</v>
      </c>
      <c r="G1883" s="76"/>
      <c r="H1883" s="76">
        <f>STOCK[[#This Row],[Precio Final]]</f>
        <v>0</v>
      </c>
      <c r="I1883" s="80">
        <f>STOCK[[#This Row],[Precio Venta Ideal (x1.5)]]</f>
        <v>13.5</v>
      </c>
      <c r="J1883" s="95">
        <v>1</v>
      </c>
      <c r="K1883" s="78">
        <f>SUMIFS(VENTAS[Cantidad],VENTAS[Código del producto Vendido],STOCK[[#This Row],[Code]])</f>
        <v>0</v>
      </c>
      <c r="L1883" s="78">
        <f>STOCK[[#This Row],[Entradas]]-STOCK[[#This Row],[Salidas]]</f>
        <v>1</v>
      </c>
      <c r="M1883" s="76">
        <f>STOCK[[#This Row],[Precio Final]]*10%</f>
        <v>0</v>
      </c>
      <c r="N1883" s="54">
        <v>0</v>
      </c>
      <c r="O1883" s="76">
        <v>0</v>
      </c>
      <c r="P1883" s="76">
        <v>9</v>
      </c>
      <c r="Q1883" s="76">
        <v>0</v>
      </c>
      <c r="R1883" s="78">
        <v>0</v>
      </c>
      <c r="S1883" s="76">
        <v>0</v>
      </c>
      <c r="T1883" s="76">
        <f>STOCK[[#This Row],[Costo Unitario (USD)]]+STOCK[[#This Row],[Costo Envío (USD)]]+STOCK[[#This Row],[Comisión 10%]]</f>
        <v>9</v>
      </c>
      <c r="U1883" s="53">
        <f>STOCK[[#This Row],[Costo total]]*1.5</f>
        <v>13.5</v>
      </c>
      <c r="W1883" s="76">
        <f>STOCK[[#This Row],[Precio Final]]-STOCK[[#This Row],[Costo total]]</f>
        <v>-9</v>
      </c>
      <c r="X1883" s="76">
        <f>STOCK[[#This Row],[Ganancia Unitaria]]*STOCK[[#This Row],[Salidas]]</f>
        <v>0</v>
      </c>
      <c r="Y1883" s="76"/>
      <c r="Z1883" s="87"/>
      <c r="AA1883" s="54"/>
      <c r="AB1883" s="54"/>
      <c r="AC1883" s="76"/>
      <c r="AD1883" s="94"/>
    </row>
    <row r="1884" s="53" customFormat="1" ht="50" customHeight="1" spans="1:30">
      <c r="A1884" s="95" t="s">
        <v>3728</v>
      </c>
      <c r="B1884" s="83"/>
      <c r="C1884" s="53" t="s">
        <v>32</v>
      </c>
      <c r="D1884" s="84"/>
      <c r="E1884" s="96" t="s">
        <v>3729</v>
      </c>
      <c r="F1884" s="95" t="s">
        <v>281</v>
      </c>
      <c r="G1884" s="76"/>
      <c r="H1884" s="76">
        <f>STOCK[[#This Row],[Precio Final]]</f>
        <v>0</v>
      </c>
      <c r="I1884" s="80">
        <f>STOCK[[#This Row],[Precio Venta Ideal (x1.5)]]</f>
        <v>13.5</v>
      </c>
      <c r="J1884" s="95">
        <v>1</v>
      </c>
      <c r="K1884" s="78">
        <f>SUMIFS(VENTAS[Cantidad],VENTAS[Código del producto Vendido],STOCK[[#This Row],[Code]])</f>
        <v>0</v>
      </c>
      <c r="L1884" s="78">
        <f>STOCK[[#This Row],[Entradas]]-STOCK[[#This Row],[Salidas]]</f>
        <v>1</v>
      </c>
      <c r="M1884" s="76">
        <f>STOCK[[#This Row],[Precio Final]]*10%</f>
        <v>0</v>
      </c>
      <c r="N1884" s="54">
        <v>0</v>
      </c>
      <c r="O1884" s="76">
        <v>0</v>
      </c>
      <c r="P1884" s="76">
        <v>9</v>
      </c>
      <c r="Q1884" s="76">
        <v>0</v>
      </c>
      <c r="R1884" s="78">
        <v>0</v>
      </c>
      <c r="S1884" s="76">
        <v>0</v>
      </c>
      <c r="T1884" s="76">
        <f>STOCK[[#This Row],[Costo Unitario (USD)]]+STOCK[[#This Row],[Costo Envío (USD)]]+STOCK[[#This Row],[Comisión 10%]]</f>
        <v>9</v>
      </c>
      <c r="U1884" s="53">
        <f>STOCK[[#This Row],[Costo total]]*1.5</f>
        <v>13.5</v>
      </c>
      <c r="W1884" s="76">
        <f>STOCK[[#This Row],[Precio Final]]-STOCK[[#This Row],[Costo total]]</f>
        <v>-9</v>
      </c>
      <c r="X1884" s="76">
        <f>STOCK[[#This Row],[Ganancia Unitaria]]*STOCK[[#This Row],[Salidas]]</f>
        <v>0</v>
      </c>
      <c r="Y1884" s="76"/>
      <c r="Z1884" s="87"/>
      <c r="AA1884" s="54"/>
      <c r="AB1884" s="54"/>
      <c r="AC1884" s="76"/>
      <c r="AD1884" s="94"/>
    </row>
    <row r="1885" s="53" customFormat="1" ht="50" customHeight="1" spans="1:30">
      <c r="A1885" s="95" t="s">
        <v>3730</v>
      </c>
      <c r="B1885" s="83"/>
      <c r="C1885" s="53" t="s">
        <v>32</v>
      </c>
      <c r="D1885" s="84"/>
      <c r="E1885" s="96" t="s">
        <v>3731</v>
      </c>
      <c r="F1885" s="95" t="s">
        <v>281</v>
      </c>
      <c r="G1885" s="76"/>
      <c r="H1885" s="76">
        <f>STOCK[[#This Row],[Precio Final]]</f>
        <v>0</v>
      </c>
      <c r="I1885" s="80">
        <f>STOCK[[#This Row],[Precio Venta Ideal (x1.5)]]</f>
        <v>13.5</v>
      </c>
      <c r="J1885" s="95">
        <v>1</v>
      </c>
      <c r="K1885" s="78">
        <f>SUMIFS(VENTAS[Cantidad],VENTAS[Código del producto Vendido],STOCK[[#This Row],[Code]])</f>
        <v>0</v>
      </c>
      <c r="L1885" s="78">
        <f>STOCK[[#This Row],[Entradas]]-STOCK[[#This Row],[Salidas]]</f>
        <v>1</v>
      </c>
      <c r="M1885" s="76">
        <f>STOCK[[#This Row],[Precio Final]]*10%</f>
        <v>0</v>
      </c>
      <c r="N1885" s="54">
        <v>0</v>
      </c>
      <c r="O1885" s="76">
        <v>0</v>
      </c>
      <c r="P1885" s="76">
        <v>9</v>
      </c>
      <c r="Q1885" s="76">
        <v>0</v>
      </c>
      <c r="R1885" s="78">
        <v>0</v>
      </c>
      <c r="S1885" s="76">
        <v>0</v>
      </c>
      <c r="T1885" s="76">
        <f>STOCK[[#This Row],[Costo Unitario (USD)]]+STOCK[[#This Row],[Costo Envío (USD)]]+STOCK[[#This Row],[Comisión 10%]]</f>
        <v>9</v>
      </c>
      <c r="U1885" s="53">
        <f>STOCK[[#This Row],[Costo total]]*1.5</f>
        <v>13.5</v>
      </c>
      <c r="W1885" s="76">
        <f>STOCK[[#This Row],[Precio Final]]-STOCK[[#This Row],[Costo total]]</f>
        <v>-9</v>
      </c>
      <c r="X1885" s="76">
        <f>STOCK[[#This Row],[Ganancia Unitaria]]*STOCK[[#This Row],[Salidas]]</f>
        <v>0</v>
      </c>
      <c r="Y1885" s="76"/>
      <c r="Z1885" s="87"/>
      <c r="AA1885" s="54"/>
      <c r="AB1885" s="54"/>
      <c r="AC1885" s="76"/>
      <c r="AD1885" s="94"/>
    </row>
    <row r="1886" s="53" customFormat="1" ht="50" customHeight="1" spans="1:30">
      <c r="A1886" s="95" t="s">
        <v>3732</v>
      </c>
      <c r="B1886" s="83"/>
      <c r="C1886" s="53" t="s">
        <v>32</v>
      </c>
      <c r="D1886" s="84"/>
      <c r="E1886" s="96" t="s">
        <v>3733</v>
      </c>
      <c r="F1886" s="95" t="s">
        <v>46</v>
      </c>
      <c r="G1886" s="76"/>
      <c r="H1886" s="76">
        <f>STOCK[[#This Row],[Precio Final]]</f>
        <v>0</v>
      </c>
      <c r="I1886" s="80">
        <f>STOCK[[#This Row],[Precio Venta Ideal (x1.5)]]</f>
        <v>13.5</v>
      </c>
      <c r="J1886" s="95">
        <v>1</v>
      </c>
      <c r="K1886" s="78">
        <f>SUMIFS(VENTAS[Cantidad],VENTAS[Código del producto Vendido],STOCK[[#This Row],[Code]])</f>
        <v>0</v>
      </c>
      <c r="L1886" s="78">
        <f>STOCK[[#This Row],[Entradas]]-STOCK[[#This Row],[Salidas]]</f>
        <v>1</v>
      </c>
      <c r="M1886" s="76">
        <f>STOCK[[#This Row],[Precio Final]]*10%</f>
        <v>0</v>
      </c>
      <c r="N1886" s="54">
        <v>0</v>
      </c>
      <c r="O1886" s="76">
        <v>0</v>
      </c>
      <c r="P1886" s="76">
        <v>9</v>
      </c>
      <c r="Q1886" s="76">
        <v>0</v>
      </c>
      <c r="R1886" s="78">
        <v>0</v>
      </c>
      <c r="S1886" s="76">
        <v>0</v>
      </c>
      <c r="T1886" s="76">
        <f>STOCK[[#This Row],[Costo Unitario (USD)]]+STOCK[[#This Row],[Costo Envío (USD)]]+STOCK[[#This Row],[Comisión 10%]]</f>
        <v>9</v>
      </c>
      <c r="U1886" s="53">
        <f>STOCK[[#This Row],[Costo total]]*1.5</f>
        <v>13.5</v>
      </c>
      <c r="W1886" s="76">
        <f>STOCK[[#This Row],[Precio Final]]-STOCK[[#This Row],[Costo total]]</f>
        <v>-9</v>
      </c>
      <c r="X1886" s="76">
        <f>STOCK[[#This Row],[Ganancia Unitaria]]*STOCK[[#This Row],[Salidas]]</f>
        <v>0</v>
      </c>
      <c r="Y1886" s="76"/>
      <c r="Z1886" s="87"/>
      <c r="AA1886" s="54"/>
      <c r="AB1886" s="54"/>
      <c r="AC1886" s="76"/>
      <c r="AD1886" s="94"/>
    </row>
    <row r="1887" s="53" customFormat="1" ht="50" customHeight="1" spans="1:30">
      <c r="A1887" s="95" t="s">
        <v>3734</v>
      </c>
      <c r="B1887" s="83"/>
      <c r="C1887" s="53" t="s">
        <v>32</v>
      </c>
      <c r="D1887" s="84"/>
      <c r="E1887" s="96" t="s">
        <v>3735</v>
      </c>
      <c r="F1887" s="95" t="s">
        <v>62</v>
      </c>
      <c r="G1887" s="76"/>
      <c r="H1887" s="76">
        <f>STOCK[[#This Row],[Precio Final]]</f>
        <v>0</v>
      </c>
      <c r="I1887" s="80">
        <f>STOCK[[#This Row],[Precio Venta Ideal (x1.5)]]</f>
        <v>13.5</v>
      </c>
      <c r="J1887" s="95">
        <v>1</v>
      </c>
      <c r="K1887" s="78">
        <f>SUMIFS(VENTAS[Cantidad],VENTAS[Código del producto Vendido],STOCK[[#This Row],[Code]])</f>
        <v>0</v>
      </c>
      <c r="L1887" s="78">
        <f>STOCK[[#This Row],[Entradas]]-STOCK[[#This Row],[Salidas]]</f>
        <v>1</v>
      </c>
      <c r="M1887" s="76">
        <f>STOCK[[#This Row],[Precio Final]]*10%</f>
        <v>0</v>
      </c>
      <c r="N1887" s="54">
        <v>0</v>
      </c>
      <c r="O1887" s="76">
        <v>0</v>
      </c>
      <c r="P1887" s="76">
        <v>9</v>
      </c>
      <c r="Q1887" s="76">
        <v>0</v>
      </c>
      <c r="R1887" s="78">
        <v>0</v>
      </c>
      <c r="S1887" s="76">
        <v>0</v>
      </c>
      <c r="T1887" s="76">
        <f>STOCK[[#This Row],[Costo Unitario (USD)]]+STOCK[[#This Row],[Costo Envío (USD)]]+STOCK[[#This Row],[Comisión 10%]]</f>
        <v>9</v>
      </c>
      <c r="U1887" s="53">
        <f>STOCK[[#This Row],[Costo total]]*1.5</f>
        <v>13.5</v>
      </c>
      <c r="W1887" s="76">
        <f>STOCK[[#This Row],[Precio Final]]-STOCK[[#This Row],[Costo total]]</f>
        <v>-9</v>
      </c>
      <c r="X1887" s="76">
        <f>STOCK[[#This Row],[Ganancia Unitaria]]*STOCK[[#This Row],[Salidas]]</f>
        <v>0</v>
      </c>
      <c r="Y1887" s="76"/>
      <c r="Z1887" s="87"/>
      <c r="AA1887" s="54"/>
      <c r="AB1887" s="54"/>
      <c r="AC1887" s="76"/>
      <c r="AD1887" s="94"/>
    </row>
    <row r="1888" s="53" customFormat="1" ht="50" customHeight="1" spans="1:30">
      <c r="A1888" s="95" t="s">
        <v>3736</v>
      </c>
      <c r="B1888" s="83"/>
      <c r="C1888" s="53" t="s">
        <v>32</v>
      </c>
      <c r="D1888" s="84"/>
      <c r="E1888" s="96" t="s">
        <v>3737</v>
      </c>
      <c r="F1888" s="95" t="s">
        <v>62</v>
      </c>
      <c r="G1888" s="76"/>
      <c r="H1888" s="76">
        <f>STOCK[[#This Row],[Precio Final]]</f>
        <v>0</v>
      </c>
      <c r="I1888" s="80">
        <f>STOCK[[#This Row],[Precio Venta Ideal (x1.5)]]</f>
        <v>13.5</v>
      </c>
      <c r="J1888" s="95">
        <v>1</v>
      </c>
      <c r="K1888" s="78">
        <f>SUMIFS(VENTAS[Cantidad],VENTAS[Código del producto Vendido],STOCK[[#This Row],[Code]])</f>
        <v>0</v>
      </c>
      <c r="L1888" s="78">
        <f>STOCK[[#This Row],[Entradas]]-STOCK[[#This Row],[Salidas]]</f>
        <v>1</v>
      </c>
      <c r="M1888" s="76">
        <f>STOCK[[#This Row],[Precio Final]]*10%</f>
        <v>0</v>
      </c>
      <c r="N1888" s="54">
        <v>0</v>
      </c>
      <c r="O1888" s="76">
        <v>0</v>
      </c>
      <c r="P1888" s="76">
        <v>9</v>
      </c>
      <c r="Q1888" s="76">
        <v>0</v>
      </c>
      <c r="R1888" s="78">
        <v>0</v>
      </c>
      <c r="S1888" s="76">
        <v>0</v>
      </c>
      <c r="T1888" s="76">
        <f>STOCK[[#This Row],[Costo Unitario (USD)]]+STOCK[[#This Row],[Costo Envío (USD)]]+STOCK[[#This Row],[Comisión 10%]]</f>
        <v>9</v>
      </c>
      <c r="U1888" s="53">
        <f>STOCK[[#This Row],[Costo total]]*1.5</f>
        <v>13.5</v>
      </c>
      <c r="W1888" s="76">
        <f>STOCK[[#This Row],[Precio Final]]-STOCK[[#This Row],[Costo total]]</f>
        <v>-9</v>
      </c>
      <c r="X1888" s="76">
        <f>STOCK[[#This Row],[Ganancia Unitaria]]*STOCK[[#This Row],[Salidas]]</f>
        <v>0</v>
      </c>
      <c r="Y1888" s="76"/>
      <c r="Z1888" s="87"/>
      <c r="AA1888" s="54"/>
      <c r="AB1888" s="54"/>
      <c r="AC1888" s="76"/>
      <c r="AD1888" s="94"/>
    </row>
    <row r="1889" s="53" customFormat="1" ht="50" customHeight="1" spans="1:30">
      <c r="A1889" s="95" t="s">
        <v>3738</v>
      </c>
      <c r="B1889" s="83"/>
      <c r="C1889" s="53" t="s">
        <v>32</v>
      </c>
      <c r="D1889" s="84"/>
      <c r="E1889" s="96" t="s">
        <v>3739</v>
      </c>
      <c r="F1889" s="95" t="s">
        <v>716</v>
      </c>
      <c r="G1889" s="76"/>
      <c r="H1889" s="76">
        <f>STOCK[[#This Row],[Precio Final]]</f>
        <v>0</v>
      </c>
      <c r="I1889" s="80">
        <f>STOCK[[#This Row],[Precio Venta Ideal (x1.5)]]</f>
        <v>13.5</v>
      </c>
      <c r="J1889" s="95">
        <v>2</v>
      </c>
      <c r="K1889" s="78">
        <f>SUMIFS(VENTAS[Cantidad],VENTAS[Código del producto Vendido],STOCK[[#This Row],[Code]])</f>
        <v>0</v>
      </c>
      <c r="L1889" s="78">
        <f>STOCK[[#This Row],[Entradas]]-STOCK[[#This Row],[Salidas]]</f>
        <v>2</v>
      </c>
      <c r="M1889" s="76">
        <f>STOCK[[#This Row],[Precio Final]]*10%</f>
        <v>0</v>
      </c>
      <c r="N1889" s="54">
        <v>0</v>
      </c>
      <c r="O1889" s="76">
        <v>0</v>
      </c>
      <c r="P1889" s="76">
        <v>9</v>
      </c>
      <c r="Q1889" s="76">
        <v>0</v>
      </c>
      <c r="R1889" s="78">
        <v>0</v>
      </c>
      <c r="S1889" s="76">
        <v>0</v>
      </c>
      <c r="T1889" s="76">
        <f>STOCK[[#This Row],[Costo Unitario (USD)]]+STOCK[[#This Row],[Costo Envío (USD)]]+STOCK[[#This Row],[Comisión 10%]]</f>
        <v>9</v>
      </c>
      <c r="U1889" s="53">
        <f>STOCK[[#This Row],[Costo total]]*1.5</f>
        <v>13.5</v>
      </c>
      <c r="W1889" s="76">
        <f>STOCK[[#This Row],[Precio Final]]-STOCK[[#This Row],[Costo total]]</f>
        <v>-9</v>
      </c>
      <c r="X1889" s="76">
        <f>STOCK[[#This Row],[Ganancia Unitaria]]*STOCK[[#This Row],[Salidas]]</f>
        <v>0</v>
      </c>
      <c r="Y1889" s="76"/>
      <c r="Z1889" s="87"/>
      <c r="AA1889" s="54"/>
      <c r="AB1889" s="54"/>
      <c r="AC1889" s="76"/>
      <c r="AD1889" s="94"/>
    </row>
    <row r="1890" s="53" customFormat="1" ht="50" customHeight="1" spans="1:30">
      <c r="A1890" s="95" t="s">
        <v>3740</v>
      </c>
      <c r="B1890" s="83"/>
      <c r="C1890" s="53" t="s">
        <v>32</v>
      </c>
      <c r="D1890" s="84"/>
      <c r="E1890" s="96" t="s">
        <v>3741</v>
      </c>
      <c r="F1890" s="95" t="s">
        <v>3742</v>
      </c>
      <c r="G1890" s="76"/>
      <c r="H1890" s="76">
        <f>STOCK[[#This Row],[Precio Final]]</f>
        <v>0</v>
      </c>
      <c r="I1890" s="80">
        <f>STOCK[[#This Row],[Precio Venta Ideal (x1.5)]]</f>
        <v>13.5</v>
      </c>
      <c r="J1890" s="95">
        <v>1</v>
      </c>
      <c r="K1890" s="78">
        <f>SUMIFS(VENTAS[Cantidad],VENTAS[Código del producto Vendido],STOCK[[#This Row],[Code]])</f>
        <v>0</v>
      </c>
      <c r="L1890" s="78">
        <f>STOCK[[#This Row],[Entradas]]-STOCK[[#This Row],[Salidas]]</f>
        <v>1</v>
      </c>
      <c r="M1890" s="76">
        <f>STOCK[[#This Row],[Precio Final]]*10%</f>
        <v>0</v>
      </c>
      <c r="N1890" s="54">
        <v>0</v>
      </c>
      <c r="O1890" s="76">
        <v>0</v>
      </c>
      <c r="P1890" s="76">
        <v>9</v>
      </c>
      <c r="Q1890" s="76">
        <v>0</v>
      </c>
      <c r="R1890" s="78">
        <v>0</v>
      </c>
      <c r="S1890" s="76">
        <v>0</v>
      </c>
      <c r="T1890" s="76">
        <f>STOCK[[#This Row],[Costo Unitario (USD)]]+STOCK[[#This Row],[Costo Envío (USD)]]+STOCK[[#This Row],[Comisión 10%]]</f>
        <v>9</v>
      </c>
      <c r="U1890" s="53">
        <f>STOCK[[#This Row],[Costo total]]*1.5</f>
        <v>13.5</v>
      </c>
      <c r="W1890" s="76">
        <f>STOCK[[#This Row],[Precio Final]]-STOCK[[#This Row],[Costo total]]</f>
        <v>-9</v>
      </c>
      <c r="X1890" s="76">
        <f>STOCK[[#This Row],[Ganancia Unitaria]]*STOCK[[#This Row],[Salidas]]</f>
        <v>0</v>
      </c>
      <c r="Y1890" s="76"/>
      <c r="Z1890" s="87"/>
      <c r="AA1890" s="54"/>
      <c r="AB1890" s="54"/>
      <c r="AC1890" s="76"/>
      <c r="AD1890" s="94"/>
    </row>
    <row r="1891" s="53" customFormat="1" ht="50" customHeight="1" spans="1:30">
      <c r="A1891" s="95" t="s">
        <v>3743</v>
      </c>
      <c r="B1891" s="83"/>
      <c r="C1891" s="53" t="s">
        <v>32</v>
      </c>
      <c r="D1891" s="84"/>
      <c r="E1891" s="96" t="s">
        <v>3744</v>
      </c>
      <c r="F1891" s="95" t="s">
        <v>49</v>
      </c>
      <c r="G1891" s="76"/>
      <c r="H1891" s="76">
        <f>STOCK[[#This Row],[Precio Final]]</f>
        <v>0</v>
      </c>
      <c r="I1891" s="80">
        <f>STOCK[[#This Row],[Precio Venta Ideal (x1.5)]]</f>
        <v>13.5</v>
      </c>
      <c r="J1891" s="95">
        <v>1</v>
      </c>
      <c r="K1891" s="78">
        <f>SUMIFS(VENTAS[Cantidad],VENTAS[Código del producto Vendido],STOCK[[#This Row],[Code]])</f>
        <v>0</v>
      </c>
      <c r="L1891" s="78">
        <f>STOCK[[#This Row],[Entradas]]-STOCK[[#This Row],[Salidas]]</f>
        <v>1</v>
      </c>
      <c r="M1891" s="76">
        <f>STOCK[[#This Row],[Precio Final]]*10%</f>
        <v>0</v>
      </c>
      <c r="N1891" s="54">
        <v>0</v>
      </c>
      <c r="O1891" s="76">
        <v>0</v>
      </c>
      <c r="P1891" s="76">
        <v>9</v>
      </c>
      <c r="Q1891" s="76">
        <v>0</v>
      </c>
      <c r="R1891" s="78">
        <v>0</v>
      </c>
      <c r="S1891" s="76">
        <v>0</v>
      </c>
      <c r="T1891" s="76">
        <f>STOCK[[#This Row],[Costo Unitario (USD)]]+STOCK[[#This Row],[Costo Envío (USD)]]+STOCK[[#This Row],[Comisión 10%]]</f>
        <v>9</v>
      </c>
      <c r="U1891" s="53">
        <f>STOCK[[#This Row],[Costo total]]*1.5</f>
        <v>13.5</v>
      </c>
      <c r="W1891" s="76">
        <f>STOCK[[#This Row],[Precio Final]]-STOCK[[#This Row],[Costo total]]</f>
        <v>-9</v>
      </c>
      <c r="X1891" s="76">
        <f>STOCK[[#This Row],[Ganancia Unitaria]]*STOCK[[#This Row],[Salidas]]</f>
        <v>0</v>
      </c>
      <c r="Y1891" s="76"/>
      <c r="Z1891" s="87"/>
      <c r="AA1891" s="54"/>
      <c r="AB1891" s="54"/>
      <c r="AC1891" s="76"/>
      <c r="AD1891" s="94"/>
    </row>
    <row r="1892" s="53" customFormat="1" ht="50" customHeight="1" spans="1:30">
      <c r="A1892" s="95" t="s">
        <v>3745</v>
      </c>
      <c r="B1892" s="83"/>
      <c r="C1892" s="53" t="s">
        <v>32</v>
      </c>
      <c r="D1892" s="84"/>
      <c r="E1892" s="96" t="s">
        <v>3746</v>
      </c>
      <c r="F1892" s="95" t="s">
        <v>49</v>
      </c>
      <c r="G1892" s="76"/>
      <c r="H1892" s="76">
        <f>STOCK[[#This Row],[Precio Final]]</f>
        <v>0</v>
      </c>
      <c r="I1892" s="80">
        <f>STOCK[[#This Row],[Precio Venta Ideal (x1.5)]]</f>
        <v>13.5</v>
      </c>
      <c r="J1892" s="95">
        <v>1</v>
      </c>
      <c r="K1892" s="78">
        <f>SUMIFS(VENTAS[Cantidad],VENTAS[Código del producto Vendido],STOCK[[#This Row],[Code]])</f>
        <v>0</v>
      </c>
      <c r="L1892" s="78">
        <f>STOCK[[#This Row],[Entradas]]-STOCK[[#This Row],[Salidas]]</f>
        <v>1</v>
      </c>
      <c r="M1892" s="76">
        <f>STOCK[[#This Row],[Precio Final]]*10%</f>
        <v>0</v>
      </c>
      <c r="N1892" s="54">
        <v>0</v>
      </c>
      <c r="O1892" s="76">
        <v>0</v>
      </c>
      <c r="P1892" s="76">
        <v>9</v>
      </c>
      <c r="Q1892" s="76">
        <v>0</v>
      </c>
      <c r="R1892" s="78">
        <v>0</v>
      </c>
      <c r="S1892" s="76">
        <v>0</v>
      </c>
      <c r="T1892" s="76">
        <f>STOCK[[#This Row],[Costo Unitario (USD)]]+STOCK[[#This Row],[Costo Envío (USD)]]+STOCK[[#This Row],[Comisión 10%]]</f>
        <v>9</v>
      </c>
      <c r="U1892" s="53">
        <f>STOCK[[#This Row],[Costo total]]*1.5</f>
        <v>13.5</v>
      </c>
      <c r="W1892" s="76">
        <f>STOCK[[#This Row],[Precio Final]]-STOCK[[#This Row],[Costo total]]</f>
        <v>-9</v>
      </c>
      <c r="X1892" s="76">
        <f>STOCK[[#This Row],[Ganancia Unitaria]]*STOCK[[#This Row],[Salidas]]</f>
        <v>0</v>
      </c>
      <c r="Y1892" s="76"/>
      <c r="Z1892" s="87"/>
      <c r="AA1892" s="54"/>
      <c r="AB1892" s="54"/>
      <c r="AC1892" s="76"/>
      <c r="AD1892" s="94"/>
    </row>
    <row r="1893" s="53" customFormat="1" ht="50" customHeight="1" spans="1:30">
      <c r="A1893" s="95" t="s">
        <v>3747</v>
      </c>
      <c r="B1893" s="83"/>
      <c r="C1893" s="53" t="s">
        <v>32</v>
      </c>
      <c r="D1893" s="84"/>
      <c r="E1893" s="96" t="s">
        <v>3748</v>
      </c>
      <c r="F1893" s="95" t="s">
        <v>62</v>
      </c>
      <c r="G1893" s="76"/>
      <c r="H1893" s="76">
        <f>STOCK[[#This Row],[Precio Final]]</f>
        <v>0</v>
      </c>
      <c r="I1893" s="80">
        <f>STOCK[[#This Row],[Precio Venta Ideal (x1.5)]]</f>
        <v>13.5</v>
      </c>
      <c r="J1893" s="95">
        <v>1</v>
      </c>
      <c r="K1893" s="78">
        <f>SUMIFS(VENTAS[Cantidad],VENTAS[Código del producto Vendido],STOCK[[#This Row],[Code]])</f>
        <v>0</v>
      </c>
      <c r="L1893" s="78">
        <f>STOCK[[#This Row],[Entradas]]-STOCK[[#This Row],[Salidas]]</f>
        <v>1</v>
      </c>
      <c r="M1893" s="76">
        <f>STOCK[[#This Row],[Precio Final]]*10%</f>
        <v>0</v>
      </c>
      <c r="N1893" s="54">
        <v>0</v>
      </c>
      <c r="O1893" s="76">
        <v>0</v>
      </c>
      <c r="P1893" s="76">
        <v>9</v>
      </c>
      <c r="Q1893" s="76">
        <v>0</v>
      </c>
      <c r="R1893" s="78">
        <v>0</v>
      </c>
      <c r="S1893" s="76">
        <v>0</v>
      </c>
      <c r="T1893" s="76">
        <f>STOCK[[#This Row],[Costo Unitario (USD)]]+STOCK[[#This Row],[Costo Envío (USD)]]+STOCK[[#This Row],[Comisión 10%]]</f>
        <v>9</v>
      </c>
      <c r="U1893" s="53">
        <f>STOCK[[#This Row],[Costo total]]*1.5</f>
        <v>13.5</v>
      </c>
      <c r="W1893" s="76">
        <f>STOCK[[#This Row],[Precio Final]]-STOCK[[#This Row],[Costo total]]</f>
        <v>-9</v>
      </c>
      <c r="X1893" s="76">
        <f>STOCK[[#This Row],[Ganancia Unitaria]]*STOCK[[#This Row],[Salidas]]</f>
        <v>0</v>
      </c>
      <c r="Y1893" s="76"/>
      <c r="Z1893" s="87"/>
      <c r="AA1893" s="54"/>
      <c r="AB1893" s="54"/>
      <c r="AC1893" s="76"/>
      <c r="AD1893" s="94"/>
    </row>
    <row r="1894" s="53" customFormat="1" ht="50" customHeight="1" spans="1:30">
      <c r="A1894" s="95" t="s">
        <v>3749</v>
      </c>
      <c r="B1894" s="83"/>
      <c r="C1894" s="53" t="s">
        <v>32</v>
      </c>
      <c r="D1894" s="84"/>
      <c r="E1894" s="96" t="s">
        <v>3750</v>
      </c>
      <c r="F1894" s="95" t="s">
        <v>62</v>
      </c>
      <c r="G1894" s="76"/>
      <c r="H1894" s="76">
        <f>STOCK[[#This Row],[Precio Final]]</f>
        <v>0</v>
      </c>
      <c r="I1894" s="80">
        <f>STOCK[[#This Row],[Precio Venta Ideal (x1.5)]]</f>
        <v>13.5</v>
      </c>
      <c r="J1894" s="95">
        <v>1</v>
      </c>
      <c r="K1894" s="78">
        <f>SUMIFS(VENTAS[Cantidad],VENTAS[Código del producto Vendido],STOCK[[#This Row],[Code]])</f>
        <v>0</v>
      </c>
      <c r="L1894" s="78">
        <f>STOCK[[#This Row],[Entradas]]-STOCK[[#This Row],[Salidas]]</f>
        <v>1</v>
      </c>
      <c r="M1894" s="76">
        <f>STOCK[[#This Row],[Precio Final]]*10%</f>
        <v>0</v>
      </c>
      <c r="N1894" s="54">
        <v>0</v>
      </c>
      <c r="O1894" s="76">
        <v>0</v>
      </c>
      <c r="P1894" s="76">
        <v>9</v>
      </c>
      <c r="Q1894" s="76">
        <v>0</v>
      </c>
      <c r="R1894" s="78">
        <v>0</v>
      </c>
      <c r="S1894" s="76">
        <v>0</v>
      </c>
      <c r="T1894" s="76">
        <f>STOCK[[#This Row],[Costo Unitario (USD)]]+STOCK[[#This Row],[Costo Envío (USD)]]+STOCK[[#This Row],[Comisión 10%]]</f>
        <v>9</v>
      </c>
      <c r="U1894" s="53">
        <f>STOCK[[#This Row],[Costo total]]*1.5</f>
        <v>13.5</v>
      </c>
      <c r="W1894" s="76">
        <f>STOCK[[#This Row],[Precio Final]]-STOCK[[#This Row],[Costo total]]</f>
        <v>-9</v>
      </c>
      <c r="X1894" s="76">
        <f>STOCK[[#This Row],[Ganancia Unitaria]]*STOCK[[#This Row],[Salidas]]</f>
        <v>0</v>
      </c>
      <c r="Y1894" s="76"/>
      <c r="Z1894" s="87"/>
      <c r="AA1894" s="54"/>
      <c r="AB1894" s="54"/>
      <c r="AC1894" s="76"/>
      <c r="AD1894" s="94"/>
    </row>
    <row r="1895" s="53" customFormat="1" ht="50" customHeight="1" spans="1:30">
      <c r="A1895" s="95" t="s">
        <v>3751</v>
      </c>
      <c r="B1895" s="83"/>
      <c r="C1895" s="53" t="s">
        <v>32</v>
      </c>
      <c r="D1895" s="84"/>
      <c r="E1895" s="96" t="s">
        <v>3752</v>
      </c>
      <c r="F1895" s="95" t="s">
        <v>3753</v>
      </c>
      <c r="G1895" s="76"/>
      <c r="H1895" s="76">
        <f>STOCK[[#This Row],[Precio Final]]</f>
        <v>0</v>
      </c>
      <c r="I1895" s="80">
        <f>STOCK[[#This Row],[Precio Venta Ideal (x1.5)]]</f>
        <v>13.5</v>
      </c>
      <c r="J1895" s="95">
        <v>1</v>
      </c>
      <c r="K1895" s="78">
        <f>SUMIFS(VENTAS[Cantidad],VENTAS[Código del producto Vendido],STOCK[[#This Row],[Code]])</f>
        <v>0</v>
      </c>
      <c r="L1895" s="78">
        <f>STOCK[[#This Row],[Entradas]]-STOCK[[#This Row],[Salidas]]</f>
        <v>1</v>
      </c>
      <c r="M1895" s="76">
        <f>STOCK[[#This Row],[Precio Final]]*10%</f>
        <v>0</v>
      </c>
      <c r="N1895" s="54">
        <v>0</v>
      </c>
      <c r="O1895" s="76">
        <v>0</v>
      </c>
      <c r="P1895" s="76">
        <v>9</v>
      </c>
      <c r="Q1895" s="76">
        <v>0</v>
      </c>
      <c r="R1895" s="78">
        <v>0</v>
      </c>
      <c r="S1895" s="76">
        <v>0</v>
      </c>
      <c r="T1895" s="76">
        <f>STOCK[[#This Row],[Costo Unitario (USD)]]+STOCK[[#This Row],[Costo Envío (USD)]]+STOCK[[#This Row],[Comisión 10%]]</f>
        <v>9</v>
      </c>
      <c r="U1895" s="53">
        <f>STOCK[[#This Row],[Costo total]]*1.5</f>
        <v>13.5</v>
      </c>
      <c r="W1895" s="76">
        <f>STOCK[[#This Row],[Precio Final]]-STOCK[[#This Row],[Costo total]]</f>
        <v>-9</v>
      </c>
      <c r="X1895" s="76">
        <f>STOCK[[#This Row],[Ganancia Unitaria]]*STOCK[[#This Row],[Salidas]]</f>
        <v>0</v>
      </c>
      <c r="Y1895" s="76"/>
      <c r="Z1895" s="87"/>
      <c r="AA1895" s="54"/>
      <c r="AB1895" s="54"/>
      <c r="AC1895" s="76"/>
      <c r="AD1895" s="94"/>
    </row>
    <row r="1896" s="53" customFormat="1" ht="50" customHeight="1" spans="1:30">
      <c r="A1896" s="95" t="s">
        <v>3754</v>
      </c>
      <c r="B1896" s="83"/>
      <c r="C1896" s="53" t="s">
        <v>32</v>
      </c>
      <c r="D1896" s="84"/>
      <c r="E1896" s="96" t="s">
        <v>3755</v>
      </c>
      <c r="F1896" s="95" t="s">
        <v>46</v>
      </c>
      <c r="G1896" s="76"/>
      <c r="H1896" s="76">
        <f>STOCK[[#This Row],[Precio Final]]</f>
        <v>0</v>
      </c>
      <c r="I1896" s="80">
        <f>STOCK[[#This Row],[Precio Venta Ideal (x1.5)]]</f>
        <v>13.5</v>
      </c>
      <c r="J1896" s="95">
        <v>1</v>
      </c>
      <c r="K1896" s="78">
        <f>SUMIFS(VENTAS[Cantidad],VENTAS[Código del producto Vendido],STOCK[[#This Row],[Code]])</f>
        <v>0</v>
      </c>
      <c r="L1896" s="78">
        <f>STOCK[[#This Row],[Entradas]]-STOCK[[#This Row],[Salidas]]</f>
        <v>1</v>
      </c>
      <c r="M1896" s="76">
        <f>STOCK[[#This Row],[Precio Final]]*10%</f>
        <v>0</v>
      </c>
      <c r="N1896" s="54">
        <v>0</v>
      </c>
      <c r="O1896" s="76">
        <v>0</v>
      </c>
      <c r="P1896" s="76">
        <v>9</v>
      </c>
      <c r="Q1896" s="76">
        <v>0</v>
      </c>
      <c r="R1896" s="78">
        <v>0</v>
      </c>
      <c r="S1896" s="76">
        <v>0</v>
      </c>
      <c r="T1896" s="76">
        <f>STOCK[[#This Row],[Costo Unitario (USD)]]+STOCK[[#This Row],[Costo Envío (USD)]]+STOCK[[#This Row],[Comisión 10%]]</f>
        <v>9</v>
      </c>
      <c r="U1896" s="53">
        <f>STOCK[[#This Row],[Costo total]]*1.5</f>
        <v>13.5</v>
      </c>
      <c r="W1896" s="76">
        <f>STOCK[[#This Row],[Precio Final]]-STOCK[[#This Row],[Costo total]]</f>
        <v>-9</v>
      </c>
      <c r="X1896" s="76">
        <f>STOCK[[#This Row],[Ganancia Unitaria]]*STOCK[[#This Row],[Salidas]]</f>
        <v>0</v>
      </c>
      <c r="Y1896" s="76"/>
      <c r="Z1896" s="87"/>
      <c r="AA1896" s="54"/>
      <c r="AB1896" s="54"/>
      <c r="AC1896" s="76"/>
      <c r="AD1896" s="94"/>
    </row>
    <row r="1897" s="53" customFormat="1" ht="50" customHeight="1" spans="1:30">
      <c r="A1897" s="95" t="s">
        <v>3756</v>
      </c>
      <c r="B1897" s="83"/>
      <c r="C1897" s="53" t="s">
        <v>32</v>
      </c>
      <c r="D1897" s="84"/>
      <c r="E1897" s="96" t="s">
        <v>3757</v>
      </c>
      <c r="F1897" s="95" t="s">
        <v>49</v>
      </c>
      <c r="G1897" s="76"/>
      <c r="H1897" s="76">
        <f>STOCK[[#This Row],[Precio Final]]</f>
        <v>0</v>
      </c>
      <c r="I1897" s="80">
        <f>STOCK[[#This Row],[Precio Venta Ideal (x1.5)]]</f>
        <v>13.5</v>
      </c>
      <c r="J1897" s="95">
        <v>1</v>
      </c>
      <c r="K1897" s="78">
        <f>SUMIFS(VENTAS[Cantidad],VENTAS[Código del producto Vendido],STOCK[[#This Row],[Code]])</f>
        <v>0</v>
      </c>
      <c r="L1897" s="78">
        <f>STOCK[[#This Row],[Entradas]]-STOCK[[#This Row],[Salidas]]</f>
        <v>1</v>
      </c>
      <c r="M1897" s="76">
        <f>STOCK[[#This Row],[Precio Final]]*10%</f>
        <v>0</v>
      </c>
      <c r="N1897" s="54">
        <v>0</v>
      </c>
      <c r="O1897" s="76">
        <v>0</v>
      </c>
      <c r="P1897" s="76">
        <v>9</v>
      </c>
      <c r="Q1897" s="76">
        <v>0</v>
      </c>
      <c r="R1897" s="78">
        <v>0</v>
      </c>
      <c r="S1897" s="76">
        <v>0</v>
      </c>
      <c r="T1897" s="76">
        <f>STOCK[[#This Row],[Costo Unitario (USD)]]+STOCK[[#This Row],[Costo Envío (USD)]]+STOCK[[#This Row],[Comisión 10%]]</f>
        <v>9</v>
      </c>
      <c r="U1897" s="53">
        <f>STOCK[[#This Row],[Costo total]]*1.5</f>
        <v>13.5</v>
      </c>
      <c r="W1897" s="76">
        <f>STOCK[[#This Row],[Precio Final]]-STOCK[[#This Row],[Costo total]]</f>
        <v>-9</v>
      </c>
      <c r="X1897" s="76">
        <f>STOCK[[#This Row],[Ganancia Unitaria]]*STOCK[[#This Row],[Salidas]]</f>
        <v>0</v>
      </c>
      <c r="Y1897" s="76"/>
      <c r="Z1897" s="87"/>
      <c r="AA1897" s="54"/>
      <c r="AB1897" s="54"/>
      <c r="AC1897" s="76"/>
      <c r="AD1897" s="94"/>
    </row>
    <row r="1898" s="53" customFormat="1" ht="50" customHeight="1" spans="1:30">
      <c r="A1898" s="95" t="s">
        <v>3758</v>
      </c>
      <c r="B1898" s="83"/>
      <c r="C1898" s="53" t="s">
        <v>32</v>
      </c>
      <c r="D1898" s="84"/>
      <c r="E1898" s="96" t="s">
        <v>3759</v>
      </c>
      <c r="F1898" s="95" t="s">
        <v>42</v>
      </c>
      <c r="G1898" s="76"/>
      <c r="H1898" s="76">
        <f>STOCK[[#This Row],[Precio Final]]</f>
        <v>0</v>
      </c>
      <c r="I1898" s="80">
        <f>STOCK[[#This Row],[Precio Venta Ideal (x1.5)]]</f>
        <v>13.5</v>
      </c>
      <c r="J1898" s="95">
        <v>1</v>
      </c>
      <c r="K1898" s="78">
        <f>SUMIFS(VENTAS[Cantidad],VENTAS[Código del producto Vendido],STOCK[[#This Row],[Code]])</f>
        <v>0</v>
      </c>
      <c r="L1898" s="78">
        <f>STOCK[[#This Row],[Entradas]]-STOCK[[#This Row],[Salidas]]</f>
        <v>1</v>
      </c>
      <c r="M1898" s="76">
        <f>STOCK[[#This Row],[Precio Final]]*10%</f>
        <v>0</v>
      </c>
      <c r="N1898" s="54">
        <v>0</v>
      </c>
      <c r="O1898" s="76">
        <v>0</v>
      </c>
      <c r="P1898" s="76">
        <v>9</v>
      </c>
      <c r="Q1898" s="76">
        <v>0</v>
      </c>
      <c r="R1898" s="78">
        <v>0</v>
      </c>
      <c r="S1898" s="76">
        <v>0</v>
      </c>
      <c r="T1898" s="76">
        <f>STOCK[[#This Row],[Costo Unitario (USD)]]+STOCK[[#This Row],[Costo Envío (USD)]]+STOCK[[#This Row],[Comisión 10%]]</f>
        <v>9</v>
      </c>
      <c r="U1898" s="53">
        <f>STOCK[[#This Row],[Costo total]]*1.5</f>
        <v>13.5</v>
      </c>
      <c r="W1898" s="76">
        <f>STOCK[[#This Row],[Precio Final]]-STOCK[[#This Row],[Costo total]]</f>
        <v>-9</v>
      </c>
      <c r="X1898" s="76">
        <f>STOCK[[#This Row],[Ganancia Unitaria]]*STOCK[[#This Row],[Salidas]]</f>
        <v>0</v>
      </c>
      <c r="Y1898" s="76"/>
      <c r="Z1898" s="87"/>
      <c r="AA1898" s="54"/>
      <c r="AB1898" s="54"/>
      <c r="AC1898" s="76"/>
      <c r="AD1898" s="94"/>
    </row>
    <row r="1899" s="53" customFormat="1" ht="50" customHeight="1" spans="1:30">
      <c r="A1899" s="95" t="s">
        <v>3760</v>
      </c>
      <c r="B1899" s="83"/>
      <c r="C1899" s="53" t="s">
        <v>32</v>
      </c>
      <c r="D1899" s="84" t="s">
        <v>749</v>
      </c>
      <c r="E1899" s="96" t="s">
        <v>3761</v>
      </c>
      <c r="F1899" s="95" t="s">
        <v>3684</v>
      </c>
      <c r="G1899" s="76"/>
      <c r="H1899" s="76">
        <f>STOCK[[#This Row],[Precio Final]]</f>
        <v>0</v>
      </c>
      <c r="I1899" s="80">
        <f>STOCK[[#This Row],[Precio Venta Ideal (x1.5)]]</f>
        <v>13.5</v>
      </c>
      <c r="J1899" s="95">
        <v>1</v>
      </c>
      <c r="K1899" s="78">
        <f>SUMIFS(VENTAS[Cantidad],VENTAS[Código del producto Vendido],STOCK[[#This Row],[Code]])</f>
        <v>0</v>
      </c>
      <c r="L1899" s="78">
        <f>STOCK[[#This Row],[Entradas]]-STOCK[[#This Row],[Salidas]]</f>
        <v>1</v>
      </c>
      <c r="M1899" s="76">
        <f>STOCK[[#This Row],[Precio Final]]*10%</f>
        <v>0</v>
      </c>
      <c r="N1899" s="54">
        <v>0</v>
      </c>
      <c r="O1899" s="76">
        <v>0</v>
      </c>
      <c r="P1899" s="76">
        <v>9</v>
      </c>
      <c r="Q1899" s="76">
        <v>0</v>
      </c>
      <c r="R1899" s="78">
        <v>0</v>
      </c>
      <c r="S1899" s="76">
        <v>0</v>
      </c>
      <c r="T1899" s="76">
        <f>STOCK[[#This Row],[Costo Unitario (USD)]]+STOCK[[#This Row],[Costo Envío (USD)]]+STOCK[[#This Row],[Comisión 10%]]</f>
        <v>9</v>
      </c>
      <c r="U1899" s="53">
        <f>STOCK[[#This Row],[Costo total]]*1.5</f>
        <v>13.5</v>
      </c>
      <c r="W1899" s="76">
        <f>STOCK[[#This Row],[Precio Final]]-STOCK[[#This Row],[Costo total]]</f>
        <v>-9</v>
      </c>
      <c r="X1899" s="76">
        <f>STOCK[[#This Row],[Ganancia Unitaria]]*STOCK[[#This Row],[Salidas]]</f>
        <v>0</v>
      </c>
      <c r="Y1899" s="76"/>
      <c r="Z1899" s="87"/>
      <c r="AA1899" s="54"/>
      <c r="AB1899" s="54"/>
      <c r="AC1899" s="76"/>
      <c r="AD1899" s="94"/>
    </row>
    <row r="1900" s="53" customFormat="1" ht="50" customHeight="1" spans="1:30">
      <c r="A1900" s="95" t="s">
        <v>3762</v>
      </c>
      <c r="B1900" s="83"/>
      <c r="C1900" s="53" t="s">
        <v>32</v>
      </c>
      <c r="D1900" s="84" t="s">
        <v>749</v>
      </c>
      <c r="E1900" s="96" t="s">
        <v>3763</v>
      </c>
      <c r="F1900" s="95" t="s">
        <v>3764</v>
      </c>
      <c r="G1900" s="76"/>
      <c r="H1900" s="76">
        <f>STOCK[[#This Row],[Precio Final]]</f>
        <v>0</v>
      </c>
      <c r="I1900" s="80">
        <f>STOCK[[#This Row],[Precio Venta Ideal (x1.5)]]</f>
        <v>13.5</v>
      </c>
      <c r="J1900" s="95">
        <v>1</v>
      </c>
      <c r="K1900" s="78">
        <f>SUMIFS(VENTAS[Cantidad],VENTAS[Código del producto Vendido],STOCK[[#This Row],[Code]])</f>
        <v>0</v>
      </c>
      <c r="L1900" s="78">
        <f>STOCK[[#This Row],[Entradas]]-STOCK[[#This Row],[Salidas]]</f>
        <v>1</v>
      </c>
      <c r="M1900" s="76">
        <f>STOCK[[#This Row],[Precio Final]]*10%</f>
        <v>0</v>
      </c>
      <c r="N1900" s="54">
        <v>0</v>
      </c>
      <c r="O1900" s="76">
        <v>0</v>
      </c>
      <c r="P1900" s="76">
        <v>9</v>
      </c>
      <c r="Q1900" s="76">
        <v>0</v>
      </c>
      <c r="R1900" s="78">
        <v>0</v>
      </c>
      <c r="S1900" s="76">
        <v>0</v>
      </c>
      <c r="T1900" s="76">
        <f>STOCK[[#This Row],[Costo Unitario (USD)]]+STOCK[[#This Row],[Costo Envío (USD)]]+STOCK[[#This Row],[Comisión 10%]]</f>
        <v>9</v>
      </c>
      <c r="U1900" s="53">
        <f>STOCK[[#This Row],[Costo total]]*1.5</f>
        <v>13.5</v>
      </c>
      <c r="W1900" s="76">
        <f>STOCK[[#This Row],[Precio Final]]-STOCK[[#This Row],[Costo total]]</f>
        <v>-9</v>
      </c>
      <c r="X1900" s="76">
        <f>STOCK[[#This Row],[Ganancia Unitaria]]*STOCK[[#This Row],[Salidas]]</f>
        <v>0</v>
      </c>
      <c r="Y1900" s="76"/>
      <c r="Z1900" s="87"/>
      <c r="AA1900" s="54"/>
      <c r="AB1900" s="54"/>
      <c r="AC1900" s="76"/>
      <c r="AD1900" s="94"/>
    </row>
    <row r="1901" s="53" customFormat="1" ht="50" customHeight="1" spans="1:30">
      <c r="A1901" s="95" t="s">
        <v>3765</v>
      </c>
      <c r="B1901" s="83"/>
      <c r="C1901" s="53" t="s">
        <v>32</v>
      </c>
      <c r="D1901" s="84" t="s">
        <v>780</v>
      </c>
      <c r="E1901" s="96" t="s">
        <v>3766</v>
      </c>
      <c r="F1901" s="95" t="s">
        <v>62</v>
      </c>
      <c r="G1901" s="76"/>
      <c r="H1901" s="76">
        <f>STOCK[[#This Row],[Precio Final]]</f>
        <v>0</v>
      </c>
      <c r="I1901" s="80">
        <f>STOCK[[#This Row],[Precio Venta Ideal (x1.5)]]</f>
        <v>13.5</v>
      </c>
      <c r="J1901" s="95">
        <v>1</v>
      </c>
      <c r="K1901" s="78">
        <f>SUMIFS(VENTAS[Cantidad],VENTAS[Código del producto Vendido],STOCK[[#This Row],[Code]])</f>
        <v>0</v>
      </c>
      <c r="L1901" s="78">
        <f>STOCK[[#This Row],[Entradas]]-STOCK[[#This Row],[Salidas]]</f>
        <v>1</v>
      </c>
      <c r="M1901" s="76">
        <f>STOCK[[#This Row],[Precio Final]]*10%</f>
        <v>0</v>
      </c>
      <c r="N1901" s="54">
        <v>0</v>
      </c>
      <c r="O1901" s="76">
        <v>0</v>
      </c>
      <c r="P1901" s="76">
        <v>9</v>
      </c>
      <c r="Q1901" s="76">
        <v>0</v>
      </c>
      <c r="R1901" s="78">
        <v>0</v>
      </c>
      <c r="S1901" s="76">
        <v>0</v>
      </c>
      <c r="T1901" s="76">
        <f>STOCK[[#This Row],[Costo Unitario (USD)]]+STOCK[[#This Row],[Costo Envío (USD)]]+STOCK[[#This Row],[Comisión 10%]]</f>
        <v>9</v>
      </c>
      <c r="U1901" s="53">
        <f>STOCK[[#This Row],[Costo total]]*1.5</f>
        <v>13.5</v>
      </c>
      <c r="W1901" s="76">
        <f>STOCK[[#This Row],[Precio Final]]-STOCK[[#This Row],[Costo total]]</f>
        <v>-9</v>
      </c>
      <c r="X1901" s="76">
        <f>STOCK[[#This Row],[Ganancia Unitaria]]*STOCK[[#This Row],[Salidas]]</f>
        <v>0</v>
      </c>
      <c r="Y1901" s="76"/>
      <c r="Z1901" s="87"/>
      <c r="AA1901" s="54"/>
      <c r="AB1901" s="54"/>
      <c r="AC1901" s="76"/>
      <c r="AD1901" s="94"/>
    </row>
    <row r="1902" s="53" customFormat="1" ht="50" customHeight="1" spans="1:30">
      <c r="A1902" s="95" t="s">
        <v>3767</v>
      </c>
      <c r="B1902" s="83"/>
      <c r="C1902" s="53" t="s">
        <v>32</v>
      </c>
      <c r="D1902" s="84" t="s">
        <v>749</v>
      </c>
      <c r="E1902" s="96" t="s">
        <v>3699</v>
      </c>
      <c r="F1902" s="95" t="s">
        <v>49</v>
      </c>
      <c r="G1902" s="76"/>
      <c r="H1902" s="76">
        <f>STOCK[[#This Row],[Precio Final]]</f>
        <v>0</v>
      </c>
      <c r="I1902" s="80">
        <f>STOCK[[#This Row],[Precio Venta Ideal (x1.5)]]</f>
        <v>13.5</v>
      </c>
      <c r="J1902" s="95">
        <v>1</v>
      </c>
      <c r="K1902" s="78">
        <f>SUMIFS(VENTAS[Cantidad],VENTAS[Código del producto Vendido],STOCK[[#This Row],[Code]])</f>
        <v>0</v>
      </c>
      <c r="L1902" s="78">
        <f>STOCK[[#This Row],[Entradas]]-STOCK[[#This Row],[Salidas]]</f>
        <v>1</v>
      </c>
      <c r="M1902" s="76">
        <f>STOCK[[#This Row],[Precio Final]]*10%</f>
        <v>0</v>
      </c>
      <c r="N1902" s="54">
        <v>0</v>
      </c>
      <c r="O1902" s="76">
        <v>0</v>
      </c>
      <c r="P1902" s="76">
        <v>9</v>
      </c>
      <c r="Q1902" s="76">
        <v>0</v>
      </c>
      <c r="R1902" s="78">
        <v>0</v>
      </c>
      <c r="S1902" s="76">
        <v>0</v>
      </c>
      <c r="T1902" s="76">
        <f>STOCK[[#This Row],[Costo Unitario (USD)]]+STOCK[[#This Row],[Costo Envío (USD)]]+STOCK[[#This Row],[Comisión 10%]]</f>
        <v>9</v>
      </c>
      <c r="U1902" s="53">
        <f>STOCK[[#This Row],[Costo total]]*1.5</f>
        <v>13.5</v>
      </c>
      <c r="W1902" s="76">
        <f>STOCK[[#This Row],[Precio Final]]-STOCK[[#This Row],[Costo total]]</f>
        <v>-9</v>
      </c>
      <c r="X1902" s="76">
        <f>STOCK[[#This Row],[Ganancia Unitaria]]*STOCK[[#This Row],[Salidas]]</f>
        <v>0</v>
      </c>
      <c r="Y1902" s="76"/>
      <c r="Z1902" s="87"/>
      <c r="AA1902" s="54"/>
      <c r="AB1902" s="54"/>
      <c r="AC1902" s="76"/>
      <c r="AD1902" s="94"/>
    </row>
    <row r="1903" s="53" customFormat="1" ht="50" customHeight="1" spans="1:30">
      <c r="A1903" s="95" t="s">
        <v>3768</v>
      </c>
      <c r="B1903" s="83"/>
      <c r="C1903" s="53" t="s">
        <v>32</v>
      </c>
      <c r="D1903" s="84" t="s">
        <v>749</v>
      </c>
      <c r="E1903" s="96" t="s">
        <v>3769</v>
      </c>
      <c r="F1903" s="95" t="s">
        <v>62</v>
      </c>
      <c r="G1903" s="76"/>
      <c r="H1903" s="76">
        <f>STOCK[[#This Row],[Precio Final]]</f>
        <v>0</v>
      </c>
      <c r="I1903" s="80">
        <f>STOCK[[#This Row],[Precio Venta Ideal (x1.5)]]</f>
        <v>13.5</v>
      </c>
      <c r="J1903" s="95">
        <v>1</v>
      </c>
      <c r="K1903" s="78">
        <f>SUMIFS(VENTAS[Cantidad],VENTAS[Código del producto Vendido],STOCK[[#This Row],[Code]])</f>
        <v>0</v>
      </c>
      <c r="L1903" s="78">
        <f>STOCK[[#This Row],[Entradas]]-STOCK[[#This Row],[Salidas]]</f>
        <v>1</v>
      </c>
      <c r="M1903" s="76">
        <f>STOCK[[#This Row],[Precio Final]]*10%</f>
        <v>0</v>
      </c>
      <c r="N1903" s="54">
        <v>0</v>
      </c>
      <c r="O1903" s="76">
        <v>0</v>
      </c>
      <c r="P1903" s="76">
        <v>9</v>
      </c>
      <c r="Q1903" s="76">
        <v>0</v>
      </c>
      <c r="R1903" s="78">
        <v>0</v>
      </c>
      <c r="S1903" s="76">
        <v>0</v>
      </c>
      <c r="T1903" s="76">
        <f>STOCK[[#This Row],[Costo Unitario (USD)]]+STOCK[[#This Row],[Costo Envío (USD)]]+STOCK[[#This Row],[Comisión 10%]]</f>
        <v>9</v>
      </c>
      <c r="U1903" s="53">
        <f>STOCK[[#This Row],[Costo total]]*1.5</f>
        <v>13.5</v>
      </c>
      <c r="W1903" s="76">
        <f>STOCK[[#This Row],[Precio Final]]-STOCK[[#This Row],[Costo total]]</f>
        <v>-9</v>
      </c>
      <c r="X1903" s="76">
        <f>STOCK[[#This Row],[Ganancia Unitaria]]*STOCK[[#This Row],[Salidas]]</f>
        <v>0</v>
      </c>
      <c r="Y1903" s="76"/>
      <c r="Z1903" s="87"/>
      <c r="AA1903" s="54"/>
      <c r="AB1903" s="54"/>
      <c r="AC1903" s="76"/>
      <c r="AD1903" s="94"/>
    </row>
    <row r="1904" s="53" customFormat="1" ht="50" customHeight="1" spans="1:30">
      <c r="A1904" s="95" t="s">
        <v>3770</v>
      </c>
      <c r="B1904" s="83"/>
      <c r="C1904" s="53" t="s">
        <v>32</v>
      </c>
      <c r="D1904" s="84" t="s">
        <v>749</v>
      </c>
      <c r="E1904" s="96" t="s">
        <v>3771</v>
      </c>
      <c r="F1904" s="95" t="s">
        <v>62</v>
      </c>
      <c r="G1904" s="76"/>
      <c r="H1904" s="76">
        <f>STOCK[[#This Row],[Precio Final]]</f>
        <v>0</v>
      </c>
      <c r="I1904" s="80">
        <f>STOCK[[#This Row],[Precio Venta Ideal (x1.5)]]</f>
        <v>13.5</v>
      </c>
      <c r="J1904" s="95">
        <v>1</v>
      </c>
      <c r="K1904" s="78">
        <f>SUMIFS(VENTAS[Cantidad],VENTAS[Código del producto Vendido],STOCK[[#This Row],[Code]])</f>
        <v>0</v>
      </c>
      <c r="L1904" s="78">
        <f>STOCK[[#This Row],[Entradas]]-STOCK[[#This Row],[Salidas]]</f>
        <v>1</v>
      </c>
      <c r="M1904" s="76">
        <f>STOCK[[#This Row],[Precio Final]]*10%</f>
        <v>0</v>
      </c>
      <c r="N1904" s="54">
        <v>0</v>
      </c>
      <c r="O1904" s="76">
        <v>0</v>
      </c>
      <c r="P1904" s="76">
        <v>9</v>
      </c>
      <c r="Q1904" s="76">
        <v>0</v>
      </c>
      <c r="R1904" s="78">
        <v>0</v>
      </c>
      <c r="S1904" s="76">
        <v>0</v>
      </c>
      <c r="T1904" s="76">
        <f>STOCK[[#This Row],[Costo Unitario (USD)]]+STOCK[[#This Row],[Costo Envío (USD)]]+STOCK[[#This Row],[Comisión 10%]]</f>
        <v>9</v>
      </c>
      <c r="U1904" s="53">
        <f>STOCK[[#This Row],[Costo total]]*1.5</f>
        <v>13.5</v>
      </c>
      <c r="W1904" s="76">
        <f>STOCK[[#This Row],[Precio Final]]-STOCK[[#This Row],[Costo total]]</f>
        <v>-9</v>
      </c>
      <c r="X1904" s="76">
        <f>STOCK[[#This Row],[Ganancia Unitaria]]*STOCK[[#This Row],[Salidas]]</f>
        <v>0</v>
      </c>
      <c r="Y1904" s="76"/>
      <c r="Z1904" s="87"/>
      <c r="AA1904" s="54"/>
      <c r="AB1904" s="54"/>
      <c r="AC1904" s="76"/>
      <c r="AD1904" s="94"/>
    </row>
    <row r="1905" s="53" customFormat="1" ht="50" customHeight="1" spans="1:30">
      <c r="A1905" s="95" t="s">
        <v>3772</v>
      </c>
      <c r="B1905" s="83"/>
      <c r="C1905" s="53" t="s">
        <v>32</v>
      </c>
      <c r="D1905" s="84" t="s">
        <v>749</v>
      </c>
      <c r="E1905" s="96" t="s">
        <v>3731</v>
      </c>
      <c r="F1905" s="95" t="s">
        <v>716</v>
      </c>
      <c r="G1905" s="76"/>
      <c r="H1905" s="76">
        <f>STOCK[[#This Row],[Precio Final]]</f>
        <v>0</v>
      </c>
      <c r="I1905" s="80">
        <f>STOCK[[#This Row],[Precio Venta Ideal (x1.5)]]</f>
        <v>13.5</v>
      </c>
      <c r="J1905" s="95">
        <v>1</v>
      </c>
      <c r="K1905" s="78">
        <f>SUMIFS(VENTAS[Cantidad],VENTAS[Código del producto Vendido],STOCK[[#This Row],[Code]])</f>
        <v>0</v>
      </c>
      <c r="L1905" s="78">
        <f>STOCK[[#This Row],[Entradas]]-STOCK[[#This Row],[Salidas]]</f>
        <v>1</v>
      </c>
      <c r="M1905" s="76">
        <f>STOCK[[#This Row],[Precio Final]]*10%</f>
        <v>0</v>
      </c>
      <c r="N1905" s="54">
        <v>0</v>
      </c>
      <c r="O1905" s="76">
        <v>0</v>
      </c>
      <c r="P1905" s="76">
        <v>9</v>
      </c>
      <c r="Q1905" s="76">
        <v>0</v>
      </c>
      <c r="R1905" s="78">
        <v>0</v>
      </c>
      <c r="S1905" s="76">
        <v>0</v>
      </c>
      <c r="T1905" s="76">
        <f>STOCK[[#This Row],[Costo Unitario (USD)]]+STOCK[[#This Row],[Costo Envío (USD)]]+STOCK[[#This Row],[Comisión 10%]]</f>
        <v>9</v>
      </c>
      <c r="U1905" s="53">
        <f>STOCK[[#This Row],[Costo total]]*1.5</f>
        <v>13.5</v>
      </c>
      <c r="W1905" s="76">
        <f>STOCK[[#This Row],[Precio Final]]-STOCK[[#This Row],[Costo total]]</f>
        <v>-9</v>
      </c>
      <c r="X1905" s="76">
        <f>STOCK[[#This Row],[Ganancia Unitaria]]*STOCK[[#This Row],[Salidas]]</f>
        <v>0</v>
      </c>
      <c r="Y1905" s="76"/>
      <c r="Z1905" s="87"/>
      <c r="AA1905" s="54"/>
      <c r="AB1905" s="54"/>
      <c r="AC1905" s="76"/>
      <c r="AD1905" s="94"/>
    </row>
    <row r="1906" s="53" customFormat="1" ht="50" customHeight="1" spans="1:30">
      <c r="A1906" s="95" t="s">
        <v>3773</v>
      </c>
      <c r="B1906" s="83"/>
      <c r="C1906" s="53" t="s">
        <v>32</v>
      </c>
      <c r="D1906" s="84" t="s">
        <v>749</v>
      </c>
      <c r="E1906" s="96" t="s">
        <v>3774</v>
      </c>
      <c r="F1906" s="95" t="s">
        <v>49</v>
      </c>
      <c r="G1906" s="76"/>
      <c r="H1906" s="76">
        <f>STOCK[[#This Row],[Precio Final]]</f>
        <v>0</v>
      </c>
      <c r="I1906" s="80">
        <f>STOCK[[#This Row],[Precio Venta Ideal (x1.5)]]</f>
        <v>13.5</v>
      </c>
      <c r="J1906" s="95">
        <v>2</v>
      </c>
      <c r="K1906" s="78">
        <f>SUMIFS(VENTAS[Cantidad],VENTAS[Código del producto Vendido],STOCK[[#This Row],[Code]])</f>
        <v>0</v>
      </c>
      <c r="L1906" s="78">
        <f>STOCK[[#This Row],[Entradas]]-STOCK[[#This Row],[Salidas]]</f>
        <v>2</v>
      </c>
      <c r="M1906" s="76">
        <f>STOCK[[#This Row],[Precio Final]]*10%</f>
        <v>0</v>
      </c>
      <c r="N1906" s="54">
        <v>0</v>
      </c>
      <c r="O1906" s="76">
        <v>0</v>
      </c>
      <c r="P1906" s="76">
        <v>9</v>
      </c>
      <c r="Q1906" s="76">
        <v>0</v>
      </c>
      <c r="R1906" s="78">
        <v>0</v>
      </c>
      <c r="S1906" s="76">
        <v>0</v>
      </c>
      <c r="T1906" s="76">
        <f>STOCK[[#This Row],[Costo Unitario (USD)]]+STOCK[[#This Row],[Costo Envío (USD)]]+STOCK[[#This Row],[Comisión 10%]]</f>
        <v>9</v>
      </c>
      <c r="U1906" s="53">
        <f>STOCK[[#This Row],[Costo total]]*1.5</f>
        <v>13.5</v>
      </c>
      <c r="W1906" s="76">
        <f>STOCK[[#This Row],[Precio Final]]-STOCK[[#This Row],[Costo total]]</f>
        <v>-9</v>
      </c>
      <c r="X1906" s="76">
        <f>STOCK[[#This Row],[Ganancia Unitaria]]*STOCK[[#This Row],[Salidas]]</f>
        <v>0</v>
      </c>
      <c r="Y1906" s="76"/>
      <c r="Z1906" s="87"/>
      <c r="AA1906" s="54"/>
      <c r="AB1906" s="54"/>
      <c r="AC1906" s="76"/>
      <c r="AD1906" s="94"/>
    </row>
    <row r="1907" s="53" customFormat="1" ht="50" customHeight="1" spans="1:30">
      <c r="A1907" s="95" t="s">
        <v>3775</v>
      </c>
      <c r="B1907" s="83"/>
      <c r="C1907" s="53" t="s">
        <v>32</v>
      </c>
      <c r="D1907" s="84" t="s">
        <v>749</v>
      </c>
      <c r="E1907" s="96" t="s">
        <v>3776</v>
      </c>
      <c r="F1907" s="95" t="s">
        <v>42</v>
      </c>
      <c r="G1907" s="76"/>
      <c r="H1907" s="76">
        <f>STOCK[[#This Row],[Precio Final]]</f>
        <v>0</v>
      </c>
      <c r="I1907" s="80">
        <f>STOCK[[#This Row],[Precio Venta Ideal (x1.5)]]</f>
        <v>13.5</v>
      </c>
      <c r="J1907" s="95">
        <v>1</v>
      </c>
      <c r="K1907" s="78">
        <f>SUMIFS(VENTAS[Cantidad],VENTAS[Código del producto Vendido],STOCK[[#This Row],[Code]])</f>
        <v>0</v>
      </c>
      <c r="L1907" s="78">
        <f>STOCK[[#This Row],[Entradas]]-STOCK[[#This Row],[Salidas]]</f>
        <v>1</v>
      </c>
      <c r="M1907" s="76">
        <f>STOCK[[#This Row],[Precio Final]]*10%</f>
        <v>0</v>
      </c>
      <c r="N1907" s="54">
        <v>0</v>
      </c>
      <c r="O1907" s="76">
        <v>0</v>
      </c>
      <c r="P1907" s="76">
        <v>9</v>
      </c>
      <c r="Q1907" s="76">
        <v>0</v>
      </c>
      <c r="R1907" s="78">
        <v>0</v>
      </c>
      <c r="S1907" s="76">
        <v>0</v>
      </c>
      <c r="T1907" s="76">
        <f>STOCK[[#This Row],[Costo Unitario (USD)]]+STOCK[[#This Row],[Costo Envío (USD)]]+STOCK[[#This Row],[Comisión 10%]]</f>
        <v>9</v>
      </c>
      <c r="U1907" s="53">
        <f>STOCK[[#This Row],[Costo total]]*1.5</f>
        <v>13.5</v>
      </c>
      <c r="W1907" s="76">
        <f>STOCK[[#This Row],[Precio Final]]-STOCK[[#This Row],[Costo total]]</f>
        <v>-9</v>
      </c>
      <c r="X1907" s="76">
        <f>STOCK[[#This Row],[Ganancia Unitaria]]*STOCK[[#This Row],[Salidas]]</f>
        <v>0</v>
      </c>
      <c r="Y1907" s="76"/>
      <c r="Z1907" s="87"/>
      <c r="AA1907" s="54"/>
      <c r="AB1907" s="54"/>
      <c r="AC1907" s="76"/>
      <c r="AD1907" s="94"/>
    </row>
    <row r="1908" s="53" customFormat="1" ht="50" customHeight="1" spans="1:30">
      <c r="A1908" s="95" t="s">
        <v>3777</v>
      </c>
      <c r="B1908" s="83"/>
      <c r="C1908" s="53" t="s">
        <v>32</v>
      </c>
      <c r="D1908" s="84" t="s">
        <v>749</v>
      </c>
      <c r="E1908" s="96" t="s">
        <v>3778</v>
      </c>
      <c r="F1908" s="95" t="s">
        <v>1408</v>
      </c>
      <c r="G1908" s="76"/>
      <c r="H1908" s="76">
        <f>STOCK[[#This Row],[Precio Final]]</f>
        <v>0</v>
      </c>
      <c r="I1908" s="80">
        <f>STOCK[[#This Row],[Precio Venta Ideal (x1.5)]]</f>
        <v>13.5</v>
      </c>
      <c r="J1908" s="95">
        <v>1</v>
      </c>
      <c r="K1908" s="78">
        <f>SUMIFS(VENTAS[Cantidad],VENTAS[Código del producto Vendido],STOCK[[#This Row],[Code]])</f>
        <v>0</v>
      </c>
      <c r="L1908" s="78">
        <f>STOCK[[#This Row],[Entradas]]-STOCK[[#This Row],[Salidas]]</f>
        <v>1</v>
      </c>
      <c r="M1908" s="76">
        <f>STOCK[[#This Row],[Precio Final]]*10%</f>
        <v>0</v>
      </c>
      <c r="N1908" s="54">
        <v>0</v>
      </c>
      <c r="O1908" s="76">
        <v>0</v>
      </c>
      <c r="P1908" s="76">
        <v>9</v>
      </c>
      <c r="Q1908" s="76">
        <v>0</v>
      </c>
      <c r="R1908" s="78">
        <v>0</v>
      </c>
      <c r="S1908" s="76">
        <v>0</v>
      </c>
      <c r="T1908" s="76">
        <f>STOCK[[#This Row],[Costo Unitario (USD)]]+STOCK[[#This Row],[Costo Envío (USD)]]+STOCK[[#This Row],[Comisión 10%]]</f>
        <v>9</v>
      </c>
      <c r="U1908" s="53">
        <f>STOCK[[#This Row],[Costo total]]*1.5</f>
        <v>13.5</v>
      </c>
      <c r="W1908" s="76">
        <f>STOCK[[#This Row],[Precio Final]]-STOCK[[#This Row],[Costo total]]</f>
        <v>-9</v>
      </c>
      <c r="X1908" s="76">
        <f>STOCK[[#This Row],[Ganancia Unitaria]]*STOCK[[#This Row],[Salidas]]</f>
        <v>0</v>
      </c>
      <c r="Y1908" s="76"/>
      <c r="Z1908" s="87"/>
      <c r="AA1908" s="54"/>
      <c r="AB1908" s="54"/>
      <c r="AC1908" s="76"/>
      <c r="AD1908" s="94"/>
    </row>
    <row r="1909" s="53" customFormat="1" ht="50" customHeight="1" spans="1:30">
      <c r="A1909" s="95" t="s">
        <v>3779</v>
      </c>
      <c r="B1909" s="83"/>
      <c r="C1909" s="53" t="s">
        <v>32</v>
      </c>
      <c r="D1909" s="84" t="s">
        <v>780</v>
      </c>
      <c r="E1909" s="96" t="s">
        <v>3780</v>
      </c>
      <c r="F1909" s="95" t="s">
        <v>716</v>
      </c>
      <c r="G1909" s="76"/>
      <c r="H1909" s="76">
        <f>STOCK[[#This Row],[Precio Final]]</f>
        <v>0</v>
      </c>
      <c r="I1909" s="80">
        <f>STOCK[[#This Row],[Precio Venta Ideal (x1.5)]]</f>
        <v>13.5</v>
      </c>
      <c r="J1909" s="95">
        <v>1</v>
      </c>
      <c r="K1909" s="78">
        <f>SUMIFS(VENTAS[Cantidad],VENTAS[Código del producto Vendido],STOCK[[#This Row],[Code]])</f>
        <v>0</v>
      </c>
      <c r="L1909" s="78">
        <f>STOCK[[#This Row],[Entradas]]-STOCK[[#This Row],[Salidas]]</f>
        <v>1</v>
      </c>
      <c r="M1909" s="76">
        <f>STOCK[[#This Row],[Precio Final]]*10%</f>
        <v>0</v>
      </c>
      <c r="N1909" s="54">
        <v>0</v>
      </c>
      <c r="O1909" s="76">
        <v>0</v>
      </c>
      <c r="P1909" s="76">
        <v>9</v>
      </c>
      <c r="Q1909" s="76">
        <v>0</v>
      </c>
      <c r="R1909" s="78">
        <v>0</v>
      </c>
      <c r="S1909" s="76">
        <v>0</v>
      </c>
      <c r="T1909" s="76">
        <f>STOCK[[#This Row],[Costo Unitario (USD)]]+STOCK[[#This Row],[Costo Envío (USD)]]+STOCK[[#This Row],[Comisión 10%]]</f>
        <v>9</v>
      </c>
      <c r="U1909" s="53">
        <f>STOCK[[#This Row],[Costo total]]*1.5</f>
        <v>13.5</v>
      </c>
      <c r="W1909" s="76">
        <f>STOCK[[#This Row],[Precio Final]]-STOCK[[#This Row],[Costo total]]</f>
        <v>-9</v>
      </c>
      <c r="X1909" s="76">
        <f>STOCK[[#This Row],[Ganancia Unitaria]]*STOCK[[#This Row],[Salidas]]</f>
        <v>0</v>
      </c>
      <c r="Y1909" s="76"/>
      <c r="Z1909" s="87"/>
      <c r="AA1909" s="54"/>
      <c r="AB1909" s="54"/>
      <c r="AC1909" s="76"/>
      <c r="AD1909" s="94"/>
    </row>
    <row r="1910" s="53" customFormat="1" ht="50" customHeight="1" spans="1:30">
      <c r="A1910" s="95" t="s">
        <v>3781</v>
      </c>
      <c r="B1910" s="83"/>
      <c r="C1910" s="53" t="s">
        <v>32</v>
      </c>
      <c r="D1910" s="84" t="s">
        <v>749</v>
      </c>
      <c r="E1910" s="96" t="s">
        <v>3782</v>
      </c>
      <c r="F1910" s="95" t="s">
        <v>62</v>
      </c>
      <c r="G1910" s="76"/>
      <c r="H1910" s="76">
        <f>STOCK[[#This Row],[Precio Final]]</f>
        <v>0</v>
      </c>
      <c r="I1910" s="80">
        <f>STOCK[[#This Row],[Precio Venta Ideal (x1.5)]]</f>
        <v>13.5</v>
      </c>
      <c r="J1910" s="95">
        <v>1</v>
      </c>
      <c r="K1910" s="78">
        <f>SUMIFS(VENTAS[Cantidad],VENTAS[Código del producto Vendido],STOCK[[#This Row],[Code]])</f>
        <v>0</v>
      </c>
      <c r="L1910" s="78">
        <f>STOCK[[#This Row],[Entradas]]-STOCK[[#This Row],[Salidas]]</f>
        <v>1</v>
      </c>
      <c r="M1910" s="76">
        <f>STOCK[[#This Row],[Precio Final]]*10%</f>
        <v>0</v>
      </c>
      <c r="N1910" s="54">
        <v>0</v>
      </c>
      <c r="O1910" s="76">
        <v>0</v>
      </c>
      <c r="P1910" s="76">
        <v>9</v>
      </c>
      <c r="Q1910" s="76">
        <v>0</v>
      </c>
      <c r="R1910" s="78">
        <v>0</v>
      </c>
      <c r="S1910" s="76">
        <v>0</v>
      </c>
      <c r="T1910" s="76">
        <f>STOCK[[#This Row],[Costo Unitario (USD)]]+STOCK[[#This Row],[Costo Envío (USD)]]+STOCK[[#This Row],[Comisión 10%]]</f>
        <v>9</v>
      </c>
      <c r="U1910" s="53">
        <f>STOCK[[#This Row],[Costo total]]*1.5</f>
        <v>13.5</v>
      </c>
      <c r="W1910" s="76">
        <f>STOCK[[#This Row],[Precio Final]]-STOCK[[#This Row],[Costo total]]</f>
        <v>-9</v>
      </c>
      <c r="X1910" s="76">
        <f>STOCK[[#This Row],[Ganancia Unitaria]]*STOCK[[#This Row],[Salidas]]</f>
        <v>0</v>
      </c>
      <c r="Y1910" s="76"/>
      <c r="Z1910" s="87"/>
      <c r="AA1910" s="54"/>
      <c r="AB1910" s="54"/>
      <c r="AC1910" s="76"/>
      <c r="AD1910" s="94"/>
    </row>
    <row r="1911" s="53" customFormat="1" ht="50" customHeight="1" spans="1:30">
      <c r="A1911" s="95" t="s">
        <v>3783</v>
      </c>
      <c r="B1911" s="83"/>
      <c r="C1911" s="53" t="s">
        <v>32</v>
      </c>
      <c r="D1911" s="84" t="s">
        <v>1388</v>
      </c>
      <c r="E1911" s="96" t="s">
        <v>3784</v>
      </c>
      <c r="F1911" s="95" t="s">
        <v>1047</v>
      </c>
      <c r="G1911" s="76"/>
      <c r="H1911" s="76">
        <f>STOCK[[#This Row],[Precio Final]]</f>
        <v>0</v>
      </c>
      <c r="I1911" s="80">
        <f>STOCK[[#This Row],[Precio Venta Ideal (x1.5)]]</f>
        <v>13.5</v>
      </c>
      <c r="J1911" s="95">
        <v>1</v>
      </c>
      <c r="K1911" s="78">
        <f>SUMIFS(VENTAS[Cantidad],VENTAS[Código del producto Vendido],STOCK[[#This Row],[Code]])</f>
        <v>0</v>
      </c>
      <c r="L1911" s="78">
        <f>STOCK[[#This Row],[Entradas]]-STOCK[[#This Row],[Salidas]]</f>
        <v>1</v>
      </c>
      <c r="M1911" s="76">
        <f>STOCK[[#This Row],[Precio Final]]*10%</f>
        <v>0</v>
      </c>
      <c r="N1911" s="54">
        <v>0</v>
      </c>
      <c r="O1911" s="76">
        <v>0</v>
      </c>
      <c r="P1911" s="76">
        <v>9</v>
      </c>
      <c r="Q1911" s="76">
        <v>0</v>
      </c>
      <c r="R1911" s="78">
        <v>0</v>
      </c>
      <c r="S1911" s="76">
        <v>0</v>
      </c>
      <c r="T1911" s="76">
        <f>STOCK[[#This Row],[Costo Unitario (USD)]]+STOCK[[#This Row],[Costo Envío (USD)]]+STOCK[[#This Row],[Comisión 10%]]</f>
        <v>9</v>
      </c>
      <c r="U1911" s="53">
        <f>STOCK[[#This Row],[Costo total]]*1.5</f>
        <v>13.5</v>
      </c>
      <c r="W1911" s="76">
        <f>STOCK[[#This Row],[Precio Final]]-STOCK[[#This Row],[Costo total]]</f>
        <v>-9</v>
      </c>
      <c r="X1911" s="76">
        <f>STOCK[[#This Row],[Ganancia Unitaria]]*STOCK[[#This Row],[Salidas]]</f>
        <v>0</v>
      </c>
      <c r="Y1911" s="76"/>
      <c r="Z1911" s="87"/>
      <c r="AA1911" s="54"/>
      <c r="AB1911" s="54"/>
      <c r="AC1911" s="76"/>
      <c r="AD1911" s="94"/>
    </row>
    <row r="1912" s="53" customFormat="1" ht="50" customHeight="1" spans="1:30">
      <c r="A1912" s="95" t="s">
        <v>3785</v>
      </c>
      <c r="B1912" s="83"/>
      <c r="C1912" s="53" t="s">
        <v>32</v>
      </c>
      <c r="D1912" s="84" t="s">
        <v>780</v>
      </c>
      <c r="E1912" s="96" t="s">
        <v>3786</v>
      </c>
      <c r="F1912" s="95" t="s">
        <v>1408</v>
      </c>
      <c r="G1912" s="76"/>
      <c r="H1912" s="76">
        <f>STOCK[[#This Row],[Precio Final]]</f>
        <v>0</v>
      </c>
      <c r="I1912" s="80">
        <f>STOCK[[#This Row],[Precio Venta Ideal (x1.5)]]</f>
        <v>13.5</v>
      </c>
      <c r="J1912" s="95">
        <v>1</v>
      </c>
      <c r="K1912" s="78">
        <f>SUMIFS(VENTAS[Cantidad],VENTAS[Código del producto Vendido],STOCK[[#This Row],[Code]])</f>
        <v>0</v>
      </c>
      <c r="L1912" s="78">
        <f>STOCK[[#This Row],[Entradas]]-STOCK[[#This Row],[Salidas]]</f>
        <v>1</v>
      </c>
      <c r="M1912" s="76">
        <f>STOCK[[#This Row],[Precio Final]]*10%</f>
        <v>0</v>
      </c>
      <c r="N1912" s="54">
        <v>0</v>
      </c>
      <c r="O1912" s="76">
        <v>0</v>
      </c>
      <c r="P1912" s="76">
        <v>9</v>
      </c>
      <c r="Q1912" s="76">
        <v>0</v>
      </c>
      <c r="R1912" s="78">
        <v>0</v>
      </c>
      <c r="S1912" s="76">
        <v>0</v>
      </c>
      <c r="T1912" s="76">
        <f>STOCK[[#This Row],[Costo Unitario (USD)]]+STOCK[[#This Row],[Costo Envío (USD)]]+STOCK[[#This Row],[Comisión 10%]]</f>
        <v>9</v>
      </c>
      <c r="U1912" s="53">
        <f>STOCK[[#This Row],[Costo total]]*1.5</f>
        <v>13.5</v>
      </c>
      <c r="W1912" s="76">
        <f>STOCK[[#This Row],[Precio Final]]-STOCK[[#This Row],[Costo total]]</f>
        <v>-9</v>
      </c>
      <c r="X1912" s="76">
        <f>STOCK[[#This Row],[Ganancia Unitaria]]*STOCK[[#This Row],[Salidas]]</f>
        <v>0</v>
      </c>
      <c r="Y1912" s="76"/>
      <c r="Z1912" s="87"/>
      <c r="AA1912" s="54"/>
      <c r="AB1912" s="54"/>
      <c r="AC1912" s="76"/>
      <c r="AD1912" s="94"/>
    </row>
    <row r="1913" s="53" customFormat="1" ht="50" customHeight="1" spans="1:30">
      <c r="A1913" s="95" t="s">
        <v>3787</v>
      </c>
      <c r="B1913" s="83"/>
      <c r="C1913" s="53" t="s">
        <v>32</v>
      </c>
      <c r="D1913" s="84" t="s">
        <v>749</v>
      </c>
      <c r="E1913" s="96" t="s">
        <v>3778</v>
      </c>
      <c r="F1913" s="95" t="s">
        <v>42</v>
      </c>
      <c r="G1913" s="76"/>
      <c r="H1913" s="76">
        <f>STOCK[[#This Row],[Precio Final]]</f>
        <v>0</v>
      </c>
      <c r="I1913" s="80">
        <f>STOCK[[#This Row],[Precio Venta Ideal (x1.5)]]</f>
        <v>13.5</v>
      </c>
      <c r="J1913" s="95">
        <v>1</v>
      </c>
      <c r="K1913" s="78">
        <f>SUMIFS(VENTAS[Cantidad],VENTAS[Código del producto Vendido],STOCK[[#This Row],[Code]])</f>
        <v>0</v>
      </c>
      <c r="L1913" s="78">
        <f>STOCK[[#This Row],[Entradas]]-STOCK[[#This Row],[Salidas]]</f>
        <v>1</v>
      </c>
      <c r="M1913" s="76">
        <f>STOCK[[#This Row],[Precio Final]]*10%</f>
        <v>0</v>
      </c>
      <c r="N1913" s="54">
        <v>0</v>
      </c>
      <c r="O1913" s="76">
        <v>0</v>
      </c>
      <c r="P1913" s="76">
        <v>9</v>
      </c>
      <c r="Q1913" s="76">
        <v>0</v>
      </c>
      <c r="R1913" s="78">
        <v>0</v>
      </c>
      <c r="S1913" s="76">
        <v>0</v>
      </c>
      <c r="T1913" s="76">
        <f>STOCK[[#This Row],[Costo Unitario (USD)]]+STOCK[[#This Row],[Costo Envío (USD)]]+STOCK[[#This Row],[Comisión 10%]]</f>
        <v>9</v>
      </c>
      <c r="U1913" s="53">
        <f>STOCK[[#This Row],[Costo total]]*1.5</f>
        <v>13.5</v>
      </c>
      <c r="W1913" s="76">
        <f>STOCK[[#This Row],[Precio Final]]-STOCK[[#This Row],[Costo total]]</f>
        <v>-9</v>
      </c>
      <c r="X1913" s="76">
        <f>STOCK[[#This Row],[Ganancia Unitaria]]*STOCK[[#This Row],[Salidas]]</f>
        <v>0</v>
      </c>
      <c r="Y1913" s="76"/>
      <c r="Z1913" s="87"/>
      <c r="AA1913" s="54"/>
      <c r="AB1913" s="54"/>
      <c r="AC1913" s="76"/>
      <c r="AD1913" s="94"/>
    </row>
    <row r="1914" s="53" customFormat="1" ht="50" customHeight="1" spans="1:30">
      <c r="A1914" s="95" t="s">
        <v>3788</v>
      </c>
      <c r="B1914" s="83"/>
      <c r="C1914" s="53" t="s">
        <v>32</v>
      </c>
      <c r="D1914" s="84" t="s">
        <v>749</v>
      </c>
      <c r="E1914" s="96" t="s">
        <v>3789</v>
      </c>
      <c r="F1914" s="95" t="s">
        <v>1408</v>
      </c>
      <c r="G1914" s="76"/>
      <c r="H1914" s="76">
        <f>STOCK[[#This Row],[Precio Final]]</f>
        <v>0</v>
      </c>
      <c r="I1914" s="80">
        <f>STOCK[[#This Row],[Precio Venta Ideal (x1.5)]]</f>
        <v>13.5</v>
      </c>
      <c r="J1914" s="95">
        <v>1</v>
      </c>
      <c r="K1914" s="78">
        <f>SUMIFS(VENTAS[Cantidad],VENTAS[Código del producto Vendido],STOCK[[#This Row],[Code]])</f>
        <v>0</v>
      </c>
      <c r="L1914" s="78">
        <f>STOCK[[#This Row],[Entradas]]-STOCK[[#This Row],[Salidas]]</f>
        <v>1</v>
      </c>
      <c r="M1914" s="76">
        <f>STOCK[[#This Row],[Precio Final]]*10%</f>
        <v>0</v>
      </c>
      <c r="N1914" s="54">
        <v>0</v>
      </c>
      <c r="O1914" s="76">
        <v>0</v>
      </c>
      <c r="P1914" s="76">
        <v>9</v>
      </c>
      <c r="Q1914" s="76">
        <v>0</v>
      </c>
      <c r="R1914" s="78">
        <v>0</v>
      </c>
      <c r="S1914" s="76">
        <v>0</v>
      </c>
      <c r="T1914" s="76">
        <f>STOCK[[#This Row],[Costo Unitario (USD)]]+STOCK[[#This Row],[Costo Envío (USD)]]+STOCK[[#This Row],[Comisión 10%]]</f>
        <v>9</v>
      </c>
      <c r="U1914" s="53">
        <f>STOCK[[#This Row],[Costo total]]*1.5</f>
        <v>13.5</v>
      </c>
      <c r="W1914" s="76">
        <f>STOCK[[#This Row],[Precio Final]]-STOCK[[#This Row],[Costo total]]</f>
        <v>-9</v>
      </c>
      <c r="X1914" s="76">
        <f>STOCK[[#This Row],[Ganancia Unitaria]]*STOCK[[#This Row],[Salidas]]</f>
        <v>0</v>
      </c>
      <c r="Y1914" s="76"/>
      <c r="Z1914" s="87"/>
      <c r="AA1914" s="54"/>
      <c r="AB1914" s="54"/>
      <c r="AC1914" s="76"/>
      <c r="AD1914" s="94"/>
    </row>
    <row r="1915" s="53" customFormat="1" ht="50" customHeight="1" spans="1:30">
      <c r="A1915" s="95" t="s">
        <v>3790</v>
      </c>
      <c r="B1915" s="83"/>
      <c r="C1915" s="53" t="s">
        <v>32</v>
      </c>
      <c r="D1915" s="84" t="s">
        <v>749</v>
      </c>
      <c r="E1915" s="96" t="s">
        <v>3791</v>
      </c>
      <c r="F1915" s="95" t="s">
        <v>62</v>
      </c>
      <c r="G1915" s="76"/>
      <c r="H1915" s="76">
        <f>STOCK[[#This Row],[Precio Final]]</f>
        <v>0</v>
      </c>
      <c r="I1915" s="80">
        <f>STOCK[[#This Row],[Precio Venta Ideal (x1.5)]]</f>
        <v>13.5</v>
      </c>
      <c r="J1915" s="95">
        <v>1</v>
      </c>
      <c r="K1915" s="78">
        <f>SUMIFS(VENTAS[Cantidad],VENTAS[Código del producto Vendido],STOCK[[#This Row],[Code]])</f>
        <v>0</v>
      </c>
      <c r="L1915" s="78">
        <f>STOCK[[#This Row],[Entradas]]-STOCK[[#This Row],[Salidas]]</f>
        <v>1</v>
      </c>
      <c r="M1915" s="76">
        <f>STOCK[[#This Row],[Precio Final]]*10%</f>
        <v>0</v>
      </c>
      <c r="N1915" s="54">
        <v>0</v>
      </c>
      <c r="O1915" s="76">
        <v>0</v>
      </c>
      <c r="P1915" s="76">
        <v>9</v>
      </c>
      <c r="Q1915" s="76">
        <v>0</v>
      </c>
      <c r="R1915" s="78">
        <v>0</v>
      </c>
      <c r="S1915" s="76">
        <v>0</v>
      </c>
      <c r="T1915" s="76">
        <f>STOCK[[#This Row],[Costo Unitario (USD)]]+STOCK[[#This Row],[Costo Envío (USD)]]+STOCK[[#This Row],[Comisión 10%]]</f>
        <v>9</v>
      </c>
      <c r="U1915" s="53">
        <f>STOCK[[#This Row],[Costo total]]*1.5</f>
        <v>13.5</v>
      </c>
      <c r="W1915" s="76">
        <f>STOCK[[#This Row],[Precio Final]]-STOCK[[#This Row],[Costo total]]</f>
        <v>-9</v>
      </c>
      <c r="X1915" s="76">
        <f>STOCK[[#This Row],[Ganancia Unitaria]]*STOCK[[#This Row],[Salidas]]</f>
        <v>0</v>
      </c>
      <c r="Y1915" s="76"/>
      <c r="Z1915" s="87"/>
      <c r="AA1915" s="54"/>
      <c r="AB1915" s="54"/>
      <c r="AC1915" s="76"/>
      <c r="AD1915" s="94"/>
    </row>
    <row r="1916" s="53" customFormat="1" ht="50" customHeight="1" spans="1:30">
      <c r="A1916" s="95" t="s">
        <v>3792</v>
      </c>
      <c r="B1916" s="83"/>
      <c r="C1916" s="53" t="s">
        <v>32</v>
      </c>
      <c r="D1916" s="84" t="s">
        <v>749</v>
      </c>
      <c r="E1916" s="96" t="s">
        <v>3662</v>
      </c>
      <c r="F1916" s="95" t="s">
        <v>42</v>
      </c>
      <c r="G1916" s="76"/>
      <c r="H1916" s="76">
        <f>STOCK[[#This Row],[Precio Final]]</f>
        <v>0</v>
      </c>
      <c r="I1916" s="80">
        <f>STOCK[[#This Row],[Precio Venta Ideal (x1.5)]]</f>
        <v>13.5</v>
      </c>
      <c r="J1916" s="95">
        <v>1</v>
      </c>
      <c r="K1916" s="78">
        <f>SUMIFS(VENTAS[Cantidad],VENTAS[Código del producto Vendido],STOCK[[#This Row],[Code]])</f>
        <v>0</v>
      </c>
      <c r="L1916" s="78">
        <f>STOCK[[#This Row],[Entradas]]-STOCK[[#This Row],[Salidas]]</f>
        <v>1</v>
      </c>
      <c r="M1916" s="76">
        <f>STOCK[[#This Row],[Precio Final]]*10%</f>
        <v>0</v>
      </c>
      <c r="N1916" s="54">
        <v>0</v>
      </c>
      <c r="O1916" s="76">
        <v>0</v>
      </c>
      <c r="P1916" s="76">
        <v>9</v>
      </c>
      <c r="Q1916" s="76">
        <v>0</v>
      </c>
      <c r="R1916" s="78">
        <v>0</v>
      </c>
      <c r="S1916" s="76">
        <v>0</v>
      </c>
      <c r="T1916" s="76">
        <f>STOCK[[#This Row],[Costo Unitario (USD)]]+STOCK[[#This Row],[Costo Envío (USD)]]+STOCK[[#This Row],[Comisión 10%]]</f>
        <v>9</v>
      </c>
      <c r="U1916" s="53">
        <f>STOCK[[#This Row],[Costo total]]*1.5</f>
        <v>13.5</v>
      </c>
      <c r="W1916" s="76">
        <f>STOCK[[#This Row],[Precio Final]]-STOCK[[#This Row],[Costo total]]</f>
        <v>-9</v>
      </c>
      <c r="X1916" s="76">
        <f>STOCK[[#This Row],[Ganancia Unitaria]]*STOCK[[#This Row],[Salidas]]</f>
        <v>0</v>
      </c>
      <c r="Y1916" s="76"/>
      <c r="Z1916" s="87"/>
      <c r="AA1916" s="54"/>
      <c r="AB1916" s="54"/>
      <c r="AC1916" s="76"/>
      <c r="AD1916" s="94"/>
    </row>
    <row r="1917" s="53" customFormat="1" ht="50" customHeight="1" spans="1:30">
      <c r="A1917" s="95" t="s">
        <v>3793</v>
      </c>
      <c r="B1917" s="83"/>
      <c r="C1917" s="53" t="s">
        <v>32</v>
      </c>
      <c r="D1917" s="84" t="s">
        <v>749</v>
      </c>
      <c r="E1917" s="96" t="s">
        <v>3794</v>
      </c>
      <c r="F1917" s="95" t="s">
        <v>1047</v>
      </c>
      <c r="G1917" s="76"/>
      <c r="H1917" s="76">
        <f>STOCK[[#This Row],[Precio Final]]</f>
        <v>0</v>
      </c>
      <c r="I1917" s="80">
        <f>STOCK[[#This Row],[Precio Venta Ideal (x1.5)]]</f>
        <v>13.5</v>
      </c>
      <c r="J1917" s="95">
        <v>1</v>
      </c>
      <c r="K1917" s="78">
        <f>SUMIFS(VENTAS[Cantidad],VENTAS[Código del producto Vendido],STOCK[[#This Row],[Code]])</f>
        <v>0</v>
      </c>
      <c r="L1917" s="78">
        <f>STOCK[[#This Row],[Entradas]]-STOCK[[#This Row],[Salidas]]</f>
        <v>1</v>
      </c>
      <c r="M1917" s="76">
        <f>STOCK[[#This Row],[Precio Final]]*10%</f>
        <v>0</v>
      </c>
      <c r="N1917" s="54">
        <v>0</v>
      </c>
      <c r="O1917" s="76">
        <v>0</v>
      </c>
      <c r="P1917" s="76">
        <v>9</v>
      </c>
      <c r="Q1917" s="76">
        <v>0</v>
      </c>
      <c r="R1917" s="78">
        <v>0</v>
      </c>
      <c r="S1917" s="76">
        <v>0</v>
      </c>
      <c r="T1917" s="76">
        <f>STOCK[[#This Row],[Costo Unitario (USD)]]+STOCK[[#This Row],[Costo Envío (USD)]]+STOCK[[#This Row],[Comisión 10%]]</f>
        <v>9</v>
      </c>
      <c r="U1917" s="53">
        <f>STOCK[[#This Row],[Costo total]]*1.5</f>
        <v>13.5</v>
      </c>
      <c r="W1917" s="76">
        <f>STOCK[[#This Row],[Precio Final]]-STOCK[[#This Row],[Costo total]]</f>
        <v>-9</v>
      </c>
      <c r="X1917" s="76">
        <f>STOCK[[#This Row],[Ganancia Unitaria]]*STOCK[[#This Row],[Salidas]]</f>
        <v>0</v>
      </c>
      <c r="Y1917" s="76"/>
      <c r="Z1917" s="87"/>
      <c r="AA1917" s="54"/>
      <c r="AB1917" s="54"/>
      <c r="AC1917" s="76"/>
      <c r="AD1917" s="94"/>
    </row>
    <row r="1918" s="53" customFormat="1" ht="50" customHeight="1" spans="1:30">
      <c r="A1918" s="95" t="s">
        <v>3795</v>
      </c>
      <c r="B1918" s="83"/>
      <c r="C1918" s="53" t="s">
        <v>32</v>
      </c>
      <c r="D1918" s="84" t="s">
        <v>749</v>
      </c>
      <c r="E1918" s="96" t="s">
        <v>3796</v>
      </c>
      <c r="F1918" s="95" t="s">
        <v>40</v>
      </c>
      <c r="G1918" s="76"/>
      <c r="H1918" s="76">
        <f>STOCK[[#This Row],[Precio Final]]</f>
        <v>0</v>
      </c>
      <c r="I1918" s="80">
        <f>STOCK[[#This Row],[Precio Venta Ideal (x1.5)]]</f>
        <v>13.5</v>
      </c>
      <c r="J1918" s="95">
        <v>1</v>
      </c>
      <c r="K1918" s="78">
        <f>SUMIFS(VENTAS[Cantidad],VENTAS[Código del producto Vendido],STOCK[[#This Row],[Code]])</f>
        <v>0</v>
      </c>
      <c r="L1918" s="78">
        <f>STOCK[[#This Row],[Entradas]]-STOCK[[#This Row],[Salidas]]</f>
        <v>1</v>
      </c>
      <c r="M1918" s="76">
        <f>STOCK[[#This Row],[Precio Final]]*10%</f>
        <v>0</v>
      </c>
      <c r="N1918" s="54">
        <v>0</v>
      </c>
      <c r="O1918" s="76">
        <v>0</v>
      </c>
      <c r="P1918" s="76">
        <v>9</v>
      </c>
      <c r="Q1918" s="76">
        <v>0</v>
      </c>
      <c r="R1918" s="78">
        <v>0</v>
      </c>
      <c r="S1918" s="76">
        <v>0</v>
      </c>
      <c r="T1918" s="76">
        <f>STOCK[[#This Row],[Costo Unitario (USD)]]+STOCK[[#This Row],[Costo Envío (USD)]]+STOCK[[#This Row],[Comisión 10%]]</f>
        <v>9</v>
      </c>
      <c r="U1918" s="53">
        <f>STOCK[[#This Row],[Costo total]]*1.5</f>
        <v>13.5</v>
      </c>
      <c r="W1918" s="76">
        <f>STOCK[[#This Row],[Precio Final]]-STOCK[[#This Row],[Costo total]]</f>
        <v>-9</v>
      </c>
      <c r="X1918" s="76">
        <f>STOCK[[#This Row],[Ganancia Unitaria]]*STOCK[[#This Row],[Salidas]]</f>
        <v>0</v>
      </c>
      <c r="Y1918" s="76"/>
      <c r="Z1918" s="87"/>
      <c r="AA1918" s="54"/>
      <c r="AB1918" s="54"/>
      <c r="AC1918" s="76"/>
      <c r="AD1918" s="94"/>
    </row>
    <row r="1919" s="53" customFormat="1" ht="50" customHeight="1" spans="1:30">
      <c r="A1919" s="95" t="s">
        <v>3797</v>
      </c>
      <c r="B1919" s="83"/>
      <c r="C1919" s="53" t="s">
        <v>32</v>
      </c>
      <c r="D1919" s="84" t="s">
        <v>749</v>
      </c>
      <c r="E1919" s="96" t="s">
        <v>3798</v>
      </c>
      <c r="F1919" s="95" t="s">
        <v>1408</v>
      </c>
      <c r="G1919" s="76"/>
      <c r="H1919" s="76">
        <f>STOCK[[#This Row],[Precio Final]]</f>
        <v>0</v>
      </c>
      <c r="I1919" s="80">
        <f>STOCK[[#This Row],[Precio Venta Ideal (x1.5)]]</f>
        <v>13.5</v>
      </c>
      <c r="J1919" s="95">
        <v>2</v>
      </c>
      <c r="K1919" s="78">
        <f>SUMIFS(VENTAS[Cantidad],VENTAS[Código del producto Vendido],STOCK[[#This Row],[Code]])</f>
        <v>0</v>
      </c>
      <c r="L1919" s="78">
        <f>STOCK[[#This Row],[Entradas]]-STOCK[[#This Row],[Salidas]]</f>
        <v>2</v>
      </c>
      <c r="M1919" s="76">
        <f>STOCK[[#This Row],[Precio Final]]*10%</f>
        <v>0</v>
      </c>
      <c r="N1919" s="54">
        <v>0</v>
      </c>
      <c r="O1919" s="76">
        <v>0</v>
      </c>
      <c r="P1919" s="76">
        <v>9</v>
      </c>
      <c r="Q1919" s="76">
        <v>0</v>
      </c>
      <c r="R1919" s="78">
        <v>0</v>
      </c>
      <c r="S1919" s="76">
        <v>0</v>
      </c>
      <c r="T1919" s="76">
        <f>STOCK[[#This Row],[Costo Unitario (USD)]]+STOCK[[#This Row],[Costo Envío (USD)]]+STOCK[[#This Row],[Comisión 10%]]</f>
        <v>9</v>
      </c>
      <c r="U1919" s="53">
        <f>STOCK[[#This Row],[Costo total]]*1.5</f>
        <v>13.5</v>
      </c>
      <c r="W1919" s="76">
        <f>STOCK[[#This Row],[Precio Final]]-STOCK[[#This Row],[Costo total]]</f>
        <v>-9</v>
      </c>
      <c r="X1919" s="76">
        <f>STOCK[[#This Row],[Ganancia Unitaria]]*STOCK[[#This Row],[Salidas]]</f>
        <v>0</v>
      </c>
      <c r="Y1919" s="76"/>
      <c r="Z1919" s="87"/>
      <c r="AA1919" s="54"/>
      <c r="AB1919" s="54"/>
      <c r="AC1919" s="76"/>
      <c r="AD1919" s="94"/>
    </row>
    <row r="1920" s="53" customFormat="1" ht="50" customHeight="1" spans="1:30">
      <c r="A1920" s="95" t="s">
        <v>3799</v>
      </c>
      <c r="B1920" s="83"/>
      <c r="C1920" s="53" t="s">
        <v>32</v>
      </c>
      <c r="D1920" s="84"/>
      <c r="E1920" s="96" t="s">
        <v>3741</v>
      </c>
      <c r="F1920" s="95" t="s">
        <v>3753</v>
      </c>
      <c r="G1920" s="76"/>
      <c r="H1920" s="76">
        <f>STOCK[[#This Row],[Precio Final]]</f>
        <v>0</v>
      </c>
      <c r="I1920" s="80">
        <f>STOCK[[#This Row],[Precio Venta Ideal (x1.5)]]</f>
        <v>13.5</v>
      </c>
      <c r="J1920" s="95">
        <v>1</v>
      </c>
      <c r="K1920" s="78">
        <f>SUMIFS(VENTAS[Cantidad],VENTAS[Código del producto Vendido],STOCK[[#This Row],[Code]])</f>
        <v>0</v>
      </c>
      <c r="L1920" s="78">
        <f>STOCK[[#This Row],[Entradas]]-STOCK[[#This Row],[Salidas]]</f>
        <v>1</v>
      </c>
      <c r="M1920" s="76">
        <f>STOCK[[#This Row],[Precio Final]]*10%</f>
        <v>0</v>
      </c>
      <c r="N1920" s="54">
        <v>0</v>
      </c>
      <c r="O1920" s="76">
        <v>0</v>
      </c>
      <c r="P1920" s="76">
        <v>9</v>
      </c>
      <c r="Q1920" s="76">
        <v>0</v>
      </c>
      <c r="R1920" s="78">
        <v>0</v>
      </c>
      <c r="S1920" s="76">
        <v>0</v>
      </c>
      <c r="T1920" s="76">
        <f>STOCK[[#This Row],[Costo Unitario (USD)]]+STOCK[[#This Row],[Costo Envío (USD)]]+STOCK[[#This Row],[Comisión 10%]]</f>
        <v>9</v>
      </c>
      <c r="U1920" s="53">
        <f>STOCK[[#This Row],[Costo total]]*1.5</f>
        <v>13.5</v>
      </c>
      <c r="W1920" s="76">
        <f>STOCK[[#This Row],[Precio Final]]-STOCK[[#This Row],[Costo total]]</f>
        <v>-9</v>
      </c>
      <c r="X1920" s="76">
        <f>STOCK[[#This Row],[Ganancia Unitaria]]*STOCK[[#This Row],[Salidas]]</f>
        <v>0</v>
      </c>
      <c r="Y1920" s="76"/>
      <c r="Z1920" s="87"/>
      <c r="AA1920" s="54"/>
      <c r="AB1920" s="54"/>
      <c r="AC1920" s="76"/>
      <c r="AD1920" s="94"/>
    </row>
    <row r="1921" s="53" customFormat="1" ht="50" customHeight="1" spans="1:30">
      <c r="A1921" s="95" t="s">
        <v>3800</v>
      </c>
      <c r="B1921" s="83"/>
      <c r="C1921" s="53" t="s">
        <v>32</v>
      </c>
      <c r="D1921" s="84" t="s">
        <v>749</v>
      </c>
      <c r="E1921" s="96" t="s">
        <v>3801</v>
      </c>
      <c r="F1921" s="95" t="s">
        <v>42</v>
      </c>
      <c r="G1921" s="76"/>
      <c r="H1921" s="76">
        <f>STOCK[[#This Row],[Precio Final]]</f>
        <v>0</v>
      </c>
      <c r="I1921" s="80">
        <f>STOCK[[#This Row],[Precio Venta Ideal (x1.5)]]</f>
        <v>13.5</v>
      </c>
      <c r="J1921" s="95">
        <v>1</v>
      </c>
      <c r="K1921" s="78">
        <f>SUMIFS(VENTAS[Cantidad],VENTAS[Código del producto Vendido],STOCK[[#This Row],[Code]])</f>
        <v>0</v>
      </c>
      <c r="L1921" s="78">
        <f>STOCK[[#This Row],[Entradas]]-STOCK[[#This Row],[Salidas]]</f>
        <v>1</v>
      </c>
      <c r="M1921" s="76">
        <f>STOCK[[#This Row],[Precio Final]]*10%</f>
        <v>0</v>
      </c>
      <c r="N1921" s="54">
        <v>0</v>
      </c>
      <c r="O1921" s="76">
        <v>0</v>
      </c>
      <c r="P1921" s="76">
        <v>9</v>
      </c>
      <c r="Q1921" s="76">
        <v>0</v>
      </c>
      <c r="R1921" s="78">
        <v>0</v>
      </c>
      <c r="S1921" s="76">
        <v>0</v>
      </c>
      <c r="T1921" s="76">
        <f>STOCK[[#This Row],[Costo Unitario (USD)]]+STOCK[[#This Row],[Costo Envío (USD)]]+STOCK[[#This Row],[Comisión 10%]]</f>
        <v>9</v>
      </c>
      <c r="U1921" s="53">
        <f>STOCK[[#This Row],[Costo total]]*1.5</f>
        <v>13.5</v>
      </c>
      <c r="W1921" s="76">
        <f>STOCK[[#This Row],[Precio Final]]-STOCK[[#This Row],[Costo total]]</f>
        <v>-9</v>
      </c>
      <c r="X1921" s="76">
        <f>STOCK[[#This Row],[Ganancia Unitaria]]*STOCK[[#This Row],[Salidas]]</f>
        <v>0</v>
      </c>
      <c r="Y1921" s="76"/>
      <c r="Z1921" s="87"/>
      <c r="AA1921" s="54"/>
      <c r="AB1921" s="54"/>
      <c r="AC1921" s="76"/>
      <c r="AD1921" s="94"/>
    </row>
    <row r="1922" s="53" customFormat="1" ht="50" customHeight="1" spans="1:30">
      <c r="A1922" s="95" t="s">
        <v>3802</v>
      </c>
      <c r="B1922" s="83"/>
      <c r="C1922" s="53" t="s">
        <v>32</v>
      </c>
      <c r="D1922" s="84" t="s">
        <v>2639</v>
      </c>
      <c r="E1922" s="96" t="s">
        <v>3803</v>
      </c>
      <c r="F1922" s="95" t="s">
        <v>62</v>
      </c>
      <c r="G1922" s="76"/>
      <c r="H1922" s="76">
        <f>STOCK[[#This Row],[Precio Final]]</f>
        <v>0</v>
      </c>
      <c r="I1922" s="80">
        <f>STOCK[[#This Row],[Precio Venta Ideal (x1.5)]]</f>
        <v>13.5</v>
      </c>
      <c r="J1922" s="95">
        <v>1</v>
      </c>
      <c r="K1922" s="78">
        <f>SUMIFS(VENTAS[Cantidad],VENTAS[Código del producto Vendido],STOCK[[#This Row],[Code]])</f>
        <v>0</v>
      </c>
      <c r="L1922" s="78">
        <f>STOCK[[#This Row],[Entradas]]-STOCK[[#This Row],[Salidas]]</f>
        <v>1</v>
      </c>
      <c r="M1922" s="76">
        <f>STOCK[[#This Row],[Precio Final]]*10%</f>
        <v>0</v>
      </c>
      <c r="N1922" s="54">
        <v>0</v>
      </c>
      <c r="O1922" s="76">
        <v>0</v>
      </c>
      <c r="P1922" s="76">
        <v>9</v>
      </c>
      <c r="Q1922" s="76">
        <v>0</v>
      </c>
      <c r="R1922" s="78">
        <v>0</v>
      </c>
      <c r="S1922" s="76">
        <v>0</v>
      </c>
      <c r="T1922" s="76">
        <f>STOCK[[#This Row],[Costo Unitario (USD)]]+STOCK[[#This Row],[Costo Envío (USD)]]+STOCK[[#This Row],[Comisión 10%]]</f>
        <v>9</v>
      </c>
      <c r="U1922" s="53">
        <f>STOCK[[#This Row],[Costo total]]*1.5</f>
        <v>13.5</v>
      </c>
      <c r="W1922" s="76">
        <f>STOCK[[#This Row],[Precio Final]]-STOCK[[#This Row],[Costo total]]</f>
        <v>-9</v>
      </c>
      <c r="X1922" s="76">
        <f>STOCK[[#This Row],[Ganancia Unitaria]]*STOCK[[#This Row],[Salidas]]</f>
        <v>0</v>
      </c>
      <c r="Y1922" s="76"/>
      <c r="Z1922" s="87"/>
      <c r="AA1922" s="54"/>
      <c r="AB1922" s="54"/>
      <c r="AC1922" s="76"/>
      <c r="AD1922" s="94"/>
    </row>
    <row r="1923" s="53" customFormat="1" ht="50" customHeight="1" spans="1:30">
      <c r="A1923" s="95" t="s">
        <v>3804</v>
      </c>
      <c r="B1923" s="83"/>
      <c r="C1923" s="53" t="s">
        <v>32</v>
      </c>
      <c r="D1923" s="84" t="s">
        <v>2639</v>
      </c>
      <c r="E1923" s="96" t="s">
        <v>3805</v>
      </c>
      <c r="F1923" s="95" t="s">
        <v>62</v>
      </c>
      <c r="G1923" s="76"/>
      <c r="H1923" s="76">
        <f>STOCK[[#This Row],[Precio Final]]</f>
        <v>0</v>
      </c>
      <c r="I1923" s="80">
        <f>STOCK[[#This Row],[Precio Venta Ideal (x1.5)]]</f>
        <v>13.5</v>
      </c>
      <c r="J1923" s="95">
        <v>1</v>
      </c>
      <c r="K1923" s="78">
        <f>SUMIFS(VENTAS[Cantidad],VENTAS[Código del producto Vendido],STOCK[[#This Row],[Code]])</f>
        <v>0</v>
      </c>
      <c r="L1923" s="78">
        <f>STOCK[[#This Row],[Entradas]]-STOCK[[#This Row],[Salidas]]</f>
        <v>1</v>
      </c>
      <c r="M1923" s="76">
        <f>STOCK[[#This Row],[Precio Final]]*10%</f>
        <v>0</v>
      </c>
      <c r="N1923" s="54">
        <v>0</v>
      </c>
      <c r="O1923" s="76">
        <v>0</v>
      </c>
      <c r="P1923" s="76">
        <v>9</v>
      </c>
      <c r="Q1923" s="76">
        <v>0</v>
      </c>
      <c r="R1923" s="78">
        <v>0</v>
      </c>
      <c r="S1923" s="76">
        <v>0</v>
      </c>
      <c r="T1923" s="76">
        <f>STOCK[[#This Row],[Costo Unitario (USD)]]+STOCK[[#This Row],[Costo Envío (USD)]]+STOCK[[#This Row],[Comisión 10%]]</f>
        <v>9</v>
      </c>
      <c r="U1923" s="53">
        <f>STOCK[[#This Row],[Costo total]]*1.5</f>
        <v>13.5</v>
      </c>
      <c r="W1923" s="76">
        <f>STOCK[[#This Row],[Precio Final]]-STOCK[[#This Row],[Costo total]]</f>
        <v>-9</v>
      </c>
      <c r="X1923" s="76">
        <f>STOCK[[#This Row],[Ganancia Unitaria]]*STOCK[[#This Row],[Salidas]]</f>
        <v>0</v>
      </c>
      <c r="Y1923" s="76"/>
      <c r="Z1923" s="87"/>
      <c r="AA1923" s="54"/>
      <c r="AB1923" s="54"/>
      <c r="AC1923" s="76"/>
      <c r="AD1923" s="94"/>
    </row>
    <row r="1924" s="53" customFormat="1" ht="50" customHeight="1" spans="1:30">
      <c r="A1924" s="95" t="s">
        <v>3806</v>
      </c>
      <c r="B1924" s="83"/>
      <c r="C1924" s="53" t="s">
        <v>32</v>
      </c>
      <c r="D1924" s="84" t="s">
        <v>749</v>
      </c>
      <c r="E1924" s="95" t="s">
        <v>3807</v>
      </c>
      <c r="F1924" s="95" t="s">
        <v>46</v>
      </c>
      <c r="G1924" s="76"/>
      <c r="H1924" s="76">
        <f>STOCK[[#This Row],[Precio Final]]</f>
        <v>0</v>
      </c>
      <c r="I1924" s="80">
        <f>STOCK[[#This Row],[Precio Venta Ideal (x1.5)]]</f>
        <v>13.5</v>
      </c>
      <c r="J1924" s="95">
        <v>1</v>
      </c>
      <c r="K1924" s="78">
        <f>SUMIFS(VENTAS[Cantidad],VENTAS[Código del producto Vendido],STOCK[[#This Row],[Code]])</f>
        <v>0</v>
      </c>
      <c r="L1924" s="78">
        <f>STOCK[[#This Row],[Entradas]]-STOCK[[#This Row],[Salidas]]</f>
        <v>1</v>
      </c>
      <c r="M1924" s="76">
        <f>STOCK[[#This Row],[Precio Final]]*10%</f>
        <v>0</v>
      </c>
      <c r="N1924" s="54">
        <v>0</v>
      </c>
      <c r="O1924" s="76">
        <v>0</v>
      </c>
      <c r="P1924" s="76">
        <v>9</v>
      </c>
      <c r="Q1924" s="76">
        <v>0</v>
      </c>
      <c r="R1924" s="78">
        <v>0</v>
      </c>
      <c r="S1924" s="76">
        <v>0</v>
      </c>
      <c r="T1924" s="76">
        <f>STOCK[[#This Row],[Costo Unitario (USD)]]+STOCK[[#This Row],[Costo Envío (USD)]]+STOCK[[#This Row],[Comisión 10%]]</f>
        <v>9</v>
      </c>
      <c r="U1924" s="53">
        <f>STOCK[[#This Row],[Costo total]]*1.5</f>
        <v>13.5</v>
      </c>
      <c r="W1924" s="76">
        <f>STOCK[[#This Row],[Precio Final]]-STOCK[[#This Row],[Costo total]]</f>
        <v>-9</v>
      </c>
      <c r="X1924" s="76">
        <f>STOCK[[#This Row],[Ganancia Unitaria]]*STOCK[[#This Row],[Salidas]]</f>
        <v>0</v>
      </c>
      <c r="Y1924" s="76"/>
      <c r="Z1924" s="87"/>
      <c r="AA1924" s="54"/>
      <c r="AB1924" s="54"/>
      <c r="AC1924" s="76"/>
      <c r="AD1924" s="94"/>
    </row>
    <row r="1925" s="53" customFormat="1" ht="50" customHeight="1" spans="1:30">
      <c r="A1925" s="95" t="s">
        <v>3808</v>
      </c>
      <c r="B1925" s="83"/>
      <c r="C1925" s="53" t="s">
        <v>32</v>
      </c>
      <c r="D1925" s="84" t="s">
        <v>749</v>
      </c>
      <c r="E1925" s="95" t="s">
        <v>3809</v>
      </c>
      <c r="F1925" s="95" t="s">
        <v>42</v>
      </c>
      <c r="G1925" s="76"/>
      <c r="H1925" s="76">
        <f>STOCK[[#This Row],[Precio Final]]</f>
        <v>0</v>
      </c>
      <c r="I1925" s="80">
        <f>STOCK[[#This Row],[Precio Venta Ideal (x1.5)]]</f>
        <v>13.5</v>
      </c>
      <c r="J1925" s="95">
        <v>1</v>
      </c>
      <c r="K1925" s="78">
        <f>SUMIFS(VENTAS[Cantidad],VENTAS[Código del producto Vendido],STOCK[[#This Row],[Code]])</f>
        <v>0</v>
      </c>
      <c r="L1925" s="78">
        <f>STOCK[[#This Row],[Entradas]]-STOCK[[#This Row],[Salidas]]</f>
        <v>1</v>
      </c>
      <c r="M1925" s="76">
        <f>STOCK[[#This Row],[Precio Final]]*10%</f>
        <v>0</v>
      </c>
      <c r="N1925" s="54">
        <v>0</v>
      </c>
      <c r="O1925" s="76">
        <v>0</v>
      </c>
      <c r="P1925" s="76">
        <v>9</v>
      </c>
      <c r="Q1925" s="76">
        <v>0</v>
      </c>
      <c r="R1925" s="78">
        <v>0</v>
      </c>
      <c r="S1925" s="76">
        <v>0</v>
      </c>
      <c r="T1925" s="76">
        <f>STOCK[[#This Row],[Costo Unitario (USD)]]+STOCK[[#This Row],[Costo Envío (USD)]]+STOCK[[#This Row],[Comisión 10%]]</f>
        <v>9</v>
      </c>
      <c r="U1925" s="53">
        <f>STOCK[[#This Row],[Costo total]]*1.5</f>
        <v>13.5</v>
      </c>
      <c r="W1925" s="76">
        <f>STOCK[[#This Row],[Precio Final]]-STOCK[[#This Row],[Costo total]]</f>
        <v>-9</v>
      </c>
      <c r="X1925" s="76">
        <f>STOCK[[#This Row],[Ganancia Unitaria]]*STOCK[[#This Row],[Salidas]]</f>
        <v>0</v>
      </c>
      <c r="Y1925" s="76"/>
      <c r="Z1925" s="87"/>
      <c r="AA1925" s="54"/>
      <c r="AB1925" s="54"/>
      <c r="AC1925" s="76"/>
      <c r="AD1925" s="94"/>
    </row>
    <row r="1926" s="53" customFormat="1" ht="50" customHeight="1" spans="1:30">
      <c r="A1926" s="95" t="s">
        <v>3810</v>
      </c>
      <c r="B1926" s="83"/>
      <c r="C1926" s="53" t="s">
        <v>32</v>
      </c>
      <c r="D1926" s="84" t="s">
        <v>749</v>
      </c>
      <c r="E1926" s="95" t="s">
        <v>3811</v>
      </c>
      <c r="F1926" s="95" t="s">
        <v>46</v>
      </c>
      <c r="G1926" s="76"/>
      <c r="H1926" s="76">
        <f>STOCK[[#This Row],[Precio Final]]</f>
        <v>0</v>
      </c>
      <c r="I1926" s="80">
        <f>STOCK[[#This Row],[Precio Venta Ideal (x1.5)]]</f>
        <v>13.5</v>
      </c>
      <c r="J1926" s="95">
        <v>1</v>
      </c>
      <c r="K1926" s="78">
        <f>SUMIFS(VENTAS[Cantidad],VENTAS[Código del producto Vendido],STOCK[[#This Row],[Code]])</f>
        <v>0</v>
      </c>
      <c r="L1926" s="78">
        <f>STOCK[[#This Row],[Entradas]]-STOCK[[#This Row],[Salidas]]</f>
        <v>1</v>
      </c>
      <c r="M1926" s="76">
        <f>STOCK[[#This Row],[Precio Final]]*10%</f>
        <v>0</v>
      </c>
      <c r="N1926" s="54">
        <v>0</v>
      </c>
      <c r="O1926" s="76">
        <v>0</v>
      </c>
      <c r="P1926" s="76">
        <v>9</v>
      </c>
      <c r="Q1926" s="76">
        <v>0</v>
      </c>
      <c r="R1926" s="78">
        <v>0</v>
      </c>
      <c r="S1926" s="76">
        <v>0</v>
      </c>
      <c r="T1926" s="76">
        <f>STOCK[[#This Row],[Costo Unitario (USD)]]+STOCK[[#This Row],[Costo Envío (USD)]]+STOCK[[#This Row],[Comisión 10%]]</f>
        <v>9</v>
      </c>
      <c r="U1926" s="53">
        <f>STOCK[[#This Row],[Costo total]]*1.5</f>
        <v>13.5</v>
      </c>
      <c r="W1926" s="76">
        <f>STOCK[[#This Row],[Precio Final]]-STOCK[[#This Row],[Costo total]]</f>
        <v>-9</v>
      </c>
      <c r="X1926" s="76">
        <f>STOCK[[#This Row],[Ganancia Unitaria]]*STOCK[[#This Row],[Salidas]]</f>
        <v>0</v>
      </c>
      <c r="Y1926" s="76"/>
      <c r="Z1926" s="87"/>
      <c r="AA1926" s="54"/>
      <c r="AB1926" s="54"/>
      <c r="AC1926" s="76"/>
      <c r="AD1926" s="94"/>
    </row>
    <row r="1927" s="53" customFormat="1" ht="50" customHeight="1" spans="1:30">
      <c r="A1927" s="95" t="s">
        <v>3812</v>
      </c>
      <c r="B1927" s="83"/>
      <c r="C1927" s="53" t="s">
        <v>32</v>
      </c>
      <c r="D1927" s="84" t="s">
        <v>749</v>
      </c>
      <c r="E1927" s="95" t="s">
        <v>3813</v>
      </c>
      <c r="F1927" s="95" t="s">
        <v>46</v>
      </c>
      <c r="G1927" s="76"/>
      <c r="H1927" s="76">
        <f>STOCK[[#This Row],[Precio Final]]</f>
        <v>0</v>
      </c>
      <c r="I1927" s="80">
        <f>STOCK[[#This Row],[Precio Venta Ideal (x1.5)]]</f>
        <v>13.5</v>
      </c>
      <c r="J1927" s="95">
        <v>1</v>
      </c>
      <c r="K1927" s="78">
        <f>SUMIFS(VENTAS[Cantidad],VENTAS[Código del producto Vendido],STOCK[[#This Row],[Code]])</f>
        <v>0</v>
      </c>
      <c r="L1927" s="78">
        <f>STOCK[[#This Row],[Entradas]]-STOCK[[#This Row],[Salidas]]</f>
        <v>1</v>
      </c>
      <c r="M1927" s="76">
        <f>STOCK[[#This Row],[Precio Final]]*10%</f>
        <v>0</v>
      </c>
      <c r="N1927" s="54">
        <v>0</v>
      </c>
      <c r="O1927" s="76">
        <v>0</v>
      </c>
      <c r="P1927" s="76">
        <v>9</v>
      </c>
      <c r="Q1927" s="76">
        <v>0</v>
      </c>
      <c r="R1927" s="78">
        <v>0</v>
      </c>
      <c r="S1927" s="76">
        <v>0</v>
      </c>
      <c r="T1927" s="76">
        <f>STOCK[[#This Row],[Costo Unitario (USD)]]+STOCK[[#This Row],[Costo Envío (USD)]]+STOCK[[#This Row],[Comisión 10%]]</f>
        <v>9</v>
      </c>
      <c r="U1927" s="53">
        <f>STOCK[[#This Row],[Costo total]]*1.5</f>
        <v>13.5</v>
      </c>
      <c r="W1927" s="76">
        <f>STOCK[[#This Row],[Precio Final]]-STOCK[[#This Row],[Costo total]]</f>
        <v>-9</v>
      </c>
      <c r="X1927" s="76">
        <f>STOCK[[#This Row],[Ganancia Unitaria]]*STOCK[[#This Row],[Salidas]]</f>
        <v>0</v>
      </c>
      <c r="Y1927" s="76"/>
      <c r="Z1927" s="87"/>
      <c r="AA1927" s="54"/>
      <c r="AB1927" s="54"/>
      <c r="AC1927" s="76"/>
      <c r="AD1927" s="94"/>
    </row>
    <row r="1928" s="53" customFormat="1" ht="50" customHeight="1" spans="1:30">
      <c r="A1928" s="95" t="s">
        <v>3814</v>
      </c>
      <c r="B1928" s="83"/>
      <c r="C1928" s="53" t="s">
        <v>32</v>
      </c>
      <c r="D1928" s="84" t="s">
        <v>749</v>
      </c>
      <c r="E1928" s="95" t="s">
        <v>3815</v>
      </c>
      <c r="F1928" s="95" t="s">
        <v>46</v>
      </c>
      <c r="G1928" s="76"/>
      <c r="H1928" s="76">
        <f>STOCK[[#This Row],[Precio Final]]</f>
        <v>0</v>
      </c>
      <c r="I1928" s="80">
        <f>STOCK[[#This Row],[Precio Venta Ideal (x1.5)]]</f>
        <v>13.5</v>
      </c>
      <c r="J1928" s="95">
        <v>1</v>
      </c>
      <c r="K1928" s="78">
        <f>SUMIFS(VENTAS[Cantidad],VENTAS[Código del producto Vendido],STOCK[[#This Row],[Code]])</f>
        <v>0</v>
      </c>
      <c r="L1928" s="78">
        <f>STOCK[[#This Row],[Entradas]]-STOCK[[#This Row],[Salidas]]</f>
        <v>1</v>
      </c>
      <c r="M1928" s="76">
        <f>STOCK[[#This Row],[Precio Final]]*10%</f>
        <v>0</v>
      </c>
      <c r="N1928" s="54">
        <v>0</v>
      </c>
      <c r="O1928" s="76">
        <v>0</v>
      </c>
      <c r="P1928" s="76">
        <v>9</v>
      </c>
      <c r="Q1928" s="76">
        <v>0</v>
      </c>
      <c r="R1928" s="78">
        <v>0</v>
      </c>
      <c r="S1928" s="76">
        <v>0</v>
      </c>
      <c r="T1928" s="76">
        <f>STOCK[[#This Row],[Costo Unitario (USD)]]+STOCK[[#This Row],[Costo Envío (USD)]]+STOCK[[#This Row],[Comisión 10%]]</f>
        <v>9</v>
      </c>
      <c r="U1928" s="53">
        <f>STOCK[[#This Row],[Costo total]]*1.5</f>
        <v>13.5</v>
      </c>
      <c r="W1928" s="76">
        <f>STOCK[[#This Row],[Precio Final]]-STOCK[[#This Row],[Costo total]]</f>
        <v>-9</v>
      </c>
      <c r="X1928" s="76">
        <f>STOCK[[#This Row],[Ganancia Unitaria]]*STOCK[[#This Row],[Salidas]]</f>
        <v>0</v>
      </c>
      <c r="Y1928" s="76"/>
      <c r="Z1928" s="87"/>
      <c r="AA1928" s="54"/>
      <c r="AB1928" s="54"/>
      <c r="AC1928" s="76"/>
      <c r="AD1928" s="94"/>
    </row>
    <row r="1929" s="53" customFormat="1" ht="50" customHeight="1" spans="1:30">
      <c r="A1929" s="95" t="s">
        <v>3816</v>
      </c>
      <c r="B1929" s="83"/>
      <c r="C1929" s="53" t="s">
        <v>32</v>
      </c>
      <c r="D1929" s="84" t="s">
        <v>749</v>
      </c>
      <c r="E1929" s="95" t="s">
        <v>3817</v>
      </c>
      <c r="F1929" s="95" t="s">
        <v>46</v>
      </c>
      <c r="G1929" s="76"/>
      <c r="H1929" s="76">
        <f>STOCK[[#This Row],[Precio Final]]</f>
        <v>35</v>
      </c>
      <c r="I1929" s="80">
        <f>STOCK[[#This Row],[Precio Venta Ideal (x1.5)]]</f>
        <v>18.75</v>
      </c>
      <c r="J1929" s="95">
        <v>1</v>
      </c>
      <c r="K1929" s="78">
        <f>SUMIFS(VENTAS[Cantidad],VENTAS[Código del producto Vendido],STOCK[[#This Row],[Code]])</f>
        <v>0</v>
      </c>
      <c r="L1929" s="78">
        <f>STOCK[[#This Row],[Entradas]]-STOCK[[#This Row],[Salidas]]</f>
        <v>1</v>
      </c>
      <c r="M1929" s="76">
        <f>STOCK[[#This Row],[Precio Final]]*10%</f>
        <v>3.5</v>
      </c>
      <c r="N1929" s="54">
        <v>0</v>
      </c>
      <c r="O1929" s="76">
        <v>0</v>
      </c>
      <c r="P1929" s="76">
        <v>9</v>
      </c>
      <c r="Q1929" s="76">
        <v>0</v>
      </c>
      <c r="R1929" s="78">
        <v>0</v>
      </c>
      <c r="S1929" s="76">
        <v>0</v>
      </c>
      <c r="T1929" s="76">
        <f>STOCK[[#This Row],[Costo Unitario (USD)]]+STOCK[[#This Row],[Costo Envío (USD)]]+STOCK[[#This Row],[Comisión 10%]]</f>
        <v>12.5</v>
      </c>
      <c r="U1929" s="53">
        <f>STOCK[[#This Row],[Costo total]]*1.5</f>
        <v>18.75</v>
      </c>
      <c r="V1929" s="53">
        <v>35</v>
      </c>
      <c r="W1929" s="76">
        <f>STOCK[[#This Row],[Precio Final]]-STOCK[[#This Row],[Costo total]]</f>
        <v>22.5</v>
      </c>
      <c r="X1929" s="76">
        <f>STOCK[[#This Row],[Ganancia Unitaria]]*STOCK[[#This Row],[Salidas]]</f>
        <v>0</v>
      </c>
      <c r="Y1929" s="76"/>
      <c r="Z1929" s="87"/>
      <c r="AA1929" s="54"/>
      <c r="AB1929" s="54"/>
      <c r="AC1929" s="76"/>
      <c r="AD1929" s="94"/>
    </row>
    <row r="1930" s="53" customFormat="1" ht="50" customHeight="1" spans="1:30">
      <c r="A1930" s="95" t="s">
        <v>3818</v>
      </c>
      <c r="B1930" s="83"/>
      <c r="C1930" s="53" t="s">
        <v>32</v>
      </c>
      <c r="D1930" s="84" t="s">
        <v>1212</v>
      </c>
      <c r="E1930" s="97" t="s">
        <v>3819</v>
      </c>
      <c r="F1930" s="98" t="s">
        <v>40</v>
      </c>
      <c r="G1930" s="76"/>
      <c r="H1930" s="76">
        <f>STOCK[[#This Row],[Precio Final]]</f>
        <v>30</v>
      </c>
      <c r="I1930" s="80">
        <f>STOCK[[#This Row],[Precio Venta Ideal (x1.5)]]</f>
        <v>27.945</v>
      </c>
      <c r="J1930" s="104">
        <v>3</v>
      </c>
      <c r="K1930" s="78">
        <f>SUMIFS(VENTAS[Cantidad],VENTAS[Código del producto Vendido],STOCK[[#This Row],[Code]])</f>
        <v>0</v>
      </c>
      <c r="L1930" s="78">
        <f>STOCK[[#This Row],[Entradas]]-STOCK[[#This Row],[Salidas]]</f>
        <v>3</v>
      </c>
      <c r="M1930" s="76">
        <f>STOCK[[#This Row],[Precio Final]]*10%</f>
        <v>3</v>
      </c>
      <c r="N1930" s="54">
        <v>0</v>
      </c>
      <c r="O1930" s="76">
        <v>0</v>
      </c>
      <c r="P1930" s="106">
        <v>10.63</v>
      </c>
      <c r="Q1930" s="76">
        <v>0</v>
      </c>
      <c r="R1930" s="78">
        <v>0</v>
      </c>
      <c r="S1930" s="110">
        <v>5</v>
      </c>
      <c r="T1930" s="76">
        <f>STOCK[[#This Row],[Costo Unitario (USD)]]+STOCK[[#This Row],[Costo Envío (USD)]]+STOCK[[#This Row],[Comisión 10%]]</f>
        <v>18.63</v>
      </c>
      <c r="U1930" s="53">
        <f>STOCK[[#This Row],[Costo total]]*1.5</f>
        <v>27.945</v>
      </c>
      <c r="V1930" s="53">
        <v>30</v>
      </c>
      <c r="W1930" s="76">
        <f>STOCK[[#This Row],[Precio Final]]-STOCK[[#This Row],[Costo total]]</f>
        <v>11.37</v>
      </c>
      <c r="X1930" s="76">
        <f>STOCK[[#This Row],[Ganancia Unitaria]]*STOCK[[#This Row],[Salidas]]</f>
        <v>0</v>
      </c>
      <c r="Y1930" s="76"/>
      <c r="Z1930" s="87"/>
      <c r="AA1930" s="54"/>
      <c r="AB1930" s="54"/>
      <c r="AC1930" s="76"/>
      <c r="AD1930" s="94"/>
    </row>
    <row r="1931" s="53" customFormat="1" ht="50" customHeight="1" spans="1:30">
      <c r="A1931" s="95" t="s">
        <v>3820</v>
      </c>
      <c r="B1931" s="83"/>
      <c r="C1931" s="53" t="s">
        <v>32</v>
      </c>
      <c r="D1931" s="84" t="s">
        <v>1212</v>
      </c>
      <c r="E1931" s="97" t="s">
        <v>3819</v>
      </c>
      <c r="F1931" s="98" t="s">
        <v>62</v>
      </c>
      <c r="G1931" s="76"/>
      <c r="H1931" s="76">
        <f>STOCK[[#This Row],[Precio Final]]</f>
        <v>30</v>
      </c>
      <c r="I1931" s="80">
        <f>STOCK[[#This Row],[Precio Venta Ideal (x1.5)]]</f>
        <v>27.945</v>
      </c>
      <c r="J1931" s="104">
        <v>4</v>
      </c>
      <c r="K1931" s="78">
        <f>SUMIFS(VENTAS[Cantidad],VENTAS[Código del producto Vendido],STOCK[[#This Row],[Code]])</f>
        <v>0</v>
      </c>
      <c r="L1931" s="78">
        <f>STOCK[[#This Row],[Entradas]]-STOCK[[#This Row],[Salidas]]</f>
        <v>4</v>
      </c>
      <c r="M1931" s="76">
        <f>STOCK[[#This Row],[Precio Final]]*10%</f>
        <v>3</v>
      </c>
      <c r="N1931" s="54">
        <v>0</v>
      </c>
      <c r="O1931" s="76">
        <v>0</v>
      </c>
      <c r="P1931" s="106">
        <v>10.63</v>
      </c>
      <c r="Q1931" s="76">
        <v>0</v>
      </c>
      <c r="R1931" s="78">
        <v>0</v>
      </c>
      <c r="S1931" s="111">
        <v>5</v>
      </c>
      <c r="T1931" s="76">
        <f>STOCK[[#This Row],[Costo Unitario (USD)]]+STOCK[[#This Row],[Costo Envío (USD)]]+STOCK[[#This Row],[Comisión 10%]]</f>
        <v>18.63</v>
      </c>
      <c r="U1931" s="53">
        <f>STOCK[[#This Row],[Costo total]]*1.5</f>
        <v>27.945</v>
      </c>
      <c r="V1931" s="53">
        <v>30</v>
      </c>
      <c r="W1931" s="76">
        <f>STOCK[[#This Row],[Precio Final]]-STOCK[[#This Row],[Costo total]]</f>
        <v>11.37</v>
      </c>
      <c r="X1931" s="76">
        <f>STOCK[[#This Row],[Ganancia Unitaria]]*STOCK[[#This Row],[Salidas]]</f>
        <v>0</v>
      </c>
      <c r="Y1931" s="76"/>
      <c r="Z1931" s="87"/>
      <c r="AA1931" s="54"/>
      <c r="AB1931" s="54"/>
      <c r="AC1931" s="76"/>
      <c r="AD1931" s="94"/>
    </row>
    <row r="1932" s="53" customFormat="1" ht="50" customHeight="1" spans="1:30">
      <c r="A1932" s="95" t="s">
        <v>3821</v>
      </c>
      <c r="B1932" s="83"/>
      <c r="C1932" s="53" t="s">
        <v>32</v>
      </c>
      <c r="D1932" s="84" t="s">
        <v>1212</v>
      </c>
      <c r="E1932" s="97" t="s">
        <v>3819</v>
      </c>
      <c r="F1932" s="98" t="s">
        <v>49</v>
      </c>
      <c r="G1932" s="76"/>
      <c r="H1932" s="76">
        <f>STOCK[[#This Row],[Precio Final]]</f>
        <v>30</v>
      </c>
      <c r="I1932" s="80">
        <f>STOCK[[#This Row],[Precio Venta Ideal (x1.5)]]</f>
        <v>27.945</v>
      </c>
      <c r="J1932" s="104">
        <v>4</v>
      </c>
      <c r="K1932" s="78">
        <f>SUMIFS(VENTAS[Cantidad],VENTAS[Código del producto Vendido],STOCK[[#This Row],[Code]])</f>
        <v>0</v>
      </c>
      <c r="L1932" s="78">
        <f>STOCK[[#This Row],[Entradas]]-STOCK[[#This Row],[Salidas]]</f>
        <v>4</v>
      </c>
      <c r="M1932" s="76">
        <f>STOCK[[#This Row],[Precio Final]]*10%</f>
        <v>3</v>
      </c>
      <c r="N1932" s="54">
        <v>0</v>
      </c>
      <c r="O1932" s="76">
        <v>0</v>
      </c>
      <c r="P1932" s="106">
        <v>10.63</v>
      </c>
      <c r="Q1932" s="76">
        <v>0</v>
      </c>
      <c r="R1932" s="78">
        <v>0</v>
      </c>
      <c r="S1932" s="110">
        <v>5</v>
      </c>
      <c r="T1932" s="76">
        <f>STOCK[[#This Row],[Costo Unitario (USD)]]+STOCK[[#This Row],[Costo Envío (USD)]]+STOCK[[#This Row],[Comisión 10%]]</f>
        <v>18.63</v>
      </c>
      <c r="U1932" s="53">
        <f>STOCK[[#This Row],[Costo total]]*1.5</f>
        <v>27.945</v>
      </c>
      <c r="V1932" s="53">
        <v>30</v>
      </c>
      <c r="W1932" s="76">
        <f>STOCK[[#This Row],[Precio Final]]-STOCK[[#This Row],[Costo total]]</f>
        <v>11.37</v>
      </c>
      <c r="X1932" s="76">
        <f>STOCK[[#This Row],[Ganancia Unitaria]]*STOCK[[#This Row],[Salidas]]</f>
        <v>0</v>
      </c>
      <c r="Y1932" s="76"/>
      <c r="Z1932" s="87"/>
      <c r="AA1932" s="54"/>
      <c r="AB1932" s="54"/>
      <c r="AC1932" s="76"/>
      <c r="AD1932" s="94"/>
    </row>
    <row r="1933" s="53" customFormat="1" ht="50" customHeight="1" spans="1:30">
      <c r="A1933" s="95" t="s">
        <v>3822</v>
      </c>
      <c r="B1933" s="83"/>
      <c r="C1933" s="53" t="s">
        <v>32</v>
      </c>
      <c r="D1933" s="84" t="s">
        <v>1212</v>
      </c>
      <c r="E1933" s="97" t="s">
        <v>3819</v>
      </c>
      <c r="F1933" s="98" t="s">
        <v>46</v>
      </c>
      <c r="G1933" s="76"/>
      <c r="H1933" s="76">
        <f>STOCK[[#This Row],[Precio Final]]</f>
        <v>30</v>
      </c>
      <c r="I1933" s="80">
        <f>STOCK[[#This Row],[Precio Venta Ideal (x1.5)]]</f>
        <v>27.945</v>
      </c>
      <c r="J1933" s="104">
        <v>4</v>
      </c>
      <c r="K1933" s="78">
        <f>SUMIFS(VENTAS[Cantidad],VENTAS[Código del producto Vendido],STOCK[[#This Row],[Code]])</f>
        <v>0</v>
      </c>
      <c r="L1933" s="78">
        <f>STOCK[[#This Row],[Entradas]]-STOCK[[#This Row],[Salidas]]</f>
        <v>4</v>
      </c>
      <c r="M1933" s="76">
        <f>STOCK[[#This Row],[Precio Final]]*10%</f>
        <v>3</v>
      </c>
      <c r="N1933" s="54">
        <v>0</v>
      </c>
      <c r="O1933" s="76">
        <v>0</v>
      </c>
      <c r="P1933" s="106">
        <v>10.63</v>
      </c>
      <c r="Q1933" s="76">
        <v>0</v>
      </c>
      <c r="R1933" s="78">
        <v>0</v>
      </c>
      <c r="S1933" s="111">
        <v>5</v>
      </c>
      <c r="T1933" s="76">
        <f>STOCK[[#This Row],[Costo Unitario (USD)]]+STOCK[[#This Row],[Costo Envío (USD)]]+STOCK[[#This Row],[Comisión 10%]]</f>
        <v>18.63</v>
      </c>
      <c r="U1933" s="53">
        <f>STOCK[[#This Row],[Costo total]]*1.5</f>
        <v>27.945</v>
      </c>
      <c r="V1933" s="53">
        <v>30</v>
      </c>
      <c r="W1933" s="76">
        <f>STOCK[[#This Row],[Precio Final]]-STOCK[[#This Row],[Costo total]]</f>
        <v>11.37</v>
      </c>
      <c r="X1933" s="76">
        <f>STOCK[[#This Row],[Ganancia Unitaria]]*STOCK[[#This Row],[Salidas]]</f>
        <v>0</v>
      </c>
      <c r="Y1933" s="76"/>
      <c r="Z1933" s="87"/>
      <c r="AA1933" s="54"/>
      <c r="AB1933" s="54"/>
      <c r="AC1933" s="76"/>
      <c r="AD1933" s="94"/>
    </row>
    <row r="1934" s="53" customFormat="1" ht="50" customHeight="1" spans="1:30">
      <c r="A1934" s="95" t="s">
        <v>3823</v>
      </c>
      <c r="B1934" s="83"/>
      <c r="C1934" s="53" t="s">
        <v>32</v>
      </c>
      <c r="D1934" s="84" t="s">
        <v>1212</v>
      </c>
      <c r="E1934" s="97" t="s">
        <v>3824</v>
      </c>
      <c r="F1934" s="98" t="s">
        <v>40</v>
      </c>
      <c r="G1934" s="76"/>
      <c r="H1934" s="76">
        <f>STOCK[[#This Row],[Precio Final]]</f>
        <v>30</v>
      </c>
      <c r="I1934" s="80">
        <f>STOCK[[#This Row],[Precio Venta Ideal (x1.5)]]</f>
        <v>29.445</v>
      </c>
      <c r="J1934" s="104">
        <v>4</v>
      </c>
      <c r="K1934" s="78">
        <f>SUMIFS(VENTAS[Cantidad],VENTAS[Código del producto Vendido],STOCK[[#This Row],[Code]])</f>
        <v>0</v>
      </c>
      <c r="L1934" s="78">
        <f>STOCK[[#This Row],[Entradas]]-STOCK[[#This Row],[Salidas]]</f>
        <v>4</v>
      </c>
      <c r="M1934" s="76">
        <f>STOCK[[#This Row],[Precio Final]]*10%</f>
        <v>3</v>
      </c>
      <c r="N1934" s="54">
        <v>0</v>
      </c>
      <c r="O1934" s="76">
        <v>0</v>
      </c>
      <c r="P1934" s="106">
        <v>11.63</v>
      </c>
      <c r="Q1934" s="76">
        <v>0</v>
      </c>
      <c r="R1934" s="78">
        <v>0</v>
      </c>
      <c r="S1934" s="110">
        <v>5</v>
      </c>
      <c r="T1934" s="76">
        <f>STOCK[[#This Row],[Costo Unitario (USD)]]+STOCK[[#This Row],[Costo Envío (USD)]]+STOCK[[#This Row],[Comisión 10%]]</f>
        <v>19.63</v>
      </c>
      <c r="U1934" s="53">
        <f>STOCK[[#This Row],[Costo total]]*1.5</f>
        <v>29.445</v>
      </c>
      <c r="V1934" s="53">
        <v>30</v>
      </c>
      <c r="W1934" s="76">
        <f>STOCK[[#This Row],[Precio Final]]-STOCK[[#This Row],[Costo total]]</f>
        <v>10.37</v>
      </c>
      <c r="X1934" s="76">
        <f>STOCK[[#This Row],[Ganancia Unitaria]]*STOCK[[#This Row],[Salidas]]</f>
        <v>0</v>
      </c>
      <c r="Y1934" s="76"/>
      <c r="Z1934" s="87"/>
      <c r="AA1934" s="54"/>
      <c r="AB1934" s="54"/>
      <c r="AC1934" s="76"/>
      <c r="AD1934" s="94"/>
    </row>
    <row r="1935" s="53" customFormat="1" ht="50" customHeight="1" spans="1:30">
      <c r="A1935" s="95" t="s">
        <v>3825</v>
      </c>
      <c r="B1935" s="83"/>
      <c r="C1935" s="53" t="s">
        <v>32</v>
      </c>
      <c r="D1935" s="84" t="s">
        <v>1212</v>
      </c>
      <c r="E1935" s="97" t="s">
        <v>3824</v>
      </c>
      <c r="F1935" s="98" t="s">
        <v>62</v>
      </c>
      <c r="G1935" s="76"/>
      <c r="H1935" s="76">
        <f>STOCK[[#This Row],[Precio Final]]</f>
        <v>30</v>
      </c>
      <c r="I1935" s="80">
        <f>STOCK[[#This Row],[Precio Venta Ideal (x1.5)]]</f>
        <v>31.92</v>
      </c>
      <c r="J1935" s="104">
        <v>4</v>
      </c>
      <c r="K1935" s="78">
        <f>SUMIFS(VENTAS[Cantidad],VENTAS[Código del producto Vendido],STOCK[[#This Row],[Code]])</f>
        <v>0</v>
      </c>
      <c r="L1935" s="78">
        <f>STOCK[[#This Row],[Entradas]]-STOCK[[#This Row],[Salidas]]</f>
        <v>4</v>
      </c>
      <c r="M1935" s="76">
        <f>STOCK[[#This Row],[Precio Final]]*10%</f>
        <v>3</v>
      </c>
      <c r="N1935" s="54">
        <v>0</v>
      </c>
      <c r="O1935" s="76">
        <v>0</v>
      </c>
      <c r="P1935" s="106">
        <v>14.28</v>
      </c>
      <c r="Q1935" s="76">
        <v>0</v>
      </c>
      <c r="R1935" s="78">
        <v>0</v>
      </c>
      <c r="S1935" s="111">
        <v>4</v>
      </c>
      <c r="T1935" s="76">
        <f>STOCK[[#This Row],[Costo Unitario (USD)]]+STOCK[[#This Row],[Costo Envío (USD)]]+STOCK[[#This Row],[Comisión 10%]]</f>
        <v>21.28</v>
      </c>
      <c r="U1935" s="53">
        <f>STOCK[[#This Row],[Costo total]]*1.5</f>
        <v>31.92</v>
      </c>
      <c r="V1935" s="53">
        <v>30</v>
      </c>
      <c r="W1935" s="76">
        <f>STOCK[[#This Row],[Precio Final]]-STOCK[[#This Row],[Costo total]]</f>
        <v>8.72</v>
      </c>
      <c r="X1935" s="76">
        <f>STOCK[[#This Row],[Ganancia Unitaria]]*STOCK[[#This Row],[Salidas]]</f>
        <v>0</v>
      </c>
      <c r="Y1935" s="76"/>
      <c r="Z1935" s="87"/>
      <c r="AA1935" s="54"/>
      <c r="AB1935" s="54"/>
      <c r="AC1935" s="76"/>
      <c r="AD1935" s="94"/>
    </row>
    <row r="1936" s="53" customFormat="1" ht="50" customHeight="1" spans="1:30">
      <c r="A1936" s="95" t="s">
        <v>3826</v>
      </c>
      <c r="B1936" s="83"/>
      <c r="C1936" s="53" t="s">
        <v>32</v>
      </c>
      <c r="D1936" s="84" t="s">
        <v>1212</v>
      </c>
      <c r="E1936" s="97" t="s">
        <v>3824</v>
      </c>
      <c r="F1936" s="98" t="s">
        <v>49</v>
      </c>
      <c r="G1936" s="76"/>
      <c r="H1936" s="76">
        <f>STOCK[[#This Row],[Precio Final]]</f>
        <v>30</v>
      </c>
      <c r="I1936" s="80">
        <f>STOCK[[#This Row],[Precio Venta Ideal (x1.5)]]</f>
        <v>31.92</v>
      </c>
      <c r="J1936" s="104">
        <v>4</v>
      </c>
      <c r="K1936" s="78">
        <f>SUMIFS(VENTAS[Cantidad],VENTAS[Código del producto Vendido],STOCK[[#This Row],[Code]])</f>
        <v>0</v>
      </c>
      <c r="L1936" s="78">
        <f>STOCK[[#This Row],[Entradas]]-STOCK[[#This Row],[Salidas]]</f>
        <v>4</v>
      </c>
      <c r="M1936" s="76">
        <f>STOCK[[#This Row],[Precio Final]]*10%</f>
        <v>3</v>
      </c>
      <c r="N1936" s="54">
        <v>0</v>
      </c>
      <c r="O1936" s="76">
        <v>0</v>
      </c>
      <c r="P1936" s="106">
        <v>14.28</v>
      </c>
      <c r="Q1936" s="76">
        <v>0</v>
      </c>
      <c r="R1936" s="78">
        <v>0</v>
      </c>
      <c r="S1936" s="110">
        <v>4</v>
      </c>
      <c r="T1936" s="76">
        <f>STOCK[[#This Row],[Costo Unitario (USD)]]+STOCK[[#This Row],[Costo Envío (USD)]]+STOCK[[#This Row],[Comisión 10%]]</f>
        <v>21.28</v>
      </c>
      <c r="U1936" s="53">
        <f>STOCK[[#This Row],[Costo total]]*1.5</f>
        <v>31.92</v>
      </c>
      <c r="V1936" s="53">
        <v>30</v>
      </c>
      <c r="W1936" s="76">
        <f>STOCK[[#This Row],[Precio Final]]-STOCK[[#This Row],[Costo total]]</f>
        <v>8.72</v>
      </c>
      <c r="X1936" s="76">
        <f>STOCK[[#This Row],[Ganancia Unitaria]]*STOCK[[#This Row],[Salidas]]</f>
        <v>0</v>
      </c>
      <c r="Y1936" s="76"/>
      <c r="Z1936" s="87"/>
      <c r="AA1936" s="54"/>
      <c r="AB1936" s="54"/>
      <c r="AC1936" s="76"/>
      <c r="AD1936" s="94"/>
    </row>
    <row r="1937" s="53" customFormat="1" ht="50" customHeight="1" spans="1:30">
      <c r="A1937" s="95" t="s">
        <v>3827</v>
      </c>
      <c r="B1937" s="83"/>
      <c r="C1937" s="53" t="s">
        <v>32</v>
      </c>
      <c r="D1937" s="84" t="s">
        <v>2137</v>
      </c>
      <c r="E1937" s="97" t="s">
        <v>3824</v>
      </c>
      <c r="F1937" s="98" t="s">
        <v>46</v>
      </c>
      <c r="G1937" s="76"/>
      <c r="H1937" s="76">
        <f>STOCK[[#This Row],[Precio Final]]</f>
        <v>30</v>
      </c>
      <c r="I1937" s="80">
        <f>STOCK[[#This Row],[Precio Venta Ideal (x1.5)]]</f>
        <v>30.42</v>
      </c>
      <c r="J1937" s="104">
        <v>4</v>
      </c>
      <c r="K1937" s="78">
        <f>SUMIFS(VENTAS[Cantidad],VENTAS[Código del producto Vendido],STOCK[[#This Row],[Code]])</f>
        <v>0</v>
      </c>
      <c r="L1937" s="78">
        <f>STOCK[[#This Row],[Entradas]]-STOCK[[#This Row],[Salidas]]</f>
        <v>4</v>
      </c>
      <c r="M1937" s="76">
        <f>STOCK[[#This Row],[Precio Final]]*10%</f>
        <v>3</v>
      </c>
      <c r="N1937" s="54">
        <v>0</v>
      </c>
      <c r="O1937" s="76">
        <v>0</v>
      </c>
      <c r="P1937" s="106">
        <v>14.28</v>
      </c>
      <c r="Q1937" s="76">
        <v>0</v>
      </c>
      <c r="R1937" s="78">
        <v>0</v>
      </c>
      <c r="S1937" s="111">
        <v>3</v>
      </c>
      <c r="T1937" s="76">
        <f>STOCK[[#This Row],[Costo Unitario (USD)]]+STOCK[[#This Row],[Costo Envío (USD)]]+STOCK[[#This Row],[Comisión 10%]]</f>
        <v>20.28</v>
      </c>
      <c r="U1937" s="53">
        <f>STOCK[[#This Row],[Costo total]]*1.5</f>
        <v>30.42</v>
      </c>
      <c r="V1937" s="53">
        <v>30</v>
      </c>
      <c r="W1937" s="76">
        <f>STOCK[[#This Row],[Precio Final]]-STOCK[[#This Row],[Costo total]]</f>
        <v>9.72</v>
      </c>
      <c r="X1937" s="76">
        <f>STOCK[[#This Row],[Ganancia Unitaria]]*STOCK[[#This Row],[Salidas]]</f>
        <v>0</v>
      </c>
      <c r="Y1937" s="76"/>
      <c r="Z1937" s="87"/>
      <c r="AA1937" s="54"/>
      <c r="AB1937" s="54"/>
      <c r="AC1937" s="76"/>
      <c r="AD1937" s="94"/>
    </row>
    <row r="1938" s="53" customFormat="1" ht="50" customHeight="1" spans="1:30">
      <c r="A1938" s="95" t="s">
        <v>3828</v>
      </c>
      <c r="B1938" s="83"/>
      <c r="C1938" s="53" t="s">
        <v>32</v>
      </c>
      <c r="D1938" s="84" t="s">
        <v>1190</v>
      </c>
      <c r="E1938" s="99" t="s">
        <v>3829</v>
      </c>
      <c r="F1938" s="100" t="s">
        <v>40</v>
      </c>
      <c r="G1938" s="76"/>
      <c r="H1938" s="76">
        <f>STOCK[[#This Row],[Precio Final]]</f>
        <v>30</v>
      </c>
      <c r="I1938" s="80">
        <f>STOCK[[#This Row],[Precio Venta Ideal (x1.5)]]</f>
        <v>29.535</v>
      </c>
      <c r="J1938" s="105">
        <v>5</v>
      </c>
      <c r="K1938" s="78">
        <f>SUMIFS(VENTAS[Cantidad],VENTAS[Código del producto Vendido],STOCK[[#This Row],[Code]])</f>
        <v>0</v>
      </c>
      <c r="L1938" s="78">
        <f>STOCK[[#This Row],[Entradas]]-STOCK[[#This Row],[Salidas]]</f>
        <v>5</v>
      </c>
      <c r="M1938" s="76">
        <f>STOCK[[#This Row],[Precio Final]]*10%</f>
        <v>3</v>
      </c>
      <c r="N1938" s="54">
        <v>0</v>
      </c>
      <c r="O1938" s="76">
        <v>0</v>
      </c>
      <c r="P1938" s="107">
        <v>13.69</v>
      </c>
      <c r="Q1938" s="76">
        <v>0</v>
      </c>
      <c r="R1938" s="78">
        <v>0</v>
      </c>
      <c r="S1938" s="110">
        <v>3</v>
      </c>
      <c r="T1938" s="76">
        <f>STOCK[[#This Row],[Costo Unitario (USD)]]+STOCK[[#This Row],[Costo Envío (USD)]]+STOCK[[#This Row],[Comisión 10%]]</f>
        <v>19.69</v>
      </c>
      <c r="U1938" s="53">
        <f>STOCK[[#This Row],[Costo total]]*1.5</f>
        <v>29.535</v>
      </c>
      <c r="V1938" s="53">
        <v>30</v>
      </c>
      <c r="W1938" s="76">
        <f>STOCK[[#This Row],[Precio Final]]-STOCK[[#This Row],[Costo total]]</f>
        <v>10.31</v>
      </c>
      <c r="X1938" s="76">
        <f>STOCK[[#This Row],[Ganancia Unitaria]]*STOCK[[#This Row],[Salidas]]</f>
        <v>0</v>
      </c>
      <c r="Y1938" s="76"/>
      <c r="Z1938" s="87"/>
      <c r="AA1938" s="54"/>
      <c r="AB1938" s="54"/>
      <c r="AC1938" s="76"/>
      <c r="AD1938" s="94"/>
    </row>
    <row r="1939" s="53" customFormat="1" ht="50" customHeight="1" spans="1:30">
      <c r="A1939" s="95" t="s">
        <v>3830</v>
      </c>
      <c r="B1939" s="83"/>
      <c r="C1939" s="53" t="s">
        <v>32</v>
      </c>
      <c r="D1939" s="84" t="s">
        <v>1190</v>
      </c>
      <c r="E1939" s="99" t="s">
        <v>3829</v>
      </c>
      <c r="F1939" s="101" t="s">
        <v>62</v>
      </c>
      <c r="G1939" s="76"/>
      <c r="H1939" s="76">
        <f>STOCK[[#This Row],[Precio Final]]</f>
        <v>30</v>
      </c>
      <c r="I1939" s="80">
        <f>STOCK[[#This Row],[Precio Venta Ideal (x1.5)]]</f>
        <v>29.535</v>
      </c>
      <c r="J1939" s="104">
        <v>4</v>
      </c>
      <c r="K1939" s="78">
        <f>SUMIFS(VENTAS[Cantidad],VENTAS[Código del producto Vendido],STOCK[[#This Row],[Code]])</f>
        <v>0</v>
      </c>
      <c r="L1939" s="78">
        <f>STOCK[[#This Row],[Entradas]]-STOCK[[#This Row],[Salidas]]</f>
        <v>4</v>
      </c>
      <c r="M1939" s="76">
        <f>STOCK[[#This Row],[Precio Final]]*10%</f>
        <v>3</v>
      </c>
      <c r="N1939" s="54">
        <v>0</v>
      </c>
      <c r="O1939" s="76">
        <v>0</v>
      </c>
      <c r="P1939" s="108">
        <v>13.69</v>
      </c>
      <c r="Q1939" s="76">
        <v>0</v>
      </c>
      <c r="R1939" s="78">
        <v>0</v>
      </c>
      <c r="S1939" s="111">
        <v>3</v>
      </c>
      <c r="T1939" s="76">
        <f>STOCK[[#This Row],[Costo Unitario (USD)]]+STOCK[[#This Row],[Costo Envío (USD)]]+STOCK[[#This Row],[Comisión 10%]]</f>
        <v>19.69</v>
      </c>
      <c r="U1939" s="53">
        <f>STOCK[[#This Row],[Costo total]]*1.5</f>
        <v>29.535</v>
      </c>
      <c r="V1939" s="53">
        <v>30</v>
      </c>
      <c r="W1939" s="76">
        <f>STOCK[[#This Row],[Precio Final]]-STOCK[[#This Row],[Costo total]]</f>
        <v>10.31</v>
      </c>
      <c r="X1939" s="76">
        <f>STOCK[[#This Row],[Ganancia Unitaria]]*STOCK[[#This Row],[Salidas]]</f>
        <v>0</v>
      </c>
      <c r="Y1939" s="76"/>
      <c r="Z1939" s="87"/>
      <c r="AA1939" s="54"/>
      <c r="AB1939" s="54"/>
      <c r="AC1939" s="76"/>
      <c r="AD1939" s="94"/>
    </row>
    <row r="1940" s="53" customFormat="1" ht="50" customHeight="1" spans="1:30">
      <c r="A1940" s="95" t="s">
        <v>3831</v>
      </c>
      <c r="B1940" s="83"/>
      <c r="C1940" s="53" t="s">
        <v>32</v>
      </c>
      <c r="D1940" s="84" t="s">
        <v>1190</v>
      </c>
      <c r="E1940" s="99" t="s">
        <v>3829</v>
      </c>
      <c r="F1940" s="102" t="s">
        <v>49</v>
      </c>
      <c r="G1940" s="76"/>
      <c r="H1940" s="76">
        <f>STOCK[[#This Row],[Precio Final]]</f>
        <v>30</v>
      </c>
      <c r="I1940" s="80">
        <f>STOCK[[#This Row],[Precio Venta Ideal (x1.5)]]</f>
        <v>29.535</v>
      </c>
      <c r="J1940" s="102">
        <v>4</v>
      </c>
      <c r="K1940" s="78">
        <f>SUMIFS(VENTAS[Cantidad],VENTAS[Código del producto Vendido],STOCK[[#This Row],[Code]])</f>
        <v>0</v>
      </c>
      <c r="L1940" s="78">
        <f>STOCK[[#This Row],[Entradas]]-STOCK[[#This Row],[Salidas]]</f>
        <v>4</v>
      </c>
      <c r="M1940" s="76">
        <f>STOCK[[#This Row],[Precio Final]]*10%</f>
        <v>3</v>
      </c>
      <c r="N1940" s="54">
        <v>0</v>
      </c>
      <c r="O1940" s="76">
        <v>0</v>
      </c>
      <c r="P1940" s="109">
        <v>13.69</v>
      </c>
      <c r="Q1940" s="76">
        <v>0</v>
      </c>
      <c r="R1940" s="78">
        <v>0</v>
      </c>
      <c r="S1940" s="110">
        <v>3</v>
      </c>
      <c r="T1940" s="76">
        <f>STOCK[[#This Row],[Costo Unitario (USD)]]+STOCK[[#This Row],[Costo Envío (USD)]]+STOCK[[#This Row],[Comisión 10%]]</f>
        <v>19.69</v>
      </c>
      <c r="U1940" s="53">
        <f>STOCK[[#This Row],[Costo total]]*1.5</f>
        <v>29.535</v>
      </c>
      <c r="V1940" s="53">
        <v>30</v>
      </c>
      <c r="W1940" s="76">
        <f>STOCK[[#This Row],[Precio Final]]-STOCK[[#This Row],[Costo total]]</f>
        <v>10.31</v>
      </c>
      <c r="X1940" s="76">
        <f>STOCK[[#This Row],[Ganancia Unitaria]]*STOCK[[#This Row],[Salidas]]</f>
        <v>0</v>
      </c>
      <c r="Y1940" s="76"/>
      <c r="Z1940" s="87"/>
      <c r="AA1940" s="54"/>
      <c r="AB1940" s="54"/>
      <c r="AC1940" s="76"/>
      <c r="AD1940" s="94"/>
    </row>
    <row r="1941" s="53" customFormat="1" ht="50" customHeight="1" spans="1:30">
      <c r="A1941" s="95" t="s">
        <v>3832</v>
      </c>
      <c r="B1941" s="83"/>
      <c r="C1941" s="53" t="s">
        <v>32</v>
      </c>
      <c r="D1941" s="84" t="s">
        <v>2372</v>
      </c>
      <c r="E1941" s="99" t="s">
        <v>3829</v>
      </c>
      <c r="F1941" s="102" t="s">
        <v>46</v>
      </c>
      <c r="G1941" s="76"/>
      <c r="H1941" s="76">
        <f>STOCK[[#This Row],[Precio Final]]</f>
        <v>30</v>
      </c>
      <c r="I1941" s="80">
        <f>STOCK[[#This Row],[Precio Venta Ideal (x1.5)]]</f>
        <v>29.535</v>
      </c>
      <c r="J1941" s="102">
        <v>4</v>
      </c>
      <c r="K1941" s="78">
        <f>SUMIFS(VENTAS[Cantidad],VENTAS[Código del producto Vendido],STOCK[[#This Row],[Code]])</f>
        <v>0</v>
      </c>
      <c r="L1941" s="78">
        <f>STOCK[[#This Row],[Entradas]]-STOCK[[#This Row],[Salidas]]</f>
        <v>4</v>
      </c>
      <c r="M1941" s="76">
        <f>STOCK[[#This Row],[Precio Final]]*10%</f>
        <v>3</v>
      </c>
      <c r="N1941" s="54">
        <v>0</v>
      </c>
      <c r="O1941" s="76">
        <v>0</v>
      </c>
      <c r="P1941" s="109">
        <v>13.69</v>
      </c>
      <c r="Q1941" s="76">
        <v>0</v>
      </c>
      <c r="R1941" s="78">
        <v>0</v>
      </c>
      <c r="S1941" s="111">
        <v>3</v>
      </c>
      <c r="T1941" s="76">
        <f>STOCK[[#This Row],[Costo Unitario (USD)]]+STOCK[[#This Row],[Costo Envío (USD)]]+STOCK[[#This Row],[Comisión 10%]]</f>
        <v>19.69</v>
      </c>
      <c r="U1941" s="53">
        <f>STOCK[[#This Row],[Costo total]]*1.5</f>
        <v>29.535</v>
      </c>
      <c r="V1941" s="53">
        <v>30</v>
      </c>
      <c r="W1941" s="76">
        <f>STOCK[[#This Row],[Precio Final]]-STOCK[[#This Row],[Costo total]]</f>
        <v>10.31</v>
      </c>
      <c r="X1941" s="76">
        <f>STOCK[[#This Row],[Ganancia Unitaria]]*STOCK[[#This Row],[Salidas]]</f>
        <v>0</v>
      </c>
      <c r="Y1941" s="76"/>
      <c r="Z1941" s="87"/>
      <c r="AA1941" s="54"/>
      <c r="AB1941" s="54"/>
      <c r="AC1941" s="76"/>
      <c r="AD1941" s="94"/>
    </row>
    <row r="1942" s="53" customFormat="1" ht="50" customHeight="1" spans="1:30">
      <c r="A1942" s="95" t="s">
        <v>3833</v>
      </c>
      <c r="B1942" s="83"/>
      <c r="C1942" s="53" t="s">
        <v>32</v>
      </c>
      <c r="D1942" s="84" t="s">
        <v>1190</v>
      </c>
      <c r="E1942" s="99" t="s">
        <v>3834</v>
      </c>
      <c r="F1942" s="102" t="s">
        <v>40</v>
      </c>
      <c r="G1942" s="76"/>
      <c r="H1942" s="76">
        <f>STOCK[[#This Row],[Precio Final]]</f>
        <v>30</v>
      </c>
      <c r="I1942" s="80">
        <f>STOCK[[#This Row],[Precio Venta Ideal (x1.5)]]</f>
        <v>28.68</v>
      </c>
      <c r="J1942" s="102">
        <v>3</v>
      </c>
      <c r="K1942" s="78">
        <f>SUMIFS(VENTAS[Cantidad],VENTAS[Código del producto Vendido],STOCK[[#This Row],[Code]])</f>
        <v>0</v>
      </c>
      <c r="L1942" s="78">
        <f>STOCK[[#This Row],[Entradas]]-STOCK[[#This Row],[Salidas]]</f>
        <v>3</v>
      </c>
      <c r="M1942" s="76">
        <f>STOCK[[#This Row],[Precio Final]]*10%</f>
        <v>3</v>
      </c>
      <c r="N1942" s="54">
        <v>0</v>
      </c>
      <c r="O1942" s="76">
        <v>0</v>
      </c>
      <c r="P1942" s="109">
        <v>13.12</v>
      </c>
      <c r="Q1942" s="76">
        <v>0</v>
      </c>
      <c r="R1942" s="78">
        <v>0</v>
      </c>
      <c r="S1942" s="110">
        <v>3</v>
      </c>
      <c r="T1942" s="76">
        <f>STOCK[[#This Row],[Costo Unitario (USD)]]+STOCK[[#This Row],[Costo Envío (USD)]]+STOCK[[#This Row],[Comisión 10%]]</f>
        <v>19.12</v>
      </c>
      <c r="U1942" s="53">
        <f>STOCK[[#This Row],[Costo total]]*1.5</f>
        <v>28.68</v>
      </c>
      <c r="V1942" s="53">
        <v>30</v>
      </c>
      <c r="W1942" s="76">
        <f>STOCK[[#This Row],[Precio Final]]-STOCK[[#This Row],[Costo total]]</f>
        <v>10.88</v>
      </c>
      <c r="X1942" s="76">
        <f>STOCK[[#This Row],[Ganancia Unitaria]]*STOCK[[#This Row],[Salidas]]</f>
        <v>0</v>
      </c>
      <c r="Y1942" s="76"/>
      <c r="Z1942" s="87"/>
      <c r="AA1942" s="54"/>
      <c r="AB1942" s="54"/>
      <c r="AC1942" s="76"/>
      <c r="AD1942" s="94"/>
    </row>
    <row r="1943" s="53" customFormat="1" ht="50" customHeight="1" spans="1:30">
      <c r="A1943" s="95" t="s">
        <v>3835</v>
      </c>
      <c r="B1943" s="83"/>
      <c r="C1943" s="53" t="s">
        <v>32</v>
      </c>
      <c r="D1943" s="84" t="s">
        <v>1190</v>
      </c>
      <c r="E1943" s="99" t="s">
        <v>3834</v>
      </c>
      <c r="F1943" s="102" t="s">
        <v>49</v>
      </c>
      <c r="G1943" s="76"/>
      <c r="H1943" s="76">
        <f>STOCK[[#This Row],[Precio Final]]</f>
        <v>30</v>
      </c>
      <c r="I1943" s="80">
        <f>STOCK[[#This Row],[Precio Venta Ideal (x1.5)]]</f>
        <v>28.68</v>
      </c>
      <c r="J1943" s="102">
        <v>2</v>
      </c>
      <c r="K1943" s="78">
        <f>SUMIFS(VENTAS[Cantidad],VENTAS[Código del producto Vendido],STOCK[[#This Row],[Code]])</f>
        <v>0</v>
      </c>
      <c r="L1943" s="78">
        <f>STOCK[[#This Row],[Entradas]]-STOCK[[#This Row],[Salidas]]</f>
        <v>2</v>
      </c>
      <c r="M1943" s="76">
        <f>STOCK[[#This Row],[Precio Final]]*10%</f>
        <v>3</v>
      </c>
      <c r="N1943" s="54">
        <v>0</v>
      </c>
      <c r="O1943" s="76">
        <v>0</v>
      </c>
      <c r="P1943" s="109">
        <v>13.12</v>
      </c>
      <c r="Q1943" s="76">
        <v>0</v>
      </c>
      <c r="R1943" s="78">
        <v>0</v>
      </c>
      <c r="S1943" s="111">
        <v>3</v>
      </c>
      <c r="T1943" s="76">
        <f>STOCK[[#This Row],[Costo Unitario (USD)]]+STOCK[[#This Row],[Costo Envío (USD)]]+STOCK[[#This Row],[Comisión 10%]]</f>
        <v>19.12</v>
      </c>
      <c r="U1943" s="53">
        <f>STOCK[[#This Row],[Costo total]]*1.5</f>
        <v>28.68</v>
      </c>
      <c r="V1943" s="53">
        <v>30</v>
      </c>
      <c r="W1943" s="76">
        <f>STOCK[[#This Row],[Precio Final]]-STOCK[[#This Row],[Costo total]]</f>
        <v>10.88</v>
      </c>
      <c r="X1943" s="76">
        <f>STOCK[[#This Row],[Ganancia Unitaria]]*STOCK[[#This Row],[Salidas]]</f>
        <v>0</v>
      </c>
      <c r="Y1943" s="76"/>
      <c r="Z1943" s="87"/>
      <c r="AA1943" s="54"/>
      <c r="AB1943" s="54"/>
      <c r="AC1943" s="76"/>
      <c r="AD1943" s="94"/>
    </row>
    <row r="1944" s="53" customFormat="1" ht="50" customHeight="1" spans="1:30">
      <c r="A1944" s="95" t="s">
        <v>3836</v>
      </c>
      <c r="B1944" s="83"/>
      <c r="C1944" s="53" t="s">
        <v>32</v>
      </c>
      <c r="D1944" s="84" t="s">
        <v>2372</v>
      </c>
      <c r="E1944" s="99" t="s">
        <v>3834</v>
      </c>
      <c r="F1944" s="102" t="s">
        <v>46</v>
      </c>
      <c r="G1944" s="76"/>
      <c r="H1944" s="76">
        <f>STOCK[[#This Row],[Precio Final]]</f>
        <v>30</v>
      </c>
      <c r="I1944" s="80">
        <f>STOCK[[#This Row],[Precio Venta Ideal (x1.5)]]</f>
        <v>28.68</v>
      </c>
      <c r="J1944" s="102">
        <v>3</v>
      </c>
      <c r="K1944" s="78">
        <f>SUMIFS(VENTAS[Cantidad],VENTAS[Código del producto Vendido],STOCK[[#This Row],[Code]])</f>
        <v>0</v>
      </c>
      <c r="L1944" s="78">
        <f>STOCK[[#This Row],[Entradas]]-STOCK[[#This Row],[Salidas]]</f>
        <v>3</v>
      </c>
      <c r="M1944" s="76">
        <f>STOCK[[#This Row],[Precio Final]]*10%</f>
        <v>3</v>
      </c>
      <c r="N1944" s="54">
        <v>0</v>
      </c>
      <c r="O1944" s="76">
        <v>0</v>
      </c>
      <c r="P1944" s="109">
        <v>13.12</v>
      </c>
      <c r="Q1944" s="76">
        <v>0</v>
      </c>
      <c r="R1944" s="78">
        <v>0</v>
      </c>
      <c r="S1944" s="110">
        <v>3</v>
      </c>
      <c r="T1944" s="76">
        <f>STOCK[[#This Row],[Costo Unitario (USD)]]+STOCK[[#This Row],[Costo Envío (USD)]]+STOCK[[#This Row],[Comisión 10%]]</f>
        <v>19.12</v>
      </c>
      <c r="U1944" s="53">
        <f>STOCK[[#This Row],[Costo total]]*1.5</f>
        <v>28.68</v>
      </c>
      <c r="V1944" s="53">
        <v>30</v>
      </c>
      <c r="W1944" s="76">
        <f>STOCK[[#This Row],[Precio Final]]-STOCK[[#This Row],[Costo total]]</f>
        <v>10.88</v>
      </c>
      <c r="X1944" s="76">
        <f>STOCK[[#This Row],[Ganancia Unitaria]]*STOCK[[#This Row],[Salidas]]</f>
        <v>0</v>
      </c>
      <c r="Y1944" s="76"/>
      <c r="Z1944" s="87"/>
      <c r="AA1944" s="54"/>
      <c r="AB1944" s="54"/>
      <c r="AC1944" s="76"/>
      <c r="AD1944" s="94"/>
    </row>
    <row r="1945" s="53" customFormat="1" ht="50" customHeight="1" spans="1:30">
      <c r="A1945" s="95" t="s">
        <v>3837</v>
      </c>
      <c r="B1945" s="83"/>
      <c r="C1945" s="53" t="s">
        <v>32</v>
      </c>
      <c r="D1945" s="84" t="s">
        <v>1190</v>
      </c>
      <c r="E1945" s="103" t="s">
        <v>3838</v>
      </c>
      <c r="F1945" s="102" t="s">
        <v>62</v>
      </c>
      <c r="G1945" s="76"/>
      <c r="H1945" s="76">
        <f>STOCK[[#This Row],[Precio Final]]</f>
        <v>12</v>
      </c>
      <c r="I1945" s="80">
        <f>STOCK[[#This Row],[Precio Venta Ideal (x1.5)]]</f>
        <v>13.485</v>
      </c>
      <c r="J1945" s="102">
        <v>3</v>
      </c>
      <c r="K1945" s="78">
        <f>SUMIFS(VENTAS[Cantidad],VENTAS[Código del producto Vendido],STOCK[[#This Row],[Code]])</f>
        <v>0</v>
      </c>
      <c r="L1945" s="78">
        <f>STOCK[[#This Row],[Entradas]]-STOCK[[#This Row],[Salidas]]</f>
        <v>3</v>
      </c>
      <c r="M1945" s="76">
        <f>STOCK[[#This Row],[Precio Final]]*10%</f>
        <v>1.2</v>
      </c>
      <c r="N1945" s="54">
        <v>0</v>
      </c>
      <c r="O1945" s="76">
        <v>0</v>
      </c>
      <c r="P1945" s="109">
        <v>4.79</v>
      </c>
      <c r="Q1945" s="76">
        <v>0</v>
      </c>
      <c r="R1945" s="78">
        <v>0</v>
      </c>
      <c r="S1945" s="111">
        <v>3</v>
      </c>
      <c r="T1945" s="76">
        <f>STOCK[[#This Row],[Costo Unitario (USD)]]+STOCK[[#This Row],[Costo Envío (USD)]]+STOCK[[#This Row],[Comisión 10%]]</f>
        <v>8.99</v>
      </c>
      <c r="U1945" s="53">
        <f>STOCK[[#This Row],[Costo total]]*1.5</f>
        <v>13.485</v>
      </c>
      <c r="V1945" s="53">
        <v>12</v>
      </c>
      <c r="W1945" s="76">
        <f>STOCK[[#This Row],[Precio Final]]-STOCK[[#This Row],[Costo total]]</f>
        <v>3.01</v>
      </c>
      <c r="X1945" s="76">
        <f>STOCK[[#This Row],[Ganancia Unitaria]]*STOCK[[#This Row],[Salidas]]</f>
        <v>0</v>
      </c>
      <c r="Y1945" s="76"/>
      <c r="Z1945" s="87"/>
      <c r="AA1945" s="54"/>
      <c r="AB1945" s="54"/>
      <c r="AC1945" s="76"/>
      <c r="AD1945" s="94"/>
    </row>
    <row r="1946" s="53" customFormat="1" ht="50" customHeight="1" spans="1:30">
      <c r="A1946" s="95" t="s">
        <v>3839</v>
      </c>
      <c r="B1946" s="83"/>
      <c r="C1946" s="53" t="s">
        <v>32</v>
      </c>
      <c r="D1946" s="84" t="s">
        <v>1190</v>
      </c>
      <c r="E1946" s="103" t="s">
        <v>3838</v>
      </c>
      <c r="F1946" s="102" t="s">
        <v>49</v>
      </c>
      <c r="G1946" s="76"/>
      <c r="H1946" s="76">
        <f>STOCK[[#This Row],[Precio Final]]</f>
        <v>12</v>
      </c>
      <c r="I1946" s="80">
        <f>STOCK[[#This Row],[Precio Venta Ideal (x1.5)]]</f>
        <v>13.485</v>
      </c>
      <c r="J1946" s="102">
        <v>3</v>
      </c>
      <c r="K1946" s="78">
        <f>SUMIFS(VENTAS[Cantidad],VENTAS[Código del producto Vendido],STOCK[[#This Row],[Code]])</f>
        <v>0</v>
      </c>
      <c r="L1946" s="78">
        <f>STOCK[[#This Row],[Entradas]]-STOCK[[#This Row],[Salidas]]</f>
        <v>3</v>
      </c>
      <c r="M1946" s="76">
        <f>STOCK[[#This Row],[Precio Final]]*10%</f>
        <v>1.2</v>
      </c>
      <c r="N1946" s="54">
        <v>0</v>
      </c>
      <c r="O1946" s="76">
        <v>0</v>
      </c>
      <c r="P1946" s="109">
        <v>4.79</v>
      </c>
      <c r="Q1946" s="76">
        <v>0</v>
      </c>
      <c r="R1946" s="78">
        <v>0</v>
      </c>
      <c r="S1946" s="110">
        <v>3</v>
      </c>
      <c r="T1946" s="76">
        <f>STOCK[[#This Row],[Costo Unitario (USD)]]+STOCK[[#This Row],[Costo Envío (USD)]]+STOCK[[#This Row],[Comisión 10%]]</f>
        <v>8.99</v>
      </c>
      <c r="U1946" s="53">
        <f>STOCK[[#This Row],[Costo total]]*1.5</f>
        <v>13.485</v>
      </c>
      <c r="V1946" s="53">
        <v>12</v>
      </c>
      <c r="W1946" s="76">
        <f>STOCK[[#This Row],[Precio Final]]-STOCK[[#This Row],[Costo total]]</f>
        <v>3.01</v>
      </c>
      <c r="X1946" s="76">
        <f>STOCK[[#This Row],[Ganancia Unitaria]]*STOCK[[#This Row],[Salidas]]</f>
        <v>0</v>
      </c>
      <c r="Y1946" s="76"/>
      <c r="Z1946" s="87"/>
      <c r="AA1946" s="54"/>
      <c r="AB1946" s="54"/>
      <c r="AC1946" s="76"/>
      <c r="AD1946" s="94"/>
    </row>
    <row r="1947" s="53" customFormat="1" ht="50" customHeight="1" spans="1:30">
      <c r="A1947" s="95" t="s">
        <v>3840</v>
      </c>
      <c r="B1947" s="83"/>
      <c r="C1947" s="53" t="s">
        <v>32</v>
      </c>
      <c r="D1947" s="84" t="s">
        <v>2372</v>
      </c>
      <c r="E1947" s="103" t="s">
        <v>3838</v>
      </c>
      <c r="F1947" s="102" t="s">
        <v>46</v>
      </c>
      <c r="G1947" s="76"/>
      <c r="H1947" s="76">
        <f>STOCK[[#This Row],[Precio Final]]</f>
        <v>12</v>
      </c>
      <c r="I1947" s="80">
        <f>STOCK[[#This Row],[Precio Venta Ideal (x1.5)]]</f>
        <v>13.485</v>
      </c>
      <c r="J1947" s="102">
        <v>3</v>
      </c>
      <c r="K1947" s="78">
        <f>SUMIFS(VENTAS[Cantidad],VENTAS[Código del producto Vendido],STOCK[[#This Row],[Code]])</f>
        <v>0</v>
      </c>
      <c r="L1947" s="78">
        <f>STOCK[[#This Row],[Entradas]]-STOCK[[#This Row],[Salidas]]</f>
        <v>3</v>
      </c>
      <c r="M1947" s="76">
        <f>STOCK[[#This Row],[Precio Final]]*10%</f>
        <v>1.2</v>
      </c>
      <c r="N1947" s="54">
        <v>0</v>
      </c>
      <c r="O1947" s="76">
        <v>0</v>
      </c>
      <c r="P1947" s="109">
        <v>4.79</v>
      </c>
      <c r="Q1947" s="76">
        <v>0</v>
      </c>
      <c r="R1947" s="78">
        <v>0</v>
      </c>
      <c r="S1947" s="111">
        <v>3</v>
      </c>
      <c r="T1947" s="76">
        <f>STOCK[[#This Row],[Costo Unitario (USD)]]+STOCK[[#This Row],[Costo Envío (USD)]]+STOCK[[#This Row],[Comisión 10%]]</f>
        <v>8.99</v>
      </c>
      <c r="U1947" s="53">
        <f>STOCK[[#This Row],[Costo total]]*1.5</f>
        <v>13.485</v>
      </c>
      <c r="V1947" s="53">
        <v>12</v>
      </c>
      <c r="W1947" s="76">
        <f>STOCK[[#This Row],[Precio Final]]-STOCK[[#This Row],[Costo total]]</f>
        <v>3.01</v>
      </c>
      <c r="X1947" s="76">
        <f>STOCK[[#This Row],[Ganancia Unitaria]]*STOCK[[#This Row],[Salidas]]</f>
        <v>0</v>
      </c>
      <c r="Y1947" s="76"/>
      <c r="Z1947" s="87"/>
      <c r="AA1947" s="54"/>
      <c r="AB1947" s="54"/>
      <c r="AC1947" s="76"/>
      <c r="AD1947" s="94"/>
    </row>
    <row r="1948" s="53" customFormat="1" ht="50" customHeight="1" spans="1:30">
      <c r="A1948" s="95" t="s">
        <v>3841</v>
      </c>
      <c r="B1948" s="83"/>
      <c r="C1948" s="53" t="s">
        <v>32</v>
      </c>
      <c r="D1948" s="84" t="s">
        <v>2372</v>
      </c>
      <c r="E1948" s="103" t="s">
        <v>3838</v>
      </c>
      <c r="F1948" s="102" t="s">
        <v>42</v>
      </c>
      <c r="G1948" s="76"/>
      <c r="H1948" s="76">
        <f>STOCK[[#This Row],[Precio Final]]</f>
        <v>12</v>
      </c>
      <c r="I1948" s="80">
        <f>STOCK[[#This Row],[Precio Venta Ideal (x1.5)]]</f>
        <v>13.485</v>
      </c>
      <c r="J1948" s="102">
        <v>3</v>
      </c>
      <c r="K1948" s="78">
        <f>SUMIFS(VENTAS[Cantidad],VENTAS[Código del producto Vendido],STOCK[[#This Row],[Code]])</f>
        <v>0</v>
      </c>
      <c r="L1948" s="78">
        <f>STOCK[[#This Row],[Entradas]]-STOCK[[#This Row],[Salidas]]</f>
        <v>3</v>
      </c>
      <c r="M1948" s="76">
        <f>STOCK[[#This Row],[Precio Final]]*10%</f>
        <v>1.2</v>
      </c>
      <c r="N1948" s="54">
        <v>0</v>
      </c>
      <c r="O1948" s="76">
        <v>0</v>
      </c>
      <c r="P1948" s="109">
        <v>4.79</v>
      </c>
      <c r="Q1948" s="76">
        <v>0</v>
      </c>
      <c r="R1948" s="78">
        <v>0</v>
      </c>
      <c r="S1948" s="110">
        <v>3</v>
      </c>
      <c r="T1948" s="76">
        <f>STOCK[[#This Row],[Costo Unitario (USD)]]+STOCK[[#This Row],[Costo Envío (USD)]]+STOCK[[#This Row],[Comisión 10%]]</f>
        <v>8.99</v>
      </c>
      <c r="U1948" s="53">
        <f>STOCK[[#This Row],[Costo total]]*1.5</f>
        <v>13.485</v>
      </c>
      <c r="V1948" s="53">
        <v>12</v>
      </c>
      <c r="W1948" s="76">
        <f>STOCK[[#This Row],[Precio Final]]-STOCK[[#This Row],[Costo total]]</f>
        <v>3.01</v>
      </c>
      <c r="X1948" s="76">
        <f>STOCK[[#This Row],[Ganancia Unitaria]]*STOCK[[#This Row],[Salidas]]</f>
        <v>0</v>
      </c>
      <c r="Y1948" s="76"/>
      <c r="Z1948" s="87"/>
      <c r="AA1948" s="54"/>
      <c r="AB1948" s="54"/>
      <c r="AC1948" s="76"/>
      <c r="AD1948" s="94"/>
    </row>
    <row r="1949" s="53" customFormat="1" ht="50" customHeight="1" spans="1:30">
      <c r="A1949" s="95" t="s">
        <v>3842</v>
      </c>
      <c r="B1949" s="83"/>
      <c r="C1949" s="53" t="s">
        <v>32</v>
      </c>
      <c r="D1949" s="84" t="s">
        <v>1212</v>
      </c>
      <c r="E1949" s="103" t="s">
        <v>3843</v>
      </c>
      <c r="F1949" s="102" t="s">
        <v>3844</v>
      </c>
      <c r="G1949" s="76"/>
      <c r="H1949" s="76">
        <f>STOCK[[#This Row],[Precio Final]]</f>
        <v>35</v>
      </c>
      <c r="I1949" s="80">
        <f>STOCK[[#This Row],[Precio Venta Ideal (x1.5)]]</f>
        <v>36.48</v>
      </c>
      <c r="J1949" s="102">
        <v>3</v>
      </c>
      <c r="K1949" s="78">
        <f>SUMIFS(VENTAS[Cantidad],VENTAS[Código del producto Vendido],STOCK[[#This Row],[Code]])</f>
        <v>0</v>
      </c>
      <c r="L1949" s="78">
        <f>STOCK[[#This Row],[Entradas]]-STOCK[[#This Row],[Salidas]]</f>
        <v>3</v>
      </c>
      <c r="M1949" s="76">
        <f>STOCK[[#This Row],[Precio Final]]*10%</f>
        <v>3.5</v>
      </c>
      <c r="N1949" s="54">
        <v>0</v>
      </c>
      <c r="O1949" s="76">
        <v>0</v>
      </c>
      <c r="P1949" s="109">
        <v>13.82</v>
      </c>
      <c r="Q1949" s="76">
        <v>0</v>
      </c>
      <c r="R1949" s="78">
        <v>0</v>
      </c>
      <c r="S1949" s="111">
        <v>7</v>
      </c>
      <c r="T1949" s="76">
        <f>STOCK[[#This Row],[Costo Unitario (USD)]]+STOCK[[#This Row],[Costo Envío (USD)]]+STOCK[[#This Row],[Comisión 10%]]</f>
        <v>24.32</v>
      </c>
      <c r="U1949" s="53">
        <f>STOCK[[#This Row],[Costo total]]*1.5</f>
        <v>36.48</v>
      </c>
      <c r="V1949" s="53">
        <v>35</v>
      </c>
      <c r="W1949" s="76">
        <f>STOCK[[#This Row],[Precio Final]]-STOCK[[#This Row],[Costo total]]</f>
        <v>10.68</v>
      </c>
      <c r="X1949" s="76">
        <f>STOCK[[#This Row],[Ganancia Unitaria]]*STOCK[[#This Row],[Salidas]]</f>
        <v>0</v>
      </c>
      <c r="Y1949" s="76"/>
      <c r="Z1949" s="87"/>
      <c r="AA1949" s="54"/>
      <c r="AB1949" s="54"/>
      <c r="AC1949" s="76"/>
      <c r="AD1949" s="94"/>
    </row>
    <row r="1950" s="53" customFormat="1" ht="50" customHeight="1" spans="1:30">
      <c r="A1950" s="95" t="s">
        <v>3845</v>
      </c>
      <c r="B1950" s="83"/>
      <c r="C1950" s="53" t="s">
        <v>32</v>
      </c>
      <c r="D1950" s="84" t="s">
        <v>1212</v>
      </c>
      <c r="E1950" s="103" t="s">
        <v>3843</v>
      </c>
      <c r="F1950" s="102" t="s">
        <v>3846</v>
      </c>
      <c r="G1950" s="76"/>
      <c r="H1950" s="76">
        <f>STOCK[[#This Row],[Precio Final]]</f>
        <v>35</v>
      </c>
      <c r="I1950" s="80">
        <f>STOCK[[#This Row],[Precio Venta Ideal (x1.5)]]</f>
        <v>36.48</v>
      </c>
      <c r="J1950" s="102">
        <v>4</v>
      </c>
      <c r="K1950" s="78">
        <f>SUMIFS(VENTAS[Cantidad],VENTAS[Código del producto Vendido],STOCK[[#This Row],[Code]])</f>
        <v>0</v>
      </c>
      <c r="L1950" s="78">
        <f>STOCK[[#This Row],[Entradas]]-STOCK[[#This Row],[Salidas]]</f>
        <v>4</v>
      </c>
      <c r="M1950" s="76">
        <f>STOCK[[#This Row],[Precio Final]]*10%</f>
        <v>3.5</v>
      </c>
      <c r="N1950" s="54">
        <v>0</v>
      </c>
      <c r="O1950" s="76">
        <v>0</v>
      </c>
      <c r="P1950" s="109">
        <v>13.82</v>
      </c>
      <c r="Q1950" s="76">
        <v>0</v>
      </c>
      <c r="R1950" s="78">
        <v>0</v>
      </c>
      <c r="S1950" s="110">
        <v>7</v>
      </c>
      <c r="T1950" s="76">
        <f>STOCK[[#This Row],[Costo Unitario (USD)]]+STOCK[[#This Row],[Costo Envío (USD)]]+STOCK[[#This Row],[Comisión 10%]]</f>
        <v>24.32</v>
      </c>
      <c r="U1950" s="53">
        <f>STOCK[[#This Row],[Costo total]]*1.5</f>
        <v>36.48</v>
      </c>
      <c r="V1950" s="53">
        <v>35</v>
      </c>
      <c r="W1950" s="76">
        <f>STOCK[[#This Row],[Precio Final]]-STOCK[[#This Row],[Costo total]]</f>
        <v>10.68</v>
      </c>
      <c r="X1950" s="76">
        <f>STOCK[[#This Row],[Ganancia Unitaria]]*STOCK[[#This Row],[Salidas]]</f>
        <v>0</v>
      </c>
      <c r="Y1950" s="76"/>
      <c r="Z1950" s="87"/>
      <c r="AA1950" s="54"/>
      <c r="AB1950" s="54"/>
      <c r="AC1950" s="76"/>
      <c r="AD1950" s="94"/>
    </row>
    <row r="1951" s="53" customFormat="1" ht="50" customHeight="1" spans="1:30">
      <c r="A1951" s="95" t="s">
        <v>3847</v>
      </c>
      <c r="B1951" s="83"/>
      <c r="C1951" s="53" t="s">
        <v>32</v>
      </c>
      <c r="D1951" s="84" t="s">
        <v>1212</v>
      </c>
      <c r="E1951" s="103" t="s">
        <v>3843</v>
      </c>
      <c r="F1951" s="102" t="s">
        <v>3848</v>
      </c>
      <c r="G1951" s="76"/>
      <c r="H1951" s="76">
        <f>STOCK[[#This Row],[Precio Final]]</f>
        <v>35</v>
      </c>
      <c r="I1951" s="80">
        <f>STOCK[[#This Row],[Precio Venta Ideal (x1.5)]]</f>
        <v>36.48</v>
      </c>
      <c r="J1951" s="102">
        <v>4</v>
      </c>
      <c r="K1951" s="78">
        <f>SUMIFS(VENTAS[Cantidad],VENTAS[Código del producto Vendido],STOCK[[#This Row],[Code]])</f>
        <v>0</v>
      </c>
      <c r="L1951" s="78">
        <f>STOCK[[#This Row],[Entradas]]-STOCK[[#This Row],[Salidas]]</f>
        <v>4</v>
      </c>
      <c r="M1951" s="76">
        <f>STOCK[[#This Row],[Precio Final]]*10%</f>
        <v>3.5</v>
      </c>
      <c r="N1951" s="54">
        <v>0</v>
      </c>
      <c r="O1951" s="76">
        <v>0</v>
      </c>
      <c r="P1951" s="109">
        <v>13.82</v>
      </c>
      <c r="Q1951" s="76">
        <v>0</v>
      </c>
      <c r="R1951" s="78">
        <v>0</v>
      </c>
      <c r="S1951" s="111">
        <v>7</v>
      </c>
      <c r="T1951" s="76">
        <f>STOCK[[#This Row],[Costo Unitario (USD)]]+STOCK[[#This Row],[Costo Envío (USD)]]+STOCK[[#This Row],[Comisión 10%]]</f>
        <v>24.32</v>
      </c>
      <c r="U1951" s="53">
        <f>STOCK[[#This Row],[Costo total]]*1.5</f>
        <v>36.48</v>
      </c>
      <c r="V1951" s="53">
        <v>35</v>
      </c>
      <c r="W1951" s="76">
        <f>STOCK[[#This Row],[Precio Final]]-STOCK[[#This Row],[Costo total]]</f>
        <v>10.68</v>
      </c>
      <c r="X1951" s="76">
        <f>STOCK[[#This Row],[Ganancia Unitaria]]*STOCK[[#This Row],[Salidas]]</f>
        <v>0</v>
      </c>
      <c r="Y1951" s="76"/>
      <c r="Z1951" s="87"/>
      <c r="AA1951" s="54"/>
      <c r="AB1951" s="54"/>
      <c r="AC1951" s="76"/>
      <c r="AD1951" s="94"/>
    </row>
    <row r="1952" s="53" customFormat="1" ht="50" customHeight="1" spans="1:30">
      <c r="A1952" s="95" t="s">
        <v>3849</v>
      </c>
      <c r="B1952" s="83"/>
      <c r="C1952" s="53" t="s">
        <v>32</v>
      </c>
      <c r="D1952" s="84" t="s">
        <v>1212</v>
      </c>
      <c r="E1952" s="103" t="s">
        <v>3843</v>
      </c>
      <c r="F1952" s="102" t="s">
        <v>3850</v>
      </c>
      <c r="G1952" s="76"/>
      <c r="H1952" s="76">
        <f>STOCK[[#This Row],[Precio Final]]</f>
        <v>35</v>
      </c>
      <c r="I1952" s="80">
        <f>STOCK[[#This Row],[Precio Venta Ideal (x1.5)]]</f>
        <v>36.48</v>
      </c>
      <c r="J1952" s="102">
        <v>4</v>
      </c>
      <c r="K1952" s="78">
        <f>SUMIFS(VENTAS[Cantidad],VENTAS[Código del producto Vendido],STOCK[[#This Row],[Code]])</f>
        <v>0</v>
      </c>
      <c r="L1952" s="78">
        <f>STOCK[[#This Row],[Entradas]]-STOCK[[#This Row],[Salidas]]</f>
        <v>4</v>
      </c>
      <c r="M1952" s="76">
        <f>STOCK[[#This Row],[Precio Final]]*10%</f>
        <v>3.5</v>
      </c>
      <c r="N1952" s="54">
        <v>0</v>
      </c>
      <c r="O1952" s="76">
        <v>0</v>
      </c>
      <c r="P1952" s="109">
        <v>13.82</v>
      </c>
      <c r="Q1952" s="76">
        <v>0</v>
      </c>
      <c r="R1952" s="78">
        <v>0</v>
      </c>
      <c r="S1952" s="110">
        <v>7</v>
      </c>
      <c r="T1952" s="76">
        <f>STOCK[[#This Row],[Costo Unitario (USD)]]+STOCK[[#This Row],[Costo Envío (USD)]]+STOCK[[#This Row],[Comisión 10%]]</f>
        <v>24.32</v>
      </c>
      <c r="U1952" s="53">
        <f>STOCK[[#This Row],[Costo total]]*1.5</f>
        <v>36.48</v>
      </c>
      <c r="V1952" s="53">
        <v>35</v>
      </c>
      <c r="W1952" s="76">
        <f>STOCK[[#This Row],[Precio Final]]-STOCK[[#This Row],[Costo total]]</f>
        <v>10.68</v>
      </c>
      <c r="X1952" s="76">
        <f>STOCK[[#This Row],[Ganancia Unitaria]]*STOCK[[#This Row],[Salidas]]</f>
        <v>0</v>
      </c>
      <c r="Y1952" s="76"/>
      <c r="Z1952" s="87"/>
      <c r="AA1952" s="54"/>
      <c r="AB1952" s="54"/>
      <c r="AC1952" s="76"/>
      <c r="AD1952" s="94"/>
    </row>
    <row r="1953" s="53" customFormat="1" ht="50" customHeight="1" spans="1:30">
      <c r="A1953" s="95" t="s">
        <v>3851</v>
      </c>
      <c r="B1953" s="83"/>
      <c r="C1953" s="53" t="s">
        <v>32</v>
      </c>
      <c r="D1953" s="84" t="s">
        <v>2118</v>
      </c>
      <c r="E1953" s="103" t="s">
        <v>3852</v>
      </c>
      <c r="F1953" s="102" t="s">
        <v>62</v>
      </c>
      <c r="G1953" s="76"/>
      <c r="H1953" s="76">
        <f>STOCK[[#This Row],[Precio Final]]</f>
        <v>28</v>
      </c>
      <c r="I1953" s="80">
        <f>STOCK[[#This Row],[Precio Venta Ideal (x1.5)]]</f>
        <v>26.88</v>
      </c>
      <c r="J1953" s="102">
        <v>3</v>
      </c>
      <c r="K1953" s="78">
        <f>SUMIFS(VENTAS[Cantidad],VENTAS[Código del producto Vendido],STOCK[[#This Row],[Code]])</f>
        <v>0</v>
      </c>
      <c r="L1953" s="78">
        <f>STOCK[[#This Row],[Entradas]]-STOCK[[#This Row],[Salidas]]</f>
        <v>3</v>
      </c>
      <c r="M1953" s="76">
        <f>STOCK[[#This Row],[Precio Final]]*10%</f>
        <v>2.8</v>
      </c>
      <c r="N1953" s="54">
        <v>0</v>
      </c>
      <c r="O1953" s="76">
        <v>0</v>
      </c>
      <c r="P1953" s="109">
        <v>10.12</v>
      </c>
      <c r="Q1953" s="76">
        <v>0</v>
      </c>
      <c r="R1953" s="78">
        <v>0</v>
      </c>
      <c r="S1953" s="111">
        <v>5</v>
      </c>
      <c r="T1953" s="76">
        <f>STOCK[[#This Row],[Costo Unitario (USD)]]+STOCK[[#This Row],[Costo Envío (USD)]]+STOCK[[#This Row],[Comisión 10%]]</f>
        <v>17.92</v>
      </c>
      <c r="U1953" s="53">
        <f>STOCK[[#This Row],[Costo total]]*1.5</f>
        <v>26.88</v>
      </c>
      <c r="V1953" s="53">
        <v>28</v>
      </c>
      <c r="W1953" s="76">
        <f>STOCK[[#This Row],[Precio Final]]-STOCK[[#This Row],[Costo total]]</f>
        <v>10.08</v>
      </c>
      <c r="X1953" s="76">
        <f>STOCK[[#This Row],[Ganancia Unitaria]]*STOCK[[#This Row],[Salidas]]</f>
        <v>0</v>
      </c>
      <c r="Y1953" s="76"/>
      <c r="Z1953" s="87"/>
      <c r="AA1953" s="54"/>
      <c r="AB1953" s="54"/>
      <c r="AC1953" s="76"/>
      <c r="AD1953" s="94"/>
    </row>
    <row r="1954" s="53" customFormat="1" ht="50" customHeight="1" spans="1:30">
      <c r="A1954" s="95" t="s">
        <v>3853</v>
      </c>
      <c r="B1954" s="83"/>
      <c r="C1954" s="53" t="s">
        <v>32</v>
      </c>
      <c r="D1954" s="84" t="s">
        <v>2118</v>
      </c>
      <c r="E1954" s="103" t="s">
        <v>3852</v>
      </c>
      <c r="F1954" s="102" t="s">
        <v>49</v>
      </c>
      <c r="G1954" s="76"/>
      <c r="H1954" s="76">
        <f>STOCK[[#This Row],[Precio Final]]</f>
        <v>28</v>
      </c>
      <c r="I1954" s="80">
        <f>STOCK[[#This Row],[Precio Venta Ideal (x1.5)]]</f>
        <v>26.88</v>
      </c>
      <c r="J1954" s="102">
        <v>3</v>
      </c>
      <c r="K1954" s="78">
        <f>SUMIFS(VENTAS[Cantidad],VENTAS[Código del producto Vendido],STOCK[[#This Row],[Code]])</f>
        <v>0</v>
      </c>
      <c r="L1954" s="78">
        <f>STOCK[[#This Row],[Entradas]]-STOCK[[#This Row],[Salidas]]</f>
        <v>3</v>
      </c>
      <c r="M1954" s="76">
        <f>STOCK[[#This Row],[Precio Final]]*10%</f>
        <v>2.8</v>
      </c>
      <c r="N1954" s="54">
        <v>0</v>
      </c>
      <c r="O1954" s="76">
        <v>0</v>
      </c>
      <c r="P1954" s="109">
        <v>10.12</v>
      </c>
      <c r="Q1954" s="76">
        <v>0</v>
      </c>
      <c r="R1954" s="78">
        <v>0</v>
      </c>
      <c r="S1954" s="110">
        <v>5</v>
      </c>
      <c r="T1954" s="76">
        <f>STOCK[[#This Row],[Costo Unitario (USD)]]+STOCK[[#This Row],[Costo Envío (USD)]]+STOCK[[#This Row],[Comisión 10%]]</f>
        <v>17.92</v>
      </c>
      <c r="U1954" s="53">
        <f>STOCK[[#This Row],[Costo total]]*1.5</f>
        <v>26.88</v>
      </c>
      <c r="V1954" s="53">
        <v>28</v>
      </c>
      <c r="W1954" s="76">
        <f>STOCK[[#This Row],[Precio Final]]-STOCK[[#This Row],[Costo total]]</f>
        <v>10.08</v>
      </c>
      <c r="X1954" s="76">
        <f>STOCK[[#This Row],[Ganancia Unitaria]]*STOCK[[#This Row],[Salidas]]</f>
        <v>0</v>
      </c>
      <c r="Y1954" s="76"/>
      <c r="Z1954" s="87"/>
      <c r="AA1954" s="54"/>
      <c r="AB1954" s="54"/>
      <c r="AC1954" s="76"/>
      <c r="AD1954" s="94"/>
    </row>
    <row r="1955" s="53" customFormat="1" ht="50" customHeight="1" spans="1:30">
      <c r="A1955" s="95" t="s">
        <v>3854</v>
      </c>
      <c r="B1955" s="83"/>
      <c r="C1955" s="53" t="s">
        <v>32</v>
      </c>
      <c r="D1955" s="84" t="s">
        <v>2118</v>
      </c>
      <c r="E1955" s="103" t="s">
        <v>3852</v>
      </c>
      <c r="F1955" s="102" t="s">
        <v>46</v>
      </c>
      <c r="G1955" s="76"/>
      <c r="H1955" s="76">
        <f>STOCK[[#This Row],[Precio Final]]</f>
        <v>28</v>
      </c>
      <c r="I1955" s="80">
        <f>STOCK[[#This Row],[Precio Venta Ideal (x1.5)]]</f>
        <v>25.38</v>
      </c>
      <c r="J1955" s="102">
        <v>3</v>
      </c>
      <c r="K1955" s="78">
        <f>SUMIFS(VENTAS[Cantidad],VENTAS[Código del producto Vendido],STOCK[[#This Row],[Code]])</f>
        <v>0</v>
      </c>
      <c r="L1955" s="78">
        <f>STOCK[[#This Row],[Entradas]]-STOCK[[#This Row],[Salidas]]</f>
        <v>3</v>
      </c>
      <c r="M1955" s="76">
        <f>STOCK[[#This Row],[Precio Final]]*10%</f>
        <v>2.8</v>
      </c>
      <c r="N1955" s="54">
        <v>0</v>
      </c>
      <c r="O1955" s="76">
        <v>0</v>
      </c>
      <c r="P1955" s="109">
        <v>10.12</v>
      </c>
      <c r="Q1955" s="76">
        <v>0</v>
      </c>
      <c r="R1955" s="78">
        <v>0</v>
      </c>
      <c r="S1955" s="111">
        <v>4</v>
      </c>
      <c r="T1955" s="76">
        <f>STOCK[[#This Row],[Costo Unitario (USD)]]+STOCK[[#This Row],[Costo Envío (USD)]]+STOCK[[#This Row],[Comisión 10%]]</f>
        <v>16.92</v>
      </c>
      <c r="U1955" s="53">
        <f>STOCK[[#This Row],[Costo total]]*1.5</f>
        <v>25.38</v>
      </c>
      <c r="V1955" s="53">
        <v>28</v>
      </c>
      <c r="W1955" s="76">
        <f>STOCK[[#This Row],[Precio Final]]-STOCK[[#This Row],[Costo total]]</f>
        <v>11.08</v>
      </c>
      <c r="X1955" s="76">
        <f>STOCK[[#This Row],[Ganancia Unitaria]]*STOCK[[#This Row],[Salidas]]</f>
        <v>0</v>
      </c>
      <c r="Y1955" s="76"/>
      <c r="Z1955" s="87"/>
      <c r="AA1955" s="54"/>
      <c r="AB1955" s="54"/>
      <c r="AC1955" s="76"/>
      <c r="AD1955" s="94"/>
    </row>
    <row r="1956" s="53" customFormat="1" ht="50" customHeight="1" spans="1:30">
      <c r="A1956" s="95" t="s">
        <v>3855</v>
      </c>
      <c r="B1956" s="83"/>
      <c r="C1956" s="53" t="s">
        <v>32</v>
      </c>
      <c r="D1956" s="84" t="s">
        <v>2897</v>
      </c>
      <c r="E1956" s="103" t="s">
        <v>3856</v>
      </c>
      <c r="F1956" s="102" t="s">
        <v>62</v>
      </c>
      <c r="G1956" s="76"/>
      <c r="H1956" s="76">
        <f>STOCK[[#This Row],[Precio Final]]</f>
        <v>3</v>
      </c>
      <c r="I1956" s="80">
        <f>STOCK[[#This Row],[Precio Venta Ideal (x1.5)]]</f>
        <v>2.625</v>
      </c>
      <c r="J1956" s="102">
        <v>2</v>
      </c>
      <c r="K1956" s="78">
        <f>SUMIFS(VENTAS[Cantidad],VENTAS[Código del producto Vendido],STOCK[[#This Row],[Code]])</f>
        <v>0</v>
      </c>
      <c r="L1956" s="78">
        <f>STOCK[[#This Row],[Entradas]]-STOCK[[#This Row],[Salidas]]</f>
        <v>2</v>
      </c>
      <c r="M1956" s="76">
        <f>STOCK[[#This Row],[Precio Final]]*10%</f>
        <v>0.3</v>
      </c>
      <c r="N1956" s="54">
        <v>0</v>
      </c>
      <c r="O1956" s="76">
        <v>0</v>
      </c>
      <c r="P1956" s="109">
        <v>0.95</v>
      </c>
      <c r="Q1956" s="76">
        <v>0</v>
      </c>
      <c r="R1956" s="78">
        <v>0</v>
      </c>
      <c r="S1956" s="110">
        <v>0.5</v>
      </c>
      <c r="T1956" s="76">
        <f>STOCK[[#This Row],[Costo Unitario (USD)]]+STOCK[[#This Row],[Costo Envío (USD)]]+STOCK[[#This Row],[Comisión 10%]]</f>
        <v>1.75</v>
      </c>
      <c r="U1956" s="53">
        <f>STOCK[[#This Row],[Costo total]]*1.5</f>
        <v>2.625</v>
      </c>
      <c r="V1956" s="53">
        <v>3</v>
      </c>
      <c r="W1956" s="76">
        <f>STOCK[[#This Row],[Precio Final]]-STOCK[[#This Row],[Costo total]]</f>
        <v>1.25</v>
      </c>
      <c r="X1956" s="76">
        <f>STOCK[[#This Row],[Ganancia Unitaria]]*STOCK[[#This Row],[Salidas]]</f>
        <v>0</v>
      </c>
      <c r="Y1956" s="76"/>
      <c r="Z1956" s="87"/>
      <c r="AA1956" s="54"/>
      <c r="AB1956" s="54"/>
      <c r="AC1956" s="76"/>
      <c r="AD1956" s="94"/>
    </row>
    <row r="1957" s="53" customFormat="1" ht="50" customHeight="1" spans="1:30">
      <c r="A1957" s="95" t="s">
        <v>3857</v>
      </c>
      <c r="B1957" s="83"/>
      <c r="C1957" s="53" t="s">
        <v>32</v>
      </c>
      <c r="D1957" s="84" t="s">
        <v>2897</v>
      </c>
      <c r="E1957" s="103" t="s">
        <v>3856</v>
      </c>
      <c r="F1957" s="102" t="s">
        <v>49</v>
      </c>
      <c r="G1957" s="76"/>
      <c r="H1957" s="76">
        <f>STOCK[[#This Row],[Precio Final]]</f>
        <v>3</v>
      </c>
      <c r="I1957" s="80">
        <f>STOCK[[#This Row],[Precio Venta Ideal (x1.5)]]</f>
        <v>2.625</v>
      </c>
      <c r="J1957" s="102">
        <v>3</v>
      </c>
      <c r="K1957" s="78">
        <f>SUMIFS(VENTAS[Cantidad],VENTAS[Código del producto Vendido],STOCK[[#This Row],[Code]])</f>
        <v>0</v>
      </c>
      <c r="L1957" s="78">
        <f>STOCK[[#This Row],[Entradas]]-STOCK[[#This Row],[Salidas]]</f>
        <v>3</v>
      </c>
      <c r="M1957" s="76">
        <f>STOCK[[#This Row],[Precio Final]]*10%</f>
        <v>0.3</v>
      </c>
      <c r="N1957" s="54">
        <v>0</v>
      </c>
      <c r="O1957" s="76">
        <v>0</v>
      </c>
      <c r="P1957" s="109">
        <v>0.95</v>
      </c>
      <c r="Q1957" s="76">
        <v>0</v>
      </c>
      <c r="R1957" s="78">
        <v>0</v>
      </c>
      <c r="S1957" s="111">
        <v>0.5</v>
      </c>
      <c r="T1957" s="76">
        <f>STOCK[[#This Row],[Costo Unitario (USD)]]+STOCK[[#This Row],[Costo Envío (USD)]]+STOCK[[#This Row],[Comisión 10%]]</f>
        <v>1.75</v>
      </c>
      <c r="U1957" s="53">
        <f>STOCK[[#This Row],[Costo total]]*1.5</f>
        <v>2.625</v>
      </c>
      <c r="V1957" s="53">
        <v>3</v>
      </c>
      <c r="W1957" s="76">
        <f>STOCK[[#This Row],[Precio Final]]-STOCK[[#This Row],[Costo total]]</f>
        <v>1.25</v>
      </c>
      <c r="X1957" s="76">
        <f>STOCK[[#This Row],[Ganancia Unitaria]]*STOCK[[#This Row],[Salidas]]</f>
        <v>0</v>
      </c>
      <c r="Y1957" s="76"/>
      <c r="Z1957" s="87"/>
      <c r="AA1957" s="54"/>
      <c r="AB1957" s="54"/>
      <c r="AC1957" s="76"/>
      <c r="AD1957" s="94"/>
    </row>
    <row r="1958" s="53" customFormat="1" ht="50" customHeight="1" spans="1:30">
      <c r="A1958" s="95" t="s">
        <v>3858</v>
      </c>
      <c r="B1958" s="83"/>
      <c r="C1958" s="53" t="s">
        <v>32</v>
      </c>
      <c r="D1958" s="84" t="s">
        <v>2897</v>
      </c>
      <c r="E1958" s="103" t="s">
        <v>3856</v>
      </c>
      <c r="F1958" s="102" t="s">
        <v>46</v>
      </c>
      <c r="G1958" s="76"/>
      <c r="H1958" s="76">
        <f>STOCK[[#This Row],[Precio Final]]</f>
        <v>3</v>
      </c>
      <c r="I1958" s="80">
        <f>STOCK[[#This Row],[Precio Venta Ideal (x1.5)]]</f>
        <v>2.625</v>
      </c>
      <c r="J1958" s="102">
        <v>3</v>
      </c>
      <c r="K1958" s="78">
        <f>SUMIFS(VENTAS[Cantidad],VENTAS[Código del producto Vendido],STOCK[[#This Row],[Code]])</f>
        <v>0</v>
      </c>
      <c r="L1958" s="78">
        <f>STOCK[[#This Row],[Entradas]]-STOCK[[#This Row],[Salidas]]</f>
        <v>3</v>
      </c>
      <c r="M1958" s="76">
        <f>STOCK[[#This Row],[Precio Final]]*10%</f>
        <v>0.3</v>
      </c>
      <c r="N1958" s="54">
        <v>0</v>
      </c>
      <c r="O1958" s="76">
        <v>0</v>
      </c>
      <c r="P1958" s="109">
        <v>0.95</v>
      </c>
      <c r="Q1958" s="76">
        <v>0</v>
      </c>
      <c r="R1958" s="78">
        <v>0</v>
      </c>
      <c r="S1958" s="110">
        <v>0.5</v>
      </c>
      <c r="T1958" s="76">
        <f>STOCK[[#This Row],[Costo Unitario (USD)]]+STOCK[[#This Row],[Costo Envío (USD)]]+STOCK[[#This Row],[Comisión 10%]]</f>
        <v>1.75</v>
      </c>
      <c r="U1958" s="53">
        <f>STOCK[[#This Row],[Costo total]]*1.5</f>
        <v>2.625</v>
      </c>
      <c r="V1958" s="53">
        <v>3</v>
      </c>
      <c r="W1958" s="76">
        <f>STOCK[[#This Row],[Precio Final]]-STOCK[[#This Row],[Costo total]]</f>
        <v>1.25</v>
      </c>
      <c r="X1958" s="76">
        <f>STOCK[[#This Row],[Ganancia Unitaria]]*STOCK[[#This Row],[Salidas]]</f>
        <v>0</v>
      </c>
      <c r="Y1958" s="76"/>
      <c r="Z1958" s="87"/>
      <c r="AA1958" s="54"/>
      <c r="AB1958" s="54"/>
      <c r="AC1958" s="76"/>
      <c r="AD1958" s="94"/>
    </row>
    <row r="1959" s="53" customFormat="1" ht="50" customHeight="1" spans="1:30">
      <c r="A1959" s="95" t="s">
        <v>3859</v>
      </c>
      <c r="B1959" s="83"/>
      <c r="C1959" s="53" t="s">
        <v>32</v>
      </c>
      <c r="D1959" s="84" t="s">
        <v>2897</v>
      </c>
      <c r="E1959" s="103" t="s">
        <v>3856</v>
      </c>
      <c r="F1959" s="102" t="s">
        <v>42</v>
      </c>
      <c r="G1959" s="76"/>
      <c r="H1959" s="76">
        <f>STOCK[[#This Row],[Precio Final]]</f>
        <v>3</v>
      </c>
      <c r="I1959" s="80">
        <f>STOCK[[#This Row],[Precio Venta Ideal (x1.5)]]</f>
        <v>2.625</v>
      </c>
      <c r="J1959" s="102">
        <v>3</v>
      </c>
      <c r="K1959" s="78">
        <f>SUMIFS(VENTAS[Cantidad],VENTAS[Código del producto Vendido],STOCK[[#This Row],[Code]])</f>
        <v>0</v>
      </c>
      <c r="L1959" s="78">
        <f>STOCK[[#This Row],[Entradas]]-STOCK[[#This Row],[Salidas]]</f>
        <v>3</v>
      </c>
      <c r="M1959" s="76">
        <f>STOCK[[#This Row],[Precio Final]]*10%</f>
        <v>0.3</v>
      </c>
      <c r="N1959" s="54">
        <v>0</v>
      </c>
      <c r="O1959" s="76">
        <v>0</v>
      </c>
      <c r="P1959" s="109">
        <v>0.95</v>
      </c>
      <c r="Q1959" s="76">
        <v>0</v>
      </c>
      <c r="R1959" s="78">
        <v>0</v>
      </c>
      <c r="S1959" s="111">
        <v>0.5</v>
      </c>
      <c r="T1959" s="76">
        <f>STOCK[[#This Row],[Costo Unitario (USD)]]+STOCK[[#This Row],[Costo Envío (USD)]]+STOCK[[#This Row],[Comisión 10%]]</f>
        <v>1.75</v>
      </c>
      <c r="U1959" s="53">
        <f>STOCK[[#This Row],[Costo total]]*1.5</f>
        <v>2.625</v>
      </c>
      <c r="V1959" s="53">
        <v>3</v>
      </c>
      <c r="W1959" s="76">
        <f>STOCK[[#This Row],[Precio Final]]-STOCK[[#This Row],[Costo total]]</f>
        <v>1.25</v>
      </c>
      <c r="X1959" s="76">
        <f>STOCK[[#This Row],[Ganancia Unitaria]]*STOCK[[#This Row],[Salidas]]</f>
        <v>0</v>
      </c>
      <c r="Y1959" s="76"/>
      <c r="Z1959" s="87"/>
      <c r="AA1959" s="54"/>
      <c r="AB1959" s="54"/>
      <c r="AC1959" s="76"/>
      <c r="AD1959" s="94"/>
    </row>
    <row r="1960" s="53" customFormat="1" ht="50" customHeight="1" spans="1:30">
      <c r="A1960" s="95" t="s">
        <v>3860</v>
      </c>
      <c r="B1960" s="83"/>
      <c r="C1960" s="53" t="s">
        <v>32</v>
      </c>
      <c r="D1960" s="84" t="s">
        <v>2897</v>
      </c>
      <c r="E1960" s="103" t="s">
        <v>3856</v>
      </c>
      <c r="F1960" s="102" t="s">
        <v>281</v>
      </c>
      <c r="G1960" s="76"/>
      <c r="H1960" s="76">
        <f>STOCK[[#This Row],[Precio Final]]</f>
        <v>3</v>
      </c>
      <c r="I1960" s="80">
        <f>STOCK[[#This Row],[Precio Venta Ideal (x1.5)]]</f>
        <v>2.625</v>
      </c>
      <c r="J1960" s="102">
        <v>3</v>
      </c>
      <c r="K1960" s="78">
        <f>SUMIFS(VENTAS[Cantidad],VENTAS[Código del producto Vendido],STOCK[[#This Row],[Code]])</f>
        <v>0</v>
      </c>
      <c r="L1960" s="78">
        <f>STOCK[[#This Row],[Entradas]]-STOCK[[#This Row],[Salidas]]</f>
        <v>3</v>
      </c>
      <c r="M1960" s="76">
        <f>STOCK[[#This Row],[Precio Final]]*10%</f>
        <v>0.3</v>
      </c>
      <c r="N1960" s="54">
        <v>0</v>
      </c>
      <c r="O1960" s="76">
        <v>0</v>
      </c>
      <c r="P1960" s="109">
        <v>0.95</v>
      </c>
      <c r="Q1960" s="76">
        <v>0</v>
      </c>
      <c r="R1960" s="78">
        <v>0</v>
      </c>
      <c r="S1960" s="110">
        <v>0.5</v>
      </c>
      <c r="T1960" s="76">
        <f>STOCK[[#This Row],[Costo Unitario (USD)]]+STOCK[[#This Row],[Costo Envío (USD)]]+STOCK[[#This Row],[Comisión 10%]]</f>
        <v>1.75</v>
      </c>
      <c r="U1960" s="53">
        <f>STOCK[[#This Row],[Costo total]]*1.5</f>
        <v>2.625</v>
      </c>
      <c r="V1960" s="53">
        <v>3</v>
      </c>
      <c r="W1960" s="76">
        <f>STOCK[[#This Row],[Precio Final]]-STOCK[[#This Row],[Costo total]]</f>
        <v>1.25</v>
      </c>
      <c r="X1960" s="76">
        <f>STOCK[[#This Row],[Ganancia Unitaria]]*STOCK[[#This Row],[Salidas]]</f>
        <v>0</v>
      </c>
      <c r="Y1960" s="76"/>
      <c r="Z1960" s="87"/>
      <c r="AA1960" s="54"/>
      <c r="AB1960" s="54"/>
      <c r="AC1960" s="76"/>
      <c r="AD1960" s="94"/>
    </row>
    <row r="1961" s="53" customFormat="1" ht="50" customHeight="1" spans="1:30">
      <c r="A1961" s="95" t="s">
        <v>3861</v>
      </c>
      <c r="B1961" s="83"/>
      <c r="C1961" s="53" t="s">
        <v>32</v>
      </c>
      <c r="D1961" s="84" t="s">
        <v>2897</v>
      </c>
      <c r="E1961" s="103" t="s">
        <v>3862</v>
      </c>
      <c r="F1961" s="102" t="s">
        <v>62</v>
      </c>
      <c r="G1961" s="76"/>
      <c r="H1961" s="76">
        <f>STOCK[[#This Row],[Precio Final]]</f>
        <v>3</v>
      </c>
      <c r="I1961" s="80">
        <f>STOCK[[#This Row],[Precio Venta Ideal (x1.5)]]</f>
        <v>2.625</v>
      </c>
      <c r="J1961" s="102">
        <v>2</v>
      </c>
      <c r="K1961" s="78">
        <f>SUMIFS(VENTAS[Cantidad],VENTAS[Código del producto Vendido],STOCK[[#This Row],[Code]])</f>
        <v>0</v>
      </c>
      <c r="L1961" s="78">
        <f>STOCK[[#This Row],[Entradas]]-STOCK[[#This Row],[Salidas]]</f>
        <v>2</v>
      </c>
      <c r="M1961" s="76">
        <f>STOCK[[#This Row],[Precio Final]]*10%</f>
        <v>0.3</v>
      </c>
      <c r="N1961" s="54">
        <v>0</v>
      </c>
      <c r="O1961" s="76">
        <v>0</v>
      </c>
      <c r="P1961" s="109">
        <v>0.95</v>
      </c>
      <c r="Q1961" s="76">
        <v>0</v>
      </c>
      <c r="R1961" s="78">
        <v>0</v>
      </c>
      <c r="S1961" s="111">
        <v>0.5</v>
      </c>
      <c r="T1961" s="76">
        <f>STOCK[[#This Row],[Costo Unitario (USD)]]+STOCK[[#This Row],[Costo Envío (USD)]]+STOCK[[#This Row],[Comisión 10%]]</f>
        <v>1.75</v>
      </c>
      <c r="U1961" s="53">
        <f>STOCK[[#This Row],[Costo total]]*1.5</f>
        <v>2.625</v>
      </c>
      <c r="V1961" s="53">
        <v>3</v>
      </c>
      <c r="W1961" s="76">
        <f>STOCK[[#This Row],[Precio Final]]-STOCK[[#This Row],[Costo total]]</f>
        <v>1.25</v>
      </c>
      <c r="X1961" s="76">
        <f>STOCK[[#This Row],[Ganancia Unitaria]]*STOCK[[#This Row],[Salidas]]</f>
        <v>0</v>
      </c>
      <c r="Y1961" s="76"/>
      <c r="Z1961" s="87"/>
      <c r="AA1961" s="54"/>
      <c r="AB1961" s="54"/>
      <c r="AC1961" s="76"/>
      <c r="AD1961" s="94"/>
    </row>
    <row r="1962" s="53" customFormat="1" ht="50" customHeight="1" spans="1:30">
      <c r="A1962" s="95" t="s">
        <v>3863</v>
      </c>
      <c r="B1962" s="83"/>
      <c r="C1962" s="53" t="s">
        <v>32</v>
      </c>
      <c r="D1962" s="84" t="s">
        <v>2897</v>
      </c>
      <c r="E1962" s="103" t="s">
        <v>3862</v>
      </c>
      <c r="F1962" s="102" t="s">
        <v>49</v>
      </c>
      <c r="G1962" s="76"/>
      <c r="H1962" s="76">
        <f>STOCK[[#This Row],[Precio Final]]</f>
        <v>3</v>
      </c>
      <c r="I1962" s="80">
        <f>STOCK[[#This Row],[Precio Venta Ideal (x1.5)]]</f>
        <v>2.625</v>
      </c>
      <c r="J1962" s="102">
        <v>3</v>
      </c>
      <c r="K1962" s="78">
        <f>SUMIFS(VENTAS[Cantidad],VENTAS[Código del producto Vendido],STOCK[[#This Row],[Code]])</f>
        <v>0</v>
      </c>
      <c r="L1962" s="78">
        <f>STOCK[[#This Row],[Entradas]]-STOCK[[#This Row],[Salidas]]</f>
        <v>3</v>
      </c>
      <c r="M1962" s="76">
        <f>STOCK[[#This Row],[Precio Final]]*10%</f>
        <v>0.3</v>
      </c>
      <c r="N1962" s="54">
        <v>0</v>
      </c>
      <c r="O1962" s="76">
        <v>0</v>
      </c>
      <c r="P1962" s="109">
        <v>0.95</v>
      </c>
      <c r="Q1962" s="76">
        <v>0</v>
      </c>
      <c r="R1962" s="78">
        <v>0</v>
      </c>
      <c r="S1962" s="110">
        <v>0.5</v>
      </c>
      <c r="T1962" s="76">
        <f>STOCK[[#This Row],[Costo Unitario (USD)]]+STOCK[[#This Row],[Costo Envío (USD)]]+STOCK[[#This Row],[Comisión 10%]]</f>
        <v>1.75</v>
      </c>
      <c r="U1962" s="53">
        <f>STOCK[[#This Row],[Costo total]]*1.5</f>
        <v>2.625</v>
      </c>
      <c r="V1962" s="53">
        <v>3</v>
      </c>
      <c r="W1962" s="76">
        <f>STOCK[[#This Row],[Precio Final]]-STOCK[[#This Row],[Costo total]]</f>
        <v>1.25</v>
      </c>
      <c r="X1962" s="76">
        <f>STOCK[[#This Row],[Ganancia Unitaria]]*STOCK[[#This Row],[Salidas]]</f>
        <v>0</v>
      </c>
      <c r="Y1962" s="76"/>
      <c r="Z1962" s="87"/>
      <c r="AA1962" s="54"/>
      <c r="AB1962" s="54"/>
      <c r="AC1962" s="76"/>
      <c r="AD1962" s="94"/>
    </row>
    <row r="1963" s="53" customFormat="1" ht="50" customHeight="1" spans="1:30">
      <c r="A1963" s="95" t="s">
        <v>3864</v>
      </c>
      <c r="B1963" s="83"/>
      <c r="C1963" s="53" t="s">
        <v>32</v>
      </c>
      <c r="D1963" s="84" t="s">
        <v>2897</v>
      </c>
      <c r="E1963" s="103" t="s">
        <v>3862</v>
      </c>
      <c r="F1963" s="102" t="s">
        <v>46</v>
      </c>
      <c r="G1963" s="76"/>
      <c r="H1963" s="76">
        <f>STOCK[[#This Row],[Precio Final]]</f>
        <v>3</v>
      </c>
      <c r="I1963" s="80">
        <f>STOCK[[#This Row],[Precio Venta Ideal (x1.5)]]</f>
        <v>2.625</v>
      </c>
      <c r="J1963" s="102">
        <v>3</v>
      </c>
      <c r="K1963" s="78">
        <f>SUMIFS(VENTAS[Cantidad],VENTAS[Código del producto Vendido],STOCK[[#This Row],[Code]])</f>
        <v>0</v>
      </c>
      <c r="L1963" s="78">
        <f>STOCK[[#This Row],[Entradas]]-STOCK[[#This Row],[Salidas]]</f>
        <v>3</v>
      </c>
      <c r="M1963" s="76">
        <f>STOCK[[#This Row],[Precio Final]]*10%</f>
        <v>0.3</v>
      </c>
      <c r="N1963" s="54">
        <v>0</v>
      </c>
      <c r="O1963" s="76">
        <v>0</v>
      </c>
      <c r="P1963" s="109">
        <v>0.95</v>
      </c>
      <c r="Q1963" s="76">
        <v>0</v>
      </c>
      <c r="R1963" s="78">
        <v>0</v>
      </c>
      <c r="S1963" s="111">
        <v>0.5</v>
      </c>
      <c r="T1963" s="76">
        <f>STOCK[[#This Row],[Costo Unitario (USD)]]+STOCK[[#This Row],[Costo Envío (USD)]]+STOCK[[#This Row],[Comisión 10%]]</f>
        <v>1.75</v>
      </c>
      <c r="U1963" s="53">
        <f>STOCK[[#This Row],[Costo total]]*1.5</f>
        <v>2.625</v>
      </c>
      <c r="V1963" s="53">
        <v>3</v>
      </c>
      <c r="W1963" s="76">
        <f>STOCK[[#This Row],[Precio Final]]-STOCK[[#This Row],[Costo total]]</f>
        <v>1.25</v>
      </c>
      <c r="X1963" s="76">
        <f>STOCK[[#This Row],[Ganancia Unitaria]]*STOCK[[#This Row],[Salidas]]</f>
        <v>0</v>
      </c>
      <c r="Y1963" s="76"/>
      <c r="Z1963" s="87"/>
      <c r="AA1963" s="54"/>
      <c r="AB1963" s="54"/>
      <c r="AC1963" s="76"/>
      <c r="AD1963" s="94"/>
    </row>
    <row r="1964" s="53" customFormat="1" ht="50" customHeight="1" spans="1:30">
      <c r="A1964" s="95" t="s">
        <v>3865</v>
      </c>
      <c r="B1964" s="83"/>
      <c r="C1964" s="53" t="s">
        <v>32</v>
      </c>
      <c r="D1964" s="84" t="s">
        <v>2897</v>
      </c>
      <c r="E1964" s="103" t="s">
        <v>3862</v>
      </c>
      <c r="F1964" s="102" t="s">
        <v>42</v>
      </c>
      <c r="G1964" s="76"/>
      <c r="H1964" s="76">
        <f>STOCK[[#This Row],[Precio Final]]</f>
        <v>3</v>
      </c>
      <c r="I1964" s="80">
        <f>STOCK[[#This Row],[Precio Venta Ideal (x1.5)]]</f>
        <v>2.625</v>
      </c>
      <c r="J1964" s="102">
        <v>3</v>
      </c>
      <c r="K1964" s="78">
        <f>SUMIFS(VENTAS[Cantidad],VENTAS[Código del producto Vendido],STOCK[[#This Row],[Code]])</f>
        <v>0</v>
      </c>
      <c r="L1964" s="78">
        <f>STOCK[[#This Row],[Entradas]]-STOCK[[#This Row],[Salidas]]</f>
        <v>3</v>
      </c>
      <c r="M1964" s="76">
        <f>STOCK[[#This Row],[Precio Final]]*10%</f>
        <v>0.3</v>
      </c>
      <c r="N1964" s="54">
        <v>0</v>
      </c>
      <c r="O1964" s="76">
        <v>0</v>
      </c>
      <c r="P1964" s="109">
        <v>0.95</v>
      </c>
      <c r="Q1964" s="76">
        <v>0</v>
      </c>
      <c r="R1964" s="78">
        <v>0</v>
      </c>
      <c r="S1964" s="110">
        <v>0.5</v>
      </c>
      <c r="T1964" s="76">
        <f>STOCK[[#This Row],[Costo Unitario (USD)]]+STOCK[[#This Row],[Costo Envío (USD)]]+STOCK[[#This Row],[Comisión 10%]]</f>
        <v>1.75</v>
      </c>
      <c r="U1964" s="53">
        <f>STOCK[[#This Row],[Costo total]]*1.5</f>
        <v>2.625</v>
      </c>
      <c r="V1964" s="53">
        <v>3</v>
      </c>
      <c r="W1964" s="76">
        <f>STOCK[[#This Row],[Precio Final]]-STOCK[[#This Row],[Costo total]]</f>
        <v>1.25</v>
      </c>
      <c r="X1964" s="76">
        <f>STOCK[[#This Row],[Ganancia Unitaria]]*STOCK[[#This Row],[Salidas]]</f>
        <v>0</v>
      </c>
      <c r="Y1964" s="76"/>
      <c r="Z1964" s="87"/>
      <c r="AA1964" s="54"/>
      <c r="AB1964" s="54"/>
      <c r="AC1964" s="76"/>
      <c r="AD1964" s="94"/>
    </row>
    <row r="1965" s="53" customFormat="1" ht="50" customHeight="1" spans="1:30">
      <c r="A1965" s="95" t="s">
        <v>3866</v>
      </c>
      <c r="B1965" s="83"/>
      <c r="C1965" s="53" t="s">
        <v>32</v>
      </c>
      <c r="D1965" s="84" t="s">
        <v>2897</v>
      </c>
      <c r="E1965" s="103" t="s">
        <v>3862</v>
      </c>
      <c r="F1965" s="102" t="s">
        <v>281</v>
      </c>
      <c r="G1965" s="76"/>
      <c r="H1965" s="76">
        <f>STOCK[[#This Row],[Precio Final]]</f>
        <v>3</v>
      </c>
      <c r="I1965" s="80">
        <f>STOCK[[#This Row],[Precio Venta Ideal (x1.5)]]</f>
        <v>2.625</v>
      </c>
      <c r="J1965" s="102">
        <v>3</v>
      </c>
      <c r="K1965" s="78">
        <f>SUMIFS(VENTAS[Cantidad],VENTAS[Código del producto Vendido],STOCK[[#This Row],[Code]])</f>
        <v>0</v>
      </c>
      <c r="L1965" s="78">
        <f>STOCK[[#This Row],[Entradas]]-STOCK[[#This Row],[Salidas]]</f>
        <v>3</v>
      </c>
      <c r="M1965" s="76">
        <f>STOCK[[#This Row],[Precio Final]]*10%</f>
        <v>0.3</v>
      </c>
      <c r="N1965" s="54">
        <v>0</v>
      </c>
      <c r="O1965" s="76">
        <v>0</v>
      </c>
      <c r="P1965" s="109">
        <v>0.95</v>
      </c>
      <c r="Q1965" s="76">
        <v>0</v>
      </c>
      <c r="R1965" s="78">
        <v>0</v>
      </c>
      <c r="S1965" s="111">
        <v>0.5</v>
      </c>
      <c r="T1965" s="76">
        <f>STOCK[[#This Row],[Costo Unitario (USD)]]+STOCK[[#This Row],[Costo Envío (USD)]]+STOCK[[#This Row],[Comisión 10%]]</f>
        <v>1.75</v>
      </c>
      <c r="U1965" s="53">
        <f>STOCK[[#This Row],[Costo total]]*1.5</f>
        <v>2.625</v>
      </c>
      <c r="V1965" s="53">
        <v>3</v>
      </c>
      <c r="W1965" s="76">
        <f>STOCK[[#This Row],[Precio Final]]-STOCK[[#This Row],[Costo total]]</f>
        <v>1.25</v>
      </c>
      <c r="X1965" s="76">
        <f>STOCK[[#This Row],[Ganancia Unitaria]]*STOCK[[#This Row],[Salidas]]</f>
        <v>0</v>
      </c>
      <c r="Y1965" s="76"/>
      <c r="Z1965" s="87"/>
      <c r="AA1965" s="54"/>
      <c r="AB1965" s="54"/>
      <c r="AC1965" s="76"/>
      <c r="AD1965" s="94"/>
    </row>
    <row r="1966" s="53" customFormat="1" ht="50" customHeight="1" spans="1:30">
      <c r="A1966" s="95" t="s">
        <v>3867</v>
      </c>
      <c r="B1966" s="83"/>
      <c r="C1966" s="53" t="s">
        <v>32</v>
      </c>
      <c r="D1966" s="84" t="s">
        <v>2897</v>
      </c>
      <c r="E1966" s="103" t="s">
        <v>3868</v>
      </c>
      <c r="F1966" s="102" t="s">
        <v>62</v>
      </c>
      <c r="G1966" s="76"/>
      <c r="H1966" s="76">
        <f>STOCK[[#This Row],[Precio Final]]</f>
        <v>3</v>
      </c>
      <c r="I1966" s="80">
        <f>STOCK[[#This Row],[Precio Venta Ideal (x1.5)]]</f>
        <v>2.625</v>
      </c>
      <c r="J1966" s="102">
        <v>2</v>
      </c>
      <c r="K1966" s="78">
        <f>SUMIFS(VENTAS[Cantidad],VENTAS[Código del producto Vendido],STOCK[[#This Row],[Code]])</f>
        <v>0</v>
      </c>
      <c r="L1966" s="78">
        <f>STOCK[[#This Row],[Entradas]]-STOCK[[#This Row],[Salidas]]</f>
        <v>2</v>
      </c>
      <c r="M1966" s="76">
        <f>STOCK[[#This Row],[Precio Final]]*10%</f>
        <v>0.3</v>
      </c>
      <c r="N1966" s="54">
        <v>0</v>
      </c>
      <c r="O1966" s="76">
        <v>0</v>
      </c>
      <c r="P1966" s="109">
        <v>0.95</v>
      </c>
      <c r="Q1966" s="76">
        <v>0</v>
      </c>
      <c r="R1966" s="78">
        <v>0</v>
      </c>
      <c r="S1966" s="110">
        <v>0.5</v>
      </c>
      <c r="T1966" s="76">
        <f>STOCK[[#This Row],[Costo Unitario (USD)]]+STOCK[[#This Row],[Costo Envío (USD)]]+STOCK[[#This Row],[Comisión 10%]]</f>
        <v>1.75</v>
      </c>
      <c r="U1966" s="53">
        <f>STOCK[[#This Row],[Costo total]]*1.5</f>
        <v>2.625</v>
      </c>
      <c r="V1966" s="53">
        <v>3</v>
      </c>
      <c r="W1966" s="76">
        <f>STOCK[[#This Row],[Precio Final]]-STOCK[[#This Row],[Costo total]]</f>
        <v>1.25</v>
      </c>
      <c r="X1966" s="76">
        <f>STOCK[[#This Row],[Ganancia Unitaria]]*STOCK[[#This Row],[Salidas]]</f>
        <v>0</v>
      </c>
      <c r="Y1966" s="76"/>
      <c r="Z1966" s="87"/>
      <c r="AA1966" s="54"/>
      <c r="AB1966" s="54"/>
      <c r="AC1966" s="76"/>
      <c r="AD1966" s="94"/>
    </row>
    <row r="1967" s="53" customFormat="1" ht="50" customHeight="1" spans="1:30">
      <c r="A1967" s="95" t="s">
        <v>3869</v>
      </c>
      <c r="B1967" s="83"/>
      <c r="C1967" s="53" t="s">
        <v>32</v>
      </c>
      <c r="D1967" s="84" t="s">
        <v>2897</v>
      </c>
      <c r="E1967" s="103" t="s">
        <v>3868</v>
      </c>
      <c r="F1967" s="102" t="s">
        <v>49</v>
      </c>
      <c r="G1967" s="76"/>
      <c r="H1967" s="76">
        <f>STOCK[[#This Row],[Precio Final]]</f>
        <v>3</v>
      </c>
      <c r="I1967" s="80">
        <f>STOCK[[#This Row],[Precio Venta Ideal (x1.5)]]</f>
        <v>2.625</v>
      </c>
      <c r="J1967" s="102">
        <v>3</v>
      </c>
      <c r="K1967" s="78">
        <f>SUMIFS(VENTAS[Cantidad],VENTAS[Código del producto Vendido],STOCK[[#This Row],[Code]])</f>
        <v>0</v>
      </c>
      <c r="L1967" s="78">
        <f>STOCK[[#This Row],[Entradas]]-STOCK[[#This Row],[Salidas]]</f>
        <v>3</v>
      </c>
      <c r="M1967" s="76">
        <f>STOCK[[#This Row],[Precio Final]]*10%</f>
        <v>0.3</v>
      </c>
      <c r="N1967" s="54">
        <v>0</v>
      </c>
      <c r="O1967" s="76">
        <v>0</v>
      </c>
      <c r="P1967" s="109">
        <v>0.95</v>
      </c>
      <c r="Q1967" s="76">
        <v>0</v>
      </c>
      <c r="R1967" s="78">
        <v>0</v>
      </c>
      <c r="S1967" s="111">
        <v>0.5</v>
      </c>
      <c r="T1967" s="76">
        <f>STOCK[[#This Row],[Costo Unitario (USD)]]+STOCK[[#This Row],[Costo Envío (USD)]]+STOCK[[#This Row],[Comisión 10%]]</f>
        <v>1.75</v>
      </c>
      <c r="U1967" s="53">
        <f>STOCK[[#This Row],[Costo total]]*1.5</f>
        <v>2.625</v>
      </c>
      <c r="V1967" s="53">
        <v>3</v>
      </c>
      <c r="W1967" s="76">
        <f>STOCK[[#This Row],[Precio Final]]-STOCK[[#This Row],[Costo total]]</f>
        <v>1.25</v>
      </c>
      <c r="X1967" s="76">
        <f>STOCK[[#This Row],[Ganancia Unitaria]]*STOCK[[#This Row],[Salidas]]</f>
        <v>0</v>
      </c>
      <c r="Y1967" s="76"/>
      <c r="Z1967" s="87"/>
      <c r="AA1967" s="54"/>
      <c r="AB1967" s="54"/>
      <c r="AC1967" s="76"/>
      <c r="AD1967" s="94"/>
    </row>
    <row r="1968" s="53" customFormat="1" ht="50" customHeight="1" spans="1:30">
      <c r="A1968" s="95" t="s">
        <v>3870</v>
      </c>
      <c r="B1968" s="83"/>
      <c r="C1968" s="53" t="s">
        <v>32</v>
      </c>
      <c r="D1968" s="84" t="s">
        <v>2897</v>
      </c>
      <c r="E1968" s="103" t="s">
        <v>3868</v>
      </c>
      <c r="F1968" s="102" t="s">
        <v>46</v>
      </c>
      <c r="G1968" s="76"/>
      <c r="H1968" s="76">
        <f>STOCK[[#This Row],[Precio Final]]</f>
        <v>3</v>
      </c>
      <c r="I1968" s="80">
        <f>STOCK[[#This Row],[Precio Venta Ideal (x1.5)]]</f>
        <v>2.625</v>
      </c>
      <c r="J1968" s="102">
        <v>3</v>
      </c>
      <c r="K1968" s="78">
        <f>SUMIFS(VENTAS[Cantidad],VENTAS[Código del producto Vendido],STOCK[[#This Row],[Code]])</f>
        <v>0</v>
      </c>
      <c r="L1968" s="78">
        <f>STOCK[[#This Row],[Entradas]]-STOCK[[#This Row],[Salidas]]</f>
        <v>3</v>
      </c>
      <c r="M1968" s="76">
        <f>STOCK[[#This Row],[Precio Final]]*10%</f>
        <v>0.3</v>
      </c>
      <c r="N1968" s="54">
        <v>0</v>
      </c>
      <c r="O1968" s="76">
        <v>0</v>
      </c>
      <c r="P1968" s="109">
        <v>0.95</v>
      </c>
      <c r="Q1968" s="76">
        <v>0</v>
      </c>
      <c r="R1968" s="78">
        <v>0</v>
      </c>
      <c r="S1968" s="110">
        <v>0.5</v>
      </c>
      <c r="T1968" s="76">
        <f>STOCK[[#This Row],[Costo Unitario (USD)]]+STOCK[[#This Row],[Costo Envío (USD)]]+STOCK[[#This Row],[Comisión 10%]]</f>
        <v>1.75</v>
      </c>
      <c r="U1968" s="53">
        <f>STOCK[[#This Row],[Costo total]]*1.5</f>
        <v>2.625</v>
      </c>
      <c r="V1968" s="53">
        <v>3</v>
      </c>
      <c r="W1968" s="76">
        <f>STOCK[[#This Row],[Precio Final]]-STOCK[[#This Row],[Costo total]]</f>
        <v>1.25</v>
      </c>
      <c r="X1968" s="76">
        <f>STOCK[[#This Row],[Ganancia Unitaria]]*STOCK[[#This Row],[Salidas]]</f>
        <v>0</v>
      </c>
      <c r="Y1968" s="76"/>
      <c r="Z1968" s="87"/>
      <c r="AA1968" s="54"/>
      <c r="AB1968" s="54"/>
      <c r="AC1968" s="76"/>
      <c r="AD1968" s="94"/>
    </row>
    <row r="1969" s="53" customFormat="1" ht="50" customHeight="1" spans="1:30">
      <c r="A1969" s="95" t="s">
        <v>3871</v>
      </c>
      <c r="B1969" s="83"/>
      <c r="C1969" s="53" t="s">
        <v>32</v>
      </c>
      <c r="D1969" s="84" t="s">
        <v>2897</v>
      </c>
      <c r="E1969" s="103" t="s">
        <v>3868</v>
      </c>
      <c r="F1969" s="102" t="s">
        <v>42</v>
      </c>
      <c r="G1969" s="76"/>
      <c r="H1969" s="76">
        <f>STOCK[[#This Row],[Precio Final]]</f>
        <v>3</v>
      </c>
      <c r="I1969" s="80">
        <f>STOCK[[#This Row],[Precio Venta Ideal (x1.5)]]</f>
        <v>2.625</v>
      </c>
      <c r="J1969" s="102">
        <v>3</v>
      </c>
      <c r="K1969" s="78">
        <f>SUMIFS(VENTAS[Cantidad],VENTAS[Código del producto Vendido],STOCK[[#This Row],[Code]])</f>
        <v>0</v>
      </c>
      <c r="L1969" s="78">
        <f>STOCK[[#This Row],[Entradas]]-STOCK[[#This Row],[Salidas]]</f>
        <v>3</v>
      </c>
      <c r="M1969" s="76">
        <f>STOCK[[#This Row],[Precio Final]]*10%</f>
        <v>0.3</v>
      </c>
      <c r="N1969" s="54">
        <v>0</v>
      </c>
      <c r="O1969" s="76">
        <v>0</v>
      </c>
      <c r="P1969" s="109">
        <v>0.95</v>
      </c>
      <c r="Q1969" s="76">
        <v>0</v>
      </c>
      <c r="R1969" s="78">
        <v>0</v>
      </c>
      <c r="S1969" s="111">
        <v>0.5</v>
      </c>
      <c r="T1969" s="76">
        <f>STOCK[[#This Row],[Costo Unitario (USD)]]+STOCK[[#This Row],[Costo Envío (USD)]]+STOCK[[#This Row],[Comisión 10%]]</f>
        <v>1.75</v>
      </c>
      <c r="U1969" s="53">
        <f>STOCK[[#This Row],[Costo total]]*1.5</f>
        <v>2.625</v>
      </c>
      <c r="V1969" s="53">
        <v>3</v>
      </c>
      <c r="W1969" s="76">
        <f>STOCK[[#This Row],[Precio Final]]-STOCK[[#This Row],[Costo total]]</f>
        <v>1.25</v>
      </c>
      <c r="X1969" s="76">
        <f>STOCK[[#This Row],[Ganancia Unitaria]]*STOCK[[#This Row],[Salidas]]</f>
        <v>0</v>
      </c>
      <c r="Y1969" s="76"/>
      <c r="Z1969" s="87"/>
      <c r="AA1969" s="54"/>
      <c r="AB1969" s="54"/>
      <c r="AC1969" s="76"/>
      <c r="AD1969" s="94"/>
    </row>
    <row r="1970" s="53" customFormat="1" ht="50" customHeight="1" spans="1:30">
      <c r="A1970" s="95" t="s">
        <v>3872</v>
      </c>
      <c r="B1970" s="83"/>
      <c r="C1970" s="53" t="s">
        <v>32</v>
      </c>
      <c r="D1970" s="84" t="s">
        <v>2897</v>
      </c>
      <c r="E1970" s="103" t="s">
        <v>3868</v>
      </c>
      <c r="F1970" s="102" t="s">
        <v>281</v>
      </c>
      <c r="G1970" s="76"/>
      <c r="H1970" s="76">
        <f>STOCK[[#This Row],[Precio Final]]</f>
        <v>3</v>
      </c>
      <c r="I1970" s="80">
        <f>STOCK[[#This Row],[Precio Venta Ideal (x1.5)]]</f>
        <v>2.625</v>
      </c>
      <c r="J1970" s="102">
        <v>3</v>
      </c>
      <c r="K1970" s="78">
        <f>SUMIFS(VENTAS[Cantidad],VENTAS[Código del producto Vendido],STOCK[[#This Row],[Code]])</f>
        <v>0</v>
      </c>
      <c r="L1970" s="78">
        <f>STOCK[[#This Row],[Entradas]]-STOCK[[#This Row],[Salidas]]</f>
        <v>3</v>
      </c>
      <c r="M1970" s="76">
        <f>STOCK[[#This Row],[Precio Final]]*10%</f>
        <v>0.3</v>
      </c>
      <c r="N1970" s="54">
        <v>0</v>
      </c>
      <c r="O1970" s="76">
        <v>0</v>
      </c>
      <c r="P1970" s="109">
        <v>0.95</v>
      </c>
      <c r="Q1970" s="76">
        <v>0</v>
      </c>
      <c r="R1970" s="78">
        <v>0</v>
      </c>
      <c r="S1970" s="110">
        <v>0.5</v>
      </c>
      <c r="T1970" s="76">
        <f>STOCK[[#This Row],[Costo Unitario (USD)]]+STOCK[[#This Row],[Costo Envío (USD)]]+STOCK[[#This Row],[Comisión 10%]]</f>
        <v>1.75</v>
      </c>
      <c r="U1970" s="53">
        <f>STOCK[[#This Row],[Costo total]]*1.5</f>
        <v>2.625</v>
      </c>
      <c r="V1970" s="53">
        <v>3</v>
      </c>
      <c r="W1970" s="76">
        <f>STOCK[[#This Row],[Precio Final]]-STOCK[[#This Row],[Costo total]]</f>
        <v>1.25</v>
      </c>
      <c r="X1970" s="76">
        <f>STOCK[[#This Row],[Ganancia Unitaria]]*STOCK[[#This Row],[Salidas]]</f>
        <v>0</v>
      </c>
      <c r="Y1970" s="76"/>
      <c r="Z1970" s="87"/>
      <c r="AA1970" s="54"/>
      <c r="AB1970" s="54"/>
      <c r="AC1970" s="76"/>
      <c r="AD1970" s="94"/>
    </row>
    <row r="1971" s="53" customFormat="1" ht="50" customHeight="1" spans="1:30">
      <c r="A1971" s="95" t="s">
        <v>3873</v>
      </c>
      <c r="B1971" s="83"/>
      <c r="C1971" s="53" t="s">
        <v>32</v>
      </c>
      <c r="D1971" s="84" t="s">
        <v>2897</v>
      </c>
      <c r="E1971" s="103" t="s">
        <v>3874</v>
      </c>
      <c r="F1971" s="102" t="s">
        <v>62</v>
      </c>
      <c r="G1971" s="76"/>
      <c r="H1971" s="76">
        <f>STOCK[[#This Row],[Precio Final]]</f>
        <v>3</v>
      </c>
      <c r="I1971" s="80">
        <f>STOCK[[#This Row],[Precio Venta Ideal (x1.5)]]</f>
        <v>2.625</v>
      </c>
      <c r="J1971" s="102">
        <v>2</v>
      </c>
      <c r="K1971" s="78">
        <f>SUMIFS(VENTAS[Cantidad],VENTAS[Código del producto Vendido],STOCK[[#This Row],[Code]])</f>
        <v>0</v>
      </c>
      <c r="L1971" s="78">
        <f>STOCK[[#This Row],[Entradas]]-STOCK[[#This Row],[Salidas]]</f>
        <v>2</v>
      </c>
      <c r="M1971" s="76">
        <f>STOCK[[#This Row],[Precio Final]]*10%</f>
        <v>0.3</v>
      </c>
      <c r="N1971" s="54">
        <v>0</v>
      </c>
      <c r="O1971" s="76">
        <v>0</v>
      </c>
      <c r="P1971" s="109">
        <v>0.95</v>
      </c>
      <c r="Q1971" s="76">
        <v>0</v>
      </c>
      <c r="R1971" s="78">
        <v>0</v>
      </c>
      <c r="S1971" s="111">
        <v>0.5</v>
      </c>
      <c r="T1971" s="76">
        <f>STOCK[[#This Row],[Costo Unitario (USD)]]+STOCK[[#This Row],[Costo Envío (USD)]]+STOCK[[#This Row],[Comisión 10%]]</f>
        <v>1.75</v>
      </c>
      <c r="U1971" s="53">
        <f>STOCK[[#This Row],[Costo total]]*1.5</f>
        <v>2.625</v>
      </c>
      <c r="V1971" s="53">
        <v>3</v>
      </c>
      <c r="W1971" s="76">
        <f>STOCK[[#This Row],[Precio Final]]-STOCK[[#This Row],[Costo total]]</f>
        <v>1.25</v>
      </c>
      <c r="X1971" s="76">
        <f>STOCK[[#This Row],[Ganancia Unitaria]]*STOCK[[#This Row],[Salidas]]</f>
        <v>0</v>
      </c>
      <c r="Y1971" s="76"/>
      <c r="Z1971" s="87"/>
      <c r="AA1971" s="54"/>
      <c r="AB1971" s="54"/>
      <c r="AC1971" s="76"/>
      <c r="AD1971" s="94"/>
    </row>
    <row r="1972" s="53" customFormat="1" ht="50" customHeight="1" spans="1:30">
      <c r="A1972" s="95" t="s">
        <v>3875</v>
      </c>
      <c r="B1972" s="83"/>
      <c r="C1972" s="53" t="s">
        <v>32</v>
      </c>
      <c r="D1972" s="84" t="s">
        <v>2897</v>
      </c>
      <c r="E1972" s="103" t="s">
        <v>3874</v>
      </c>
      <c r="F1972" s="102" t="s">
        <v>49</v>
      </c>
      <c r="G1972" s="76"/>
      <c r="H1972" s="76">
        <f>STOCK[[#This Row],[Precio Final]]</f>
        <v>3</v>
      </c>
      <c r="I1972" s="80">
        <f>STOCK[[#This Row],[Precio Venta Ideal (x1.5)]]</f>
        <v>2.625</v>
      </c>
      <c r="J1972" s="102">
        <v>3</v>
      </c>
      <c r="K1972" s="78">
        <f>SUMIFS(VENTAS[Cantidad],VENTAS[Código del producto Vendido],STOCK[[#This Row],[Code]])</f>
        <v>0</v>
      </c>
      <c r="L1972" s="78">
        <f>STOCK[[#This Row],[Entradas]]-STOCK[[#This Row],[Salidas]]</f>
        <v>3</v>
      </c>
      <c r="M1972" s="76">
        <f>STOCK[[#This Row],[Precio Final]]*10%</f>
        <v>0.3</v>
      </c>
      <c r="N1972" s="54">
        <v>0</v>
      </c>
      <c r="O1972" s="76">
        <v>0</v>
      </c>
      <c r="P1972" s="109">
        <v>0.95</v>
      </c>
      <c r="Q1972" s="76">
        <v>0</v>
      </c>
      <c r="R1972" s="78">
        <v>0</v>
      </c>
      <c r="S1972" s="110">
        <v>0.5</v>
      </c>
      <c r="T1972" s="76">
        <f>STOCK[[#This Row],[Costo Unitario (USD)]]+STOCK[[#This Row],[Costo Envío (USD)]]+STOCK[[#This Row],[Comisión 10%]]</f>
        <v>1.75</v>
      </c>
      <c r="U1972" s="53">
        <f>STOCK[[#This Row],[Costo total]]*1.5</f>
        <v>2.625</v>
      </c>
      <c r="V1972" s="53">
        <v>3</v>
      </c>
      <c r="W1972" s="76">
        <f>STOCK[[#This Row],[Precio Final]]-STOCK[[#This Row],[Costo total]]</f>
        <v>1.25</v>
      </c>
      <c r="X1972" s="76">
        <f>STOCK[[#This Row],[Ganancia Unitaria]]*STOCK[[#This Row],[Salidas]]</f>
        <v>0</v>
      </c>
      <c r="Y1972" s="76"/>
      <c r="Z1972" s="87"/>
      <c r="AA1972" s="54"/>
      <c r="AB1972" s="54"/>
      <c r="AC1972" s="76"/>
      <c r="AD1972" s="94"/>
    </row>
    <row r="1973" s="53" customFormat="1" ht="50" customHeight="1" spans="1:30">
      <c r="A1973" s="95" t="s">
        <v>3876</v>
      </c>
      <c r="B1973" s="83"/>
      <c r="C1973" s="53" t="s">
        <v>32</v>
      </c>
      <c r="D1973" s="84" t="s">
        <v>2897</v>
      </c>
      <c r="E1973" s="103" t="s">
        <v>3874</v>
      </c>
      <c r="F1973" s="102" t="s">
        <v>46</v>
      </c>
      <c r="G1973" s="76"/>
      <c r="H1973" s="76">
        <f>STOCK[[#This Row],[Precio Final]]</f>
        <v>3</v>
      </c>
      <c r="I1973" s="80">
        <f>STOCK[[#This Row],[Precio Venta Ideal (x1.5)]]</f>
        <v>2.625</v>
      </c>
      <c r="J1973" s="102">
        <v>3</v>
      </c>
      <c r="K1973" s="78">
        <f>SUMIFS(VENTAS[Cantidad],VENTAS[Código del producto Vendido],STOCK[[#This Row],[Code]])</f>
        <v>0</v>
      </c>
      <c r="L1973" s="78">
        <f>STOCK[[#This Row],[Entradas]]-STOCK[[#This Row],[Salidas]]</f>
        <v>3</v>
      </c>
      <c r="M1973" s="76">
        <f>STOCK[[#This Row],[Precio Final]]*10%</f>
        <v>0.3</v>
      </c>
      <c r="N1973" s="54">
        <v>0</v>
      </c>
      <c r="O1973" s="76">
        <v>0</v>
      </c>
      <c r="P1973" s="109">
        <v>0.95</v>
      </c>
      <c r="Q1973" s="76">
        <v>0</v>
      </c>
      <c r="R1973" s="78">
        <v>0</v>
      </c>
      <c r="S1973" s="111">
        <v>0.5</v>
      </c>
      <c r="T1973" s="76">
        <f>STOCK[[#This Row],[Costo Unitario (USD)]]+STOCK[[#This Row],[Costo Envío (USD)]]+STOCK[[#This Row],[Comisión 10%]]</f>
        <v>1.75</v>
      </c>
      <c r="U1973" s="53">
        <f>STOCK[[#This Row],[Costo total]]*1.5</f>
        <v>2.625</v>
      </c>
      <c r="V1973" s="53">
        <v>3</v>
      </c>
      <c r="W1973" s="76">
        <f>STOCK[[#This Row],[Precio Final]]-STOCK[[#This Row],[Costo total]]</f>
        <v>1.25</v>
      </c>
      <c r="X1973" s="76">
        <f>STOCK[[#This Row],[Ganancia Unitaria]]*STOCK[[#This Row],[Salidas]]</f>
        <v>0</v>
      </c>
      <c r="Y1973" s="76"/>
      <c r="Z1973" s="87"/>
      <c r="AA1973" s="54"/>
      <c r="AB1973" s="54"/>
      <c r="AC1973" s="76"/>
      <c r="AD1973" s="94"/>
    </row>
    <row r="1974" s="53" customFormat="1" ht="50" customHeight="1" spans="1:30">
      <c r="A1974" s="95" t="s">
        <v>3877</v>
      </c>
      <c r="B1974" s="83"/>
      <c r="C1974" s="53" t="s">
        <v>32</v>
      </c>
      <c r="D1974" s="84" t="s">
        <v>2897</v>
      </c>
      <c r="E1974" s="103" t="s">
        <v>3874</v>
      </c>
      <c r="F1974" s="102" t="s">
        <v>42</v>
      </c>
      <c r="G1974" s="76"/>
      <c r="H1974" s="76">
        <f>STOCK[[#This Row],[Precio Final]]</f>
        <v>3</v>
      </c>
      <c r="I1974" s="80">
        <f>STOCK[[#This Row],[Precio Venta Ideal (x1.5)]]</f>
        <v>2.625</v>
      </c>
      <c r="J1974" s="102">
        <v>3</v>
      </c>
      <c r="K1974" s="78">
        <f>SUMIFS(VENTAS[Cantidad],VENTAS[Código del producto Vendido],STOCK[[#This Row],[Code]])</f>
        <v>0</v>
      </c>
      <c r="L1974" s="78">
        <f>STOCK[[#This Row],[Entradas]]-STOCK[[#This Row],[Salidas]]</f>
        <v>3</v>
      </c>
      <c r="M1974" s="76">
        <f>STOCK[[#This Row],[Precio Final]]*10%</f>
        <v>0.3</v>
      </c>
      <c r="N1974" s="54">
        <v>0</v>
      </c>
      <c r="O1974" s="76">
        <v>0</v>
      </c>
      <c r="P1974" s="109">
        <v>0.95</v>
      </c>
      <c r="Q1974" s="76">
        <v>0</v>
      </c>
      <c r="R1974" s="78">
        <v>0</v>
      </c>
      <c r="S1974" s="110">
        <v>0.5</v>
      </c>
      <c r="T1974" s="76">
        <f>STOCK[[#This Row],[Costo Unitario (USD)]]+STOCK[[#This Row],[Costo Envío (USD)]]+STOCK[[#This Row],[Comisión 10%]]</f>
        <v>1.75</v>
      </c>
      <c r="U1974" s="53">
        <f>STOCK[[#This Row],[Costo total]]*1.5</f>
        <v>2.625</v>
      </c>
      <c r="V1974" s="53">
        <v>3</v>
      </c>
      <c r="W1974" s="76">
        <f>STOCK[[#This Row],[Precio Final]]-STOCK[[#This Row],[Costo total]]</f>
        <v>1.25</v>
      </c>
      <c r="X1974" s="76">
        <f>STOCK[[#This Row],[Ganancia Unitaria]]*STOCK[[#This Row],[Salidas]]</f>
        <v>0</v>
      </c>
      <c r="Y1974" s="76"/>
      <c r="Z1974" s="87"/>
      <c r="AA1974" s="54"/>
      <c r="AB1974" s="54"/>
      <c r="AC1974" s="76"/>
      <c r="AD1974" s="94"/>
    </row>
    <row r="1975" s="53" customFormat="1" ht="50" customHeight="1" spans="1:30">
      <c r="A1975" s="95" t="s">
        <v>3878</v>
      </c>
      <c r="B1975" s="83"/>
      <c r="C1975" s="53" t="s">
        <v>32</v>
      </c>
      <c r="D1975" s="84" t="s">
        <v>2897</v>
      </c>
      <c r="E1975" s="103" t="s">
        <v>3874</v>
      </c>
      <c r="F1975" s="102" t="s">
        <v>281</v>
      </c>
      <c r="G1975" s="76"/>
      <c r="H1975" s="76">
        <f>STOCK[[#This Row],[Precio Final]]</f>
        <v>3</v>
      </c>
      <c r="I1975" s="80">
        <f>STOCK[[#This Row],[Precio Venta Ideal (x1.5)]]</f>
        <v>2.625</v>
      </c>
      <c r="J1975" s="102">
        <v>3</v>
      </c>
      <c r="K1975" s="78">
        <f>SUMIFS(VENTAS[Cantidad],VENTAS[Código del producto Vendido],STOCK[[#This Row],[Code]])</f>
        <v>0</v>
      </c>
      <c r="L1975" s="78">
        <f>STOCK[[#This Row],[Entradas]]-STOCK[[#This Row],[Salidas]]</f>
        <v>3</v>
      </c>
      <c r="M1975" s="76">
        <f>STOCK[[#This Row],[Precio Final]]*10%</f>
        <v>0.3</v>
      </c>
      <c r="N1975" s="54">
        <v>0</v>
      </c>
      <c r="O1975" s="76">
        <v>0</v>
      </c>
      <c r="P1975" s="109">
        <v>0.95</v>
      </c>
      <c r="Q1975" s="76">
        <v>0</v>
      </c>
      <c r="R1975" s="78">
        <v>0</v>
      </c>
      <c r="S1975" s="111">
        <v>0.5</v>
      </c>
      <c r="T1975" s="76">
        <f>STOCK[[#This Row],[Costo Unitario (USD)]]+STOCK[[#This Row],[Costo Envío (USD)]]+STOCK[[#This Row],[Comisión 10%]]</f>
        <v>1.75</v>
      </c>
      <c r="U1975" s="53">
        <f>STOCK[[#This Row],[Costo total]]*1.5</f>
        <v>2.625</v>
      </c>
      <c r="V1975" s="53">
        <v>3</v>
      </c>
      <c r="W1975" s="76">
        <f>STOCK[[#This Row],[Precio Final]]-STOCK[[#This Row],[Costo total]]</f>
        <v>1.25</v>
      </c>
      <c r="X1975" s="76">
        <f>STOCK[[#This Row],[Ganancia Unitaria]]*STOCK[[#This Row],[Salidas]]</f>
        <v>0</v>
      </c>
      <c r="Y1975" s="76"/>
      <c r="Z1975" s="87"/>
      <c r="AA1975" s="54"/>
      <c r="AB1975" s="54"/>
      <c r="AC1975" s="76"/>
      <c r="AD1975" s="94"/>
    </row>
    <row r="1976" s="53" customFormat="1" ht="50" customHeight="1" spans="1:30">
      <c r="A1976" s="95" t="s">
        <v>3879</v>
      </c>
      <c r="B1976" s="83"/>
      <c r="C1976" s="53" t="s">
        <v>32</v>
      </c>
      <c r="D1976" s="84" t="s">
        <v>2897</v>
      </c>
      <c r="E1976" s="103" t="s">
        <v>3880</v>
      </c>
      <c r="F1976" s="102" t="s">
        <v>62</v>
      </c>
      <c r="G1976" s="76"/>
      <c r="H1976" s="76">
        <f>STOCK[[#This Row],[Precio Final]]</f>
        <v>3</v>
      </c>
      <c r="I1976" s="80">
        <f>STOCK[[#This Row],[Precio Venta Ideal (x1.5)]]</f>
        <v>2.625</v>
      </c>
      <c r="J1976" s="102">
        <v>2</v>
      </c>
      <c r="K1976" s="78">
        <f>SUMIFS(VENTAS[Cantidad],VENTAS[Código del producto Vendido],STOCK[[#This Row],[Code]])</f>
        <v>0</v>
      </c>
      <c r="L1976" s="78">
        <f>STOCK[[#This Row],[Entradas]]-STOCK[[#This Row],[Salidas]]</f>
        <v>2</v>
      </c>
      <c r="M1976" s="76">
        <f>STOCK[[#This Row],[Precio Final]]*10%</f>
        <v>0.3</v>
      </c>
      <c r="N1976" s="54">
        <v>0</v>
      </c>
      <c r="O1976" s="76">
        <v>0</v>
      </c>
      <c r="P1976" s="109">
        <v>0.95</v>
      </c>
      <c r="Q1976" s="76">
        <v>0</v>
      </c>
      <c r="R1976" s="78">
        <v>0</v>
      </c>
      <c r="S1976" s="110">
        <v>0.5</v>
      </c>
      <c r="T1976" s="76">
        <f>STOCK[[#This Row],[Costo Unitario (USD)]]+STOCK[[#This Row],[Costo Envío (USD)]]+STOCK[[#This Row],[Comisión 10%]]</f>
        <v>1.75</v>
      </c>
      <c r="U1976" s="53">
        <f>STOCK[[#This Row],[Costo total]]*1.5</f>
        <v>2.625</v>
      </c>
      <c r="V1976" s="53">
        <v>3</v>
      </c>
      <c r="W1976" s="76">
        <f>STOCK[[#This Row],[Precio Final]]-STOCK[[#This Row],[Costo total]]</f>
        <v>1.25</v>
      </c>
      <c r="X1976" s="76">
        <f>STOCK[[#This Row],[Ganancia Unitaria]]*STOCK[[#This Row],[Salidas]]</f>
        <v>0</v>
      </c>
      <c r="Y1976" s="76"/>
      <c r="Z1976" s="87"/>
      <c r="AA1976" s="54"/>
      <c r="AB1976" s="54"/>
      <c r="AC1976" s="76"/>
      <c r="AD1976" s="94"/>
    </row>
    <row r="1977" s="53" customFormat="1" ht="50" customHeight="1" spans="1:30">
      <c r="A1977" s="95" t="s">
        <v>3881</v>
      </c>
      <c r="B1977" s="83"/>
      <c r="C1977" s="53" t="s">
        <v>32</v>
      </c>
      <c r="D1977" s="84" t="s">
        <v>2897</v>
      </c>
      <c r="E1977" s="103" t="s">
        <v>3880</v>
      </c>
      <c r="F1977" s="102" t="s">
        <v>49</v>
      </c>
      <c r="G1977" s="76"/>
      <c r="H1977" s="76">
        <f>STOCK[[#This Row],[Precio Final]]</f>
        <v>3</v>
      </c>
      <c r="I1977" s="80">
        <f>STOCK[[#This Row],[Precio Venta Ideal (x1.5)]]</f>
        <v>2.625</v>
      </c>
      <c r="J1977" s="102">
        <v>3</v>
      </c>
      <c r="K1977" s="78">
        <f>SUMIFS(VENTAS[Cantidad],VENTAS[Código del producto Vendido],STOCK[[#This Row],[Code]])</f>
        <v>0</v>
      </c>
      <c r="L1977" s="78">
        <f>STOCK[[#This Row],[Entradas]]-STOCK[[#This Row],[Salidas]]</f>
        <v>3</v>
      </c>
      <c r="M1977" s="76">
        <f>STOCK[[#This Row],[Precio Final]]*10%</f>
        <v>0.3</v>
      </c>
      <c r="N1977" s="54">
        <v>0</v>
      </c>
      <c r="O1977" s="76">
        <v>0</v>
      </c>
      <c r="P1977" s="109">
        <v>0.95</v>
      </c>
      <c r="Q1977" s="76">
        <v>0</v>
      </c>
      <c r="R1977" s="78">
        <v>0</v>
      </c>
      <c r="S1977" s="111">
        <v>0.5</v>
      </c>
      <c r="T1977" s="76">
        <f>STOCK[[#This Row],[Costo Unitario (USD)]]+STOCK[[#This Row],[Costo Envío (USD)]]+STOCK[[#This Row],[Comisión 10%]]</f>
        <v>1.75</v>
      </c>
      <c r="U1977" s="53">
        <f>STOCK[[#This Row],[Costo total]]*1.5</f>
        <v>2.625</v>
      </c>
      <c r="V1977" s="53">
        <v>3</v>
      </c>
      <c r="W1977" s="76">
        <f>STOCK[[#This Row],[Precio Final]]-STOCK[[#This Row],[Costo total]]</f>
        <v>1.25</v>
      </c>
      <c r="X1977" s="76">
        <f>STOCK[[#This Row],[Ganancia Unitaria]]*STOCK[[#This Row],[Salidas]]</f>
        <v>0</v>
      </c>
      <c r="Y1977" s="76"/>
      <c r="Z1977" s="87"/>
      <c r="AA1977" s="54"/>
      <c r="AB1977" s="54"/>
      <c r="AC1977" s="76"/>
      <c r="AD1977" s="94"/>
    </row>
    <row r="1978" s="53" customFormat="1" ht="50" customHeight="1" spans="1:30">
      <c r="A1978" s="95" t="s">
        <v>3882</v>
      </c>
      <c r="B1978" s="83"/>
      <c r="C1978" s="53" t="s">
        <v>32</v>
      </c>
      <c r="D1978" s="84" t="s">
        <v>2897</v>
      </c>
      <c r="E1978" s="103" t="s">
        <v>3880</v>
      </c>
      <c r="F1978" s="102" t="s">
        <v>46</v>
      </c>
      <c r="G1978" s="76"/>
      <c r="H1978" s="76">
        <f>STOCK[[#This Row],[Precio Final]]</f>
        <v>3</v>
      </c>
      <c r="I1978" s="80">
        <f>STOCK[[#This Row],[Precio Venta Ideal (x1.5)]]</f>
        <v>2.625</v>
      </c>
      <c r="J1978" s="102">
        <v>3</v>
      </c>
      <c r="K1978" s="78">
        <f>SUMIFS(VENTAS[Cantidad],VENTAS[Código del producto Vendido],STOCK[[#This Row],[Code]])</f>
        <v>0</v>
      </c>
      <c r="L1978" s="78">
        <f>STOCK[[#This Row],[Entradas]]-STOCK[[#This Row],[Salidas]]</f>
        <v>3</v>
      </c>
      <c r="M1978" s="76">
        <f>STOCK[[#This Row],[Precio Final]]*10%</f>
        <v>0.3</v>
      </c>
      <c r="N1978" s="54">
        <v>0</v>
      </c>
      <c r="O1978" s="76">
        <v>0</v>
      </c>
      <c r="P1978" s="109">
        <v>0.95</v>
      </c>
      <c r="Q1978" s="76">
        <v>0</v>
      </c>
      <c r="R1978" s="78">
        <v>0</v>
      </c>
      <c r="S1978" s="110">
        <v>0.5</v>
      </c>
      <c r="T1978" s="76">
        <f>STOCK[[#This Row],[Costo Unitario (USD)]]+STOCK[[#This Row],[Costo Envío (USD)]]+STOCK[[#This Row],[Comisión 10%]]</f>
        <v>1.75</v>
      </c>
      <c r="U1978" s="53">
        <f>STOCK[[#This Row],[Costo total]]*1.5</f>
        <v>2.625</v>
      </c>
      <c r="V1978" s="53">
        <v>3</v>
      </c>
      <c r="W1978" s="76">
        <f>STOCK[[#This Row],[Precio Final]]-STOCK[[#This Row],[Costo total]]</f>
        <v>1.25</v>
      </c>
      <c r="X1978" s="76">
        <f>STOCK[[#This Row],[Ganancia Unitaria]]*STOCK[[#This Row],[Salidas]]</f>
        <v>0</v>
      </c>
      <c r="Y1978" s="76"/>
      <c r="Z1978" s="87"/>
      <c r="AA1978" s="54"/>
      <c r="AB1978" s="54"/>
      <c r="AC1978" s="76"/>
      <c r="AD1978" s="94"/>
    </row>
    <row r="1979" s="53" customFormat="1" ht="50" customHeight="1" spans="1:30">
      <c r="A1979" s="95" t="s">
        <v>3883</v>
      </c>
      <c r="B1979" s="83"/>
      <c r="C1979" s="53" t="s">
        <v>32</v>
      </c>
      <c r="D1979" s="84" t="s">
        <v>2897</v>
      </c>
      <c r="E1979" s="103" t="s">
        <v>3880</v>
      </c>
      <c r="F1979" s="102" t="s">
        <v>42</v>
      </c>
      <c r="G1979" s="76"/>
      <c r="H1979" s="76">
        <f>STOCK[[#This Row],[Precio Final]]</f>
        <v>3</v>
      </c>
      <c r="I1979" s="80">
        <f>STOCK[[#This Row],[Precio Venta Ideal (x1.5)]]</f>
        <v>2.625</v>
      </c>
      <c r="J1979" s="102">
        <v>3</v>
      </c>
      <c r="K1979" s="78">
        <f>SUMIFS(VENTAS[Cantidad],VENTAS[Código del producto Vendido],STOCK[[#This Row],[Code]])</f>
        <v>0</v>
      </c>
      <c r="L1979" s="78">
        <f>STOCK[[#This Row],[Entradas]]-STOCK[[#This Row],[Salidas]]</f>
        <v>3</v>
      </c>
      <c r="M1979" s="76">
        <f>STOCK[[#This Row],[Precio Final]]*10%</f>
        <v>0.3</v>
      </c>
      <c r="N1979" s="54">
        <v>0</v>
      </c>
      <c r="O1979" s="76">
        <v>0</v>
      </c>
      <c r="P1979" s="109">
        <v>0.95</v>
      </c>
      <c r="Q1979" s="76">
        <v>0</v>
      </c>
      <c r="R1979" s="78">
        <v>0</v>
      </c>
      <c r="S1979" s="111">
        <v>0.5</v>
      </c>
      <c r="T1979" s="76">
        <f>STOCK[[#This Row],[Costo Unitario (USD)]]+STOCK[[#This Row],[Costo Envío (USD)]]+STOCK[[#This Row],[Comisión 10%]]</f>
        <v>1.75</v>
      </c>
      <c r="U1979" s="53">
        <f>STOCK[[#This Row],[Costo total]]*1.5</f>
        <v>2.625</v>
      </c>
      <c r="V1979" s="53">
        <v>3</v>
      </c>
      <c r="W1979" s="76">
        <f>STOCK[[#This Row],[Precio Final]]-STOCK[[#This Row],[Costo total]]</f>
        <v>1.25</v>
      </c>
      <c r="X1979" s="76">
        <f>STOCK[[#This Row],[Ganancia Unitaria]]*STOCK[[#This Row],[Salidas]]</f>
        <v>0</v>
      </c>
      <c r="Y1979" s="76"/>
      <c r="Z1979" s="87"/>
      <c r="AA1979" s="54"/>
      <c r="AB1979" s="54"/>
      <c r="AC1979" s="76"/>
      <c r="AD1979" s="94"/>
    </row>
    <row r="1980" s="53" customFormat="1" ht="50" customHeight="1" spans="1:30">
      <c r="A1980" s="95" t="s">
        <v>3884</v>
      </c>
      <c r="B1980" s="83"/>
      <c r="C1980" s="53" t="s">
        <v>32</v>
      </c>
      <c r="D1980" s="84" t="s">
        <v>2897</v>
      </c>
      <c r="E1980" s="103" t="s">
        <v>3880</v>
      </c>
      <c r="F1980" s="102" t="s">
        <v>281</v>
      </c>
      <c r="G1980" s="76"/>
      <c r="H1980" s="76">
        <f>STOCK[[#This Row],[Precio Final]]</f>
        <v>3</v>
      </c>
      <c r="I1980" s="80">
        <f>STOCK[[#This Row],[Precio Venta Ideal (x1.5)]]</f>
        <v>2.625</v>
      </c>
      <c r="J1980" s="102">
        <v>3</v>
      </c>
      <c r="K1980" s="78">
        <f>SUMIFS(VENTAS[Cantidad],VENTAS[Código del producto Vendido],STOCK[[#This Row],[Code]])</f>
        <v>0</v>
      </c>
      <c r="L1980" s="78">
        <f>STOCK[[#This Row],[Entradas]]-STOCK[[#This Row],[Salidas]]</f>
        <v>3</v>
      </c>
      <c r="M1980" s="76">
        <f>STOCK[[#This Row],[Precio Final]]*10%</f>
        <v>0.3</v>
      </c>
      <c r="N1980" s="54">
        <v>0</v>
      </c>
      <c r="O1980" s="76">
        <v>0</v>
      </c>
      <c r="P1980" s="109">
        <v>0.95</v>
      </c>
      <c r="Q1980" s="76">
        <v>0</v>
      </c>
      <c r="R1980" s="78">
        <v>0</v>
      </c>
      <c r="S1980" s="110">
        <v>0.5</v>
      </c>
      <c r="T1980" s="76">
        <f>STOCK[[#This Row],[Costo Unitario (USD)]]+STOCK[[#This Row],[Costo Envío (USD)]]+STOCK[[#This Row],[Comisión 10%]]</f>
        <v>1.75</v>
      </c>
      <c r="U1980" s="53">
        <f>STOCK[[#This Row],[Costo total]]*1.5</f>
        <v>2.625</v>
      </c>
      <c r="V1980" s="53">
        <v>3</v>
      </c>
      <c r="W1980" s="76">
        <f>STOCK[[#This Row],[Precio Final]]-STOCK[[#This Row],[Costo total]]</f>
        <v>1.25</v>
      </c>
      <c r="X1980" s="76">
        <f>STOCK[[#This Row],[Ganancia Unitaria]]*STOCK[[#This Row],[Salidas]]</f>
        <v>0</v>
      </c>
      <c r="Y1980" s="76"/>
      <c r="Z1980" s="87"/>
      <c r="AA1980" s="54"/>
      <c r="AB1980" s="54"/>
      <c r="AC1980" s="76"/>
      <c r="AD1980" s="94"/>
    </row>
    <row r="1981" s="53" customFormat="1" ht="50" customHeight="1" spans="1:30">
      <c r="A1981" s="95" t="s">
        <v>3885</v>
      </c>
      <c r="B1981" s="83"/>
      <c r="C1981" s="53" t="s">
        <v>32</v>
      </c>
      <c r="D1981" s="84" t="s">
        <v>2897</v>
      </c>
      <c r="E1981" s="103" t="s">
        <v>3886</v>
      </c>
      <c r="F1981" s="102" t="s">
        <v>62</v>
      </c>
      <c r="G1981" s="76"/>
      <c r="H1981" s="76">
        <f>STOCK[[#This Row],[Precio Final]]</f>
        <v>3</v>
      </c>
      <c r="I1981" s="80">
        <f>STOCK[[#This Row],[Precio Venta Ideal (x1.5)]]</f>
        <v>2.55</v>
      </c>
      <c r="J1981" s="102">
        <v>4</v>
      </c>
      <c r="K1981" s="78">
        <f>SUMIFS(VENTAS[Cantidad],VENTAS[Código del producto Vendido],STOCK[[#This Row],[Code]])</f>
        <v>0</v>
      </c>
      <c r="L1981" s="78">
        <f>STOCK[[#This Row],[Entradas]]-STOCK[[#This Row],[Salidas]]</f>
        <v>4</v>
      </c>
      <c r="M1981" s="76">
        <f>STOCK[[#This Row],[Precio Final]]*10%</f>
        <v>0.3</v>
      </c>
      <c r="N1981" s="54">
        <v>0</v>
      </c>
      <c r="O1981" s="76">
        <v>0</v>
      </c>
      <c r="P1981" s="109">
        <v>0.9</v>
      </c>
      <c r="Q1981" s="76">
        <v>0</v>
      </c>
      <c r="R1981" s="78">
        <v>0</v>
      </c>
      <c r="S1981" s="111">
        <v>0.5</v>
      </c>
      <c r="T1981" s="76">
        <f>STOCK[[#This Row],[Costo Unitario (USD)]]+STOCK[[#This Row],[Costo Envío (USD)]]+STOCK[[#This Row],[Comisión 10%]]</f>
        <v>1.7</v>
      </c>
      <c r="U1981" s="53">
        <f>STOCK[[#This Row],[Costo total]]*1.5</f>
        <v>2.55</v>
      </c>
      <c r="V1981" s="53">
        <v>3</v>
      </c>
      <c r="W1981" s="76">
        <f>STOCK[[#This Row],[Precio Final]]-STOCK[[#This Row],[Costo total]]</f>
        <v>1.3</v>
      </c>
      <c r="X1981" s="76">
        <f>STOCK[[#This Row],[Ganancia Unitaria]]*STOCK[[#This Row],[Salidas]]</f>
        <v>0</v>
      </c>
      <c r="Y1981" s="76"/>
      <c r="Z1981" s="87"/>
      <c r="AA1981" s="54"/>
      <c r="AB1981" s="54"/>
      <c r="AC1981" s="76"/>
      <c r="AD1981" s="94"/>
    </row>
    <row r="1982" s="53" customFormat="1" ht="50" customHeight="1" spans="1:30">
      <c r="A1982" s="95" t="s">
        <v>3887</v>
      </c>
      <c r="B1982" s="83"/>
      <c r="C1982" s="53" t="s">
        <v>32</v>
      </c>
      <c r="D1982" s="84" t="s">
        <v>2897</v>
      </c>
      <c r="E1982" s="103" t="s">
        <v>3886</v>
      </c>
      <c r="F1982" s="102" t="s">
        <v>49</v>
      </c>
      <c r="G1982" s="76"/>
      <c r="H1982" s="76">
        <f>STOCK[[#This Row],[Precio Final]]</f>
        <v>3</v>
      </c>
      <c r="I1982" s="80">
        <f>STOCK[[#This Row],[Precio Venta Ideal (x1.5)]]</f>
        <v>2.55</v>
      </c>
      <c r="J1982" s="102">
        <v>4</v>
      </c>
      <c r="K1982" s="78">
        <f>SUMIFS(VENTAS[Cantidad],VENTAS[Código del producto Vendido],STOCK[[#This Row],[Code]])</f>
        <v>0</v>
      </c>
      <c r="L1982" s="78">
        <f>STOCK[[#This Row],[Entradas]]-STOCK[[#This Row],[Salidas]]</f>
        <v>4</v>
      </c>
      <c r="M1982" s="76">
        <f>STOCK[[#This Row],[Precio Final]]*10%</f>
        <v>0.3</v>
      </c>
      <c r="N1982" s="54">
        <v>0</v>
      </c>
      <c r="O1982" s="76">
        <v>0</v>
      </c>
      <c r="P1982" s="109">
        <v>0.9</v>
      </c>
      <c r="Q1982" s="76">
        <v>0</v>
      </c>
      <c r="R1982" s="78">
        <v>0</v>
      </c>
      <c r="S1982" s="110">
        <v>0.5</v>
      </c>
      <c r="T1982" s="76">
        <f>STOCK[[#This Row],[Costo Unitario (USD)]]+STOCK[[#This Row],[Costo Envío (USD)]]+STOCK[[#This Row],[Comisión 10%]]</f>
        <v>1.7</v>
      </c>
      <c r="U1982" s="53">
        <f>STOCK[[#This Row],[Costo total]]*1.5</f>
        <v>2.55</v>
      </c>
      <c r="V1982" s="53">
        <v>3</v>
      </c>
      <c r="W1982" s="76">
        <f>STOCK[[#This Row],[Precio Final]]-STOCK[[#This Row],[Costo total]]</f>
        <v>1.3</v>
      </c>
      <c r="X1982" s="76">
        <f>STOCK[[#This Row],[Ganancia Unitaria]]*STOCK[[#This Row],[Salidas]]</f>
        <v>0</v>
      </c>
      <c r="Y1982" s="76"/>
      <c r="Z1982" s="87"/>
      <c r="AA1982" s="54"/>
      <c r="AB1982" s="54"/>
      <c r="AC1982" s="76"/>
      <c r="AD1982" s="94"/>
    </row>
    <row r="1983" s="53" customFormat="1" ht="50" customHeight="1" spans="1:30">
      <c r="A1983" s="95" t="s">
        <v>3888</v>
      </c>
      <c r="B1983" s="83"/>
      <c r="C1983" s="53" t="s">
        <v>32</v>
      </c>
      <c r="D1983" s="84" t="s">
        <v>2897</v>
      </c>
      <c r="E1983" s="103" t="s">
        <v>3886</v>
      </c>
      <c r="F1983" s="102" t="s">
        <v>46</v>
      </c>
      <c r="G1983" s="76"/>
      <c r="H1983" s="76">
        <f>STOCK[[#This Row],[Precio Final]]</f>
        <v>3</v>
      </c>
      <c r="I1983" s="80">
        <f>STOCK[[#This Row],[Precio Venta Ideal (x1.5)]]</f>
        <v>2.55</v>
      </c>
      <c r="J1983" s="102">
        <v>4</v>
      </c>
      <c r="K1983" s="78">
        <f>SUMIFS(VENTAS[Cantidad],VENTAS[Código del producto Vendido],STOCK[[#This Row],[Code]])</f>
        <v>0</v>
      </c>
      <c r="L1983" s="78">
        <f>STOCK[[#This Row],[Entradas]]-STOCK[[#This Row],[Salidas]]</f>
        <v>4</v>
      </c>
      <c r="M1983" s="76">
        <f>STOCK[[#This Row],[Precio Final]]*10%</f>
        <v>0.3</v>
      </c>
      <c r="N1983" s="54">
        <v>0</v>
      </c>
      <c r="O1983" s="76">
        <v>0</v>
      </c>
      <c r="P1983" s="109">
        <v>0.9</v>
      </c>
      <c r="Q1983" s="76">
        <v>0</v>
      </c>
      <c r="R1983" s="78">
        <v>0</v>
      </c>
      <c r="S1983" s="111">
        <v>0.5</v>
      </c>
      <c r="T1983" s="76">
        <f>STOCK[[#This Row],[Costo Unitario (USD)]]+STOCK[[#This Row],[Costo Envío (USD)]]+STOCK[[#This Row],[Comisión 10%]]</f>
        <v>1.7</v>
      </c>
      <c r="U1983" s="53">
        <f>STOCK[[#This Row],[Costo total]]*1.5</f>
        <v>2.55</v>
      </c>
      <c r="V1983" s="53">
        <v>3</v>
      </c>
      <c r="W1983" s="76">
        <f>STOCK[[#This Row],[Precio Final]]-STOCK[[#This Row],[Costo total]]</f>
        <v>1.3</v>
      </c>
      <c r="X1983" s="76">
        <f>STOCK[[#This Row],[Ganancia Unitaria]]*STOCK[[#This Row],[Salidas]]</f>
        <v>0</v>
      </c>
      <c r="Y1983" s="76"/>
      <c r="Z1983" s="87"/>
      <c r="AA1983" s="54"/>
      <c r="AB1983" s="54"/>
      <c r="AC1983" s="76"/>
      <c r="AD1983" s="94"/>
    </row>
    <row r="1984" s="53" customFormat="1" ht="50" customHeight="1" spans="1:30">
      <c r="A1984" s="95" t="s">
        <v>3889</v>
      </c>
      <c r="B1984" s="83"/>
      <c r="C1984" s="53" t="s">
        <v>32</v>
      </c>
      <c r="D1984" s="84" t="s">
        <v>2897</v>
      </c>
      <c r="E1984" s="103" t="s">
        <v>3890</v>
      </c>
      <c r="F1984" s="102" t="s">
        <v>62</v>
      </c>
      <c r="G1984" s="76"/>
      <c r="H1984" s="76">
        <f>STOCK[[#This Row],[Precio Final]]</f>
        <v>3</v>
      </c>
      <c r="I1984" s="80">
        <f>STOCK[[#This Row],[Precio Venta Ideal (x1.5)]]</f>
        <v>2.55</v>
      </c>
      <c r="J1984" s="102">
        <v>4</v>
      </c>
      <c r="K1984" s="78">
        <f>SUMIFS(VENTAS[Cantidad],VENTAS[Código del producto Vendido],STOCK[[#This Row],[Code]])</f>
        <v>0</v>
      </c>
      <c r="L1984" s="78">
        <f>STOCK[[#This Row],[Entradas]]-STOCK[[#This Row],[Salidas]]</f>
        <v>4</v>
      </c>
      <c r="M1984" s="76">
        <f>STOCK[[#This Row],[Precio Final]]*10%</f>
        <v>0.3</v>
      </c>
      <c r="N1984" s="54">
        <v>0</v>
      </c>
      <c r="O1984" s="76">
        <v>0</v>
      </c>
      <c r="P1984" s="109">
        <v>0.9</v>
      </c>
      <c r="Q1984" s="76">
        <v>0</v>
      </c>
      <c r="R1984" s="78">
        <v>0</v>
      </c>
      <c r="S1984" s="110">
        <v>0.5</v>
      </c>
      <c r="T1984" s="76">
        <f>STOCK[[#This Row],[Costo Unitario (USD)]]+STOCK[[#This Row],[Costo Envío (USD)]]+STOCK[[#This Row],[Comisión 10%]]</f>
        <v>1.7</v>
      </c>
      <c r="U1984" s="53">
        <f>STOCK[[#This Row],[Costo total]]*1.5</f>
        <v>2.55</v>
      </c>
      <c r="V1984" s="53">
        <v>3</v>
      </c>
      <c r="W1984" s="76">
        <f>STOCK[[#This Row],[Precio Final]]-STOCK[[#This Row],[Costo total]]</f>
        <v>1.3</v>
      </c>
      <c r="X1984" s="76">
        <f>STOCK[[#This Row],[Ganancia Unitaria]]*STOCK[[#This Row],[Salidas]]</f>
        <v>0</v>
      </c>
      <c r="Y1984" s="76"/>
      <c r="Z1984" s="87"/>
      <c r="AA1984" s="54"/>
      <c r="AB1984" s="54"/>
      <c r="AC1984" s="76"/>
      <c r="AD1984" s="94"/>
    </row>
    <row r="1985" s="53" customFormat="1" ht="50" customHeight="1" spans="1:30">
      <c r="A1985" s="95" t="s">
        <v>3891</v>
      </c>
      <c r="B1985" s="83"/>
      <c r="C1985" s="53" t="s">
        <v>32</v>
      </c>
      <c r="D1985" s="84" t="s">
        <v>2897</v>
      </c>
      <c r="E1985" s="103" t="s">
        <v>3890</v>
      </c>
      <c r="F1985" s="102" t="s">
        <v>49</v>
      </c>
      <c r="G1985" s="76"/>
      <c r="H1985" s="76">
        <f>STOCK[[#This Row],[Precio Final]]</f>
        <v>3</v>
      </c>
      <c r="I1985" s="80">
        <f>STOCK[[#This Row],[Precio Venta Ideal (x1.5)]]</f>
        <v>2.55</v>
      </c>
      <c r="J1985" s="102">
        <v>4</v>
      </c>
      <c r="K1985" s="78">
        <f>SUMIFS(VENTAS[Cantidad],VENTAS[Código del producto Vendido],STOCK[[#This Row],[Code]])</f>
        <v>0</v>
      </c>
      <c r="L1985" s="78">
        <f>STOCK[[#This Row],[Entradas]]-STOCK[[#This Row],[Salidas]]</f>
        <v>4</v>
      </c>
      <c r="M1985" s="76">
        <f>STOCK[[#This Row],[Precio Final]]*10%</f>
        <v>0.3</v>
      </c>
      <c r="N1985" s="54">
        <v>0</v>
      </c>
      <c r="O1985" s="76">
        <v>0</v>
      </c>
      <c r="P1985" s="109">
        <v>0.9</v>
      </c>
      <c r="Q1985" s="76">
        <v>0</v>
      </c>
      <c r="R1985" s="78">
        <v>0</v>
      </c>
      <c r="S1985" s="111">
        <v>0.5</v>
      </c>
      <c r="T1985" s="76">
        <f>STOCK[[#This Row],[Costo Unitario (USD)]]+STOCK[[#This Row],[Costo Envío (USD)]]+STOCK[[#This Row],[Comisión 10%]]</f>
        <v>1.7</v>
      </c>
      <c r="U1985" s="53">
        <f>STOCK[[#This Row],[Costo total]]*1.5</f>
        <v>2.55</v>
      </c>
      <c r="V1985" s="53">
        <v>3</v>
      </c>
      <c r="W1985" s="76">
        <f>STOCK[[#This Row],[Precio Final]]-STOCK[[#This Row],[Costo total]]</f>
        <v>1.3</v>
      </c>
      <c r="X1985" s="76">
        <f>STOCK[[#This Row],[Ganancia Unitaria]]*STOCK[[#This Row],[Salidas]]</f>
        <v>0</v>
      </c>
      <c r="Y1985" s="76"/>
      <c r="Z1985" s="87"/>
      <c r="AA1985" s="54"/>
      <c r="AB1985" s="54"/>
      <c r="AC1985" s="76"/>
      <c r="AD1985" s="94"/>
    </row>
    <row r="1986" s="53" customFormat="1" ht="50" customHeight="1" spans="1:30">
      <c r="A1986" s="95" t="s">
        <v>3892</v>
      </c>
      <c r="B1986" s="83"/>
      <c r="C1986" s="53" t="s">
        <v>32</v>
      </c>
      <c r="D1986" s="84" t="s">
        <v>2897</v>
      </c>
      <c r="E1986" s="103" t="s">
        <v>3890</v>
      </c>
      <c r="F1986" s="102" t="s">
        <v>46</v>
      </c>
      <c r="G1986" s="76"/>
      <c r="H1986" s="76">
        <f>STOCK[[#This Row],[Precio Final]]</f>
        <v>3</v>
      </c>
      <c r="I1986" s="80">
        <f>STOCK[[#This Row],[Precio Venta Ideal (x1.5)]]</f>
        <v>2.55</v>
      </c>
      <c r="J1986" s="102">
        <v>4</v>
      </c>
      <c r="K1986" s="78">
        <f>SUMIFS(VENTAS[Cantidad],VENTAS[Código del producto Vendido],STOCK[[#This Row],[Code]])</f>
        <v>0</v>
      </c>
      <c r="L1986" s="78">
        <f>STOCK[[#This Row],[Entradas]]-STOCK[[#This Row],[Salidas]]</f>
        <v>4</v>
      </c>
      <c r="M1986" s="76">
        <f>STOCK[[#This Row],[Precio Final]]*10%</f>
        <v>0.3</v>
      </c>
      <c r="N1986" s="54">
        <v>0</v>
      </c>
      <c r="O1986" s="76">
        <v>0</v>
      </c>
      <c r="P1986" s="109">
        <v>0.9</v>
      </c>
      <c r="Q1986" s="76">
        <v>0</v>
      </c>
      <c r="R1986" s="78">
        <v>0</v>
      </c>
      <c r="S1986" s="110">
        <v>0.5</v>
      </c>
      <c r="T1986" s="76">
        <f>STOCK[[#This Row],[Costo Unitario (USD)]]+STOCK[[#This Row],[Costo Envío (USD)]]+STOCK[[#This Row],[Comisión 10%]]</f>
        <v>1.7</v>
      </c>
      <c r="U1986" s="53">
        <f>STOCK[[#This Row],[Costo total]]*1.5</f>
        <v>2.55</v>
      </c>
      <c r="V1986" s="53">
        <v>3</v>
      </c>
      <c r="W1986" s="76">
        <f>STOCK[[#This Row],[Precio Final]]-STOCK[[#This Row],[Costo total]]</f>
        <v>1.3</v>
      </c>
      <c r="X1986" s="76">
        <f>STOCK[[#This Row],[Ganancia Unitaria]]*STOCK[[#This Row],[Salidas]]</f>
        <v>0</v>
      </c>
      <c r="Y1986" s="76"/>
      <c r="Z1986" s="87"/>
      <c r="AA1986" s="54"/>
      <c r="AB1986" s="54"/>
      <c r="AC1986" s="76"/>
      <c r="AD1986" s="94"/>
    </row>
    <row r="1987" s="53" customFormat="1" ht="50" customHeight="1" spans="1:30">
      <c r="A1987" s="95" t="s">
        <v>3893</v>
      </c>
      <c r="B1987" s="83"/>
      <c r="C1987" s="53" t="s">
        <v>32</v>
      </c>
      <c r="D1987" s="84" t="s">
        <v>2897</v>
      </c>
      <c r="E1987" s="103" t="s">
        <v>3894</v>
      </c>
      <c r="F1987" s="102" t="s">
        <v>62</v>
      </c>
      <c r="G1987" s="76"/>
      <c r="H1987" s="76">
        <f>STOCK[[#This Row],[Precio Final]]</f>
        <v>3</v>
      </c>
      <c r="I1987" s="80">
        <f>STOCK[[#This Row],[Precio Venta Ideal (x1.5)]]</f>
        <v>2.55</v>
      </c>
      <c r="J1987" s="102">
        <v>4</v>
      </c>
      <c r="K1987" s="78">
        <f>SUMIFS(VENTAS[Cantidad],VENTAS[Código del producto Vendido],STOCK[[#This Row],[Code]])</f>
        <v>0</v>
      </c>
      <c r="L1987" s="78">
        <f>STOCK[[#This Row],[Entradas]]-STOCK[[#This Row],[Salidas]]</f>
        <v>4</v>
      </c>
      <c r="M1987" s="76">
        <f>STOCK[[#This Row],[Precio Final]]*10%</f>
        <v>0.3</v>
      </c>
      <c r="N1987" s="54">
        <v>0</v>
      </c>
      <c r="O1987" s="76">
        <v>0</v>
      </c>
      <c r="P1987" s="109">
        <v>0.9</v>
      </c>
      <c r="Q1987" s="76">
        <v>0</v>
      </c>
      <c r="R1987" s="78">
        <v>0</v>
      </c>
      <c r="S1987" s="111">
        <v>0.5</v>
      </c>
      <c r="T1987" s="76">
        <f>STOCK[[#This Row],[Costo Unitario (USD)]]+STOCK[[#This Row],[Costo Envío (USD)]]+STOCK[[#This Row],[Comisión 10%]]</f>
        <v>1.7</v>
      </c>
      <c r="U1987" s="53">
        <f>STOCK[[#This Row],[Costo total]]*1.5</f>
        <v>2.55</v>
      </c>
      <c r="V1987" s="53">
        <v>3</v>
      </c>
      <c r="W1987" s="76">
        <f>STOCK[[#This Row],[Precio Final]]-STOCK[[#This Row],[Costo total]]</f>
        <v>1.3</v>
      </c>
      <c r="X1987" s="76">
        <f>STOCK[[#This Row],[Ganancia Unitaria]]*STOCK[[#This Row],[Salidas]]</f>
        <v>0</v>
      </c>
      <c r="Y1987" s="76"/>
      <c r="Z1987" s="87"/>
      <c r="AA1987" s="54"/>
      <c r="AB1987" s="54"/>
      <c r="AC1987" s="76"/>
      <c r="AD1987" s="94"/>
    </row>
    <row r="1988" s="53" customFormat="1" ht="50" customHeight="1" spans="1:30">
      <c r="A1988" s="95" t="s">
        <v>3895</v>
      </c>
      <c r="B1988" s="83"/>
      <c r="C1988" s="53" t="s">
        <v>32</v>
      </c>
      <c r="D1988" s="84" t="s">
        <v>2897</v>
      </c>
      <c r="E1988" s="103" t="s">
        <v>3894</v>
      </c>
      <c r="F1988" s="102" t="s">
        <v>49</v>
      </c>
      <c r="G1988" s="76"/>
      <c r="H1988" s="76">
        <f>STOCK[[#This Row],[Precio Final]]</f>
        <v>3</v>
      </c>
      <c r="I1988" s="80">
        <f>STOCK[[#This Row],[Precio Venta Ideal (x1.5)]]</f>
        <v>2.55</v>
      </c>
      <c r="J1988" s="102">
        <v>4</v>
      </c>
      <c r="K1988" s="78">
        <f>SUMIFS(VENTAS[Cantidad],VENTAS[Código del producto Vendido],STOCK[[#This Row],[Code]])</f>
        <v>0</v>
      </c>
      <c r="L1988" s="78">
        <f>STOCK[[#This Row],[Entradas]]-STOCK[[#This Row],[Salidas]]</f>
        <v>4</v>
      </c>
      <c r="M1988" s="76">
        <f>STOCK[[#This Row],[Precio Final]]*10%</f>
        <v>0.3</v>
      </c>
      <c r="N1988" s="54">
        <v>0</v>
      </c>
      <c r="O1988" s="76">
        <v>0</v>
      </c>
      <c r="P1988" s="109">
        <v>0.9</v>
      </c>
      <c r="Q1988" s="76">
        <v>0</v>
      </c>
      <c r="R1988" s="78">
        <v>0</v>
      </c>
      <c r="S1988" s="110">
        <v>0.5</v>
      </c>
      <c r="T1988" s="76">
        <f>STOCK[[#This Row],[Costo Unitario (USD)]]+STOCK[[#This Row],[Costo Envío (USD)]]+STOCK[[#This Row],[Comisión 10%]]</f>
        <v>1.7</v>
      </c>
      <c r="U1988" s="53">
        <f>STOCK[[#This Row],[Costo total]]*1.5</f>
        <v>2.55</v>
      </c>
      <c r="V1988" s="53">
        <v>3</v>
      </c>
      <c r="W1988" s="76">
        <f>STOCK[[#This Row],[Precio Final]]-STOCK[[#This Row],[Costo total]]</f>
        <v>1.3</v>
      </c>
      <c r="X1988" s="76">
        <f>STOCK[[#This Row],[Ganancia Unitaria]]*STOCK[[#This Row],[Salidas]]</f>
        <v>0</v>
      </c>
      <c r="Y1988" s="76"/>
      <c r="Z1988" s="87"/>
      <c r="AA1988" s="54"/>
      <c r="AB1988" s="54"/>
      <c r="AC1988" s="76"/>
      <c r="AD1988" s="94"/>
    </row>
    <row r="1989" s="53" customFormat="1" ht="50" customHeight="1" spans="1:30">
      <c r="A1989" s="95" t="s">
        <v>3896</v>
      </c>
      <c r="B1989" s="83"/>
      <c r="C1989" s="53" t="s">
        <v>32</v>
      </c>
      <c r="D1989" s="84" t="s">
        <v>2897</v>
      </c>
      <c r="E1989" s="103" t="s">
        <v>3894</v>
      </c>
      <c r="F1989" s="102" t="s">
        <v>46</v>
      </c>
      <c r="G1989" s="76"/>
      <c r="H1989" s="76">
        <f>STOCK[[#This Row],[Precio Final]]</f>
        <v>3</v>
      </c>
      <c r="I1989" s="80">
        <f>STOCK[[#This Row],[Precio Venta Ideal (x1.5)]]</f>
        <v>2.55</v>
      </c>
      <c r="J1989" s="102">
        <v>4</v>
      </c>
      <c r="K1989" s="78">
        <f>SUMIFS(VENTAS[Cantidad],VENTAS[Código del producto Vendido],STOCK[[#This Row],[Code]])</f>
        <v>0</v>
      </c>
      <c r="L1989" s="78">
        <f>STOCK[[#This Row],[Entradas]]-STOCK[[#This Row],[Salidas]]</f>
        <v>4</v>
      </c>
      <c r="M1989" s="76">
        <f>STOCK[[#This Row],[Precio Final]]*10%</f>
        <v>0.3</v>
      </c>
      <c r="N1989" s="54">
        <v>0</v>
      </c>
      <c r="O1989" s="76">
        <v>0</v>
      </c>
      <c r="P1989" s="109">
        <v>0.9</v>
      </c>
      <c r="Q1989" s="76">
        <v>0</v>
      </c>
      <c r="R1989" s="78">
        <v>0</v>
      </c>
      <c r="S1989" s="111">
        <v>0.5</v>
      </c>
      <c r="T1989" s="76">
        <f>STOCK[[#This Row],[Costo Unitario (USD)]]+STOCK[[#This Row],[Costo Envío (USD)]]+STOCK[[#This Row],[Comisión 10%]]</f>
        <v>1.7</v>
      </c>
      <c r="U1989" s="53">
        <f>STOCK[[#This Row],[Costo total]]*1.5</f>
        <v>2.55</v>
      </c>
      <c r="V1989" s="53">
        <v>3</v>
      </c>
      <c r="W1989" s="76">
        <f>STOCK[[#This Row],[Precio Final]]-STOCK[[#This Row],[Costo total]]</f>
        <v>1.3</v>
      </c>
      <c r="X1989" s="76">
        <f>STOCK[[#This Row],[Ganancia Unitaria]]*STOCK[[#This Row],[Salidas]]</f>
        <v>0</v>
      </c>
      <c r="Y1989" s="76"/>
      <c r="Z1989" s="87"/>
      <c r="AA1989" s="54"/>
      <c r="AB1989" s="54"/>
      <c r="AC1989" s="76"/>
      <c r="AD1989" s="94"/>
    </row>
    <row r="1990" s="53" customFormat="1" ht="50" customHeight="1" spans="1:30">
      <c r="A1990" s="95" t="s">
        <v>3897</v>
      </c>
      <c r="B1990" s="83"/>
      <c r="C1990" s="53" t="s">
        <v>32</v>
      </c>
      <c r="D1990" s="84" t="s">
        <v>2897</v>
      </c>
      <c r="E1990" s="103" t="s">
        <v>3898</v>
      </c>
      <c r="F1990" s="102" t="s">
        <v>62</v>
      </c>
      <c r="G1990" s="76"/>
      <c r="H1990" s="76">
        <f>STOCK[[#This Row],[Precio Final]]</f>
        <v>3</v>
      </c>
      <c r="I1990" s="80">
        <f>STOCK[[#This Row],[Precio Venta Ideal (x1.5)]]</f>
        <v>2.55</v>
      </c>
      <c r="J1990" s="102">
        <v>4</v>
      </c>
      <c r="K1990" s="78">
        <f>SUMIFS(VENTAS[Cantidad],VENTAS[Código del producto Vendido],STOCK[[#This Row],[Code]])</f>
        <v>0</v>
      </c>
      <c r="L1990" s="78">
        <f>STOCK[[#This Row],[Entradas]]-STOCK[[#This Row],[Salidas]]</f>
        <v>4</v>
      </c>
      <c r="M1990" s="76">
        <f>STOCK[[#This Row],[Precio Final]]*10%</f>
        <v>0.3</v>
      </c>
      <c r="N1990" s="54">
        <v>0</v>
      </c>
      <c r="O1990" s="76">
        <v>0</v>
      </c>
      <c r="P1990" s="109">
        <v>0.9</v>
      </c>
      <c r="Q1990" s="76">
        <v>0</v>
      </c>
      <c r="R1990" s="78">
        <v>0</v>
      </c>
      <c r="S1990" s="110">
        <v>0.5</v>
      </c>
      <c r="T1990" s="76">
        <f>STOCK[[#This Row],[Costo Unitario (USD)]]+STOCK[[#This Row],[Costo Envío (USD)]]+STOCK[[#This Row],[Comisión 10%]]</f>
        <v>1.7</v>
      </c>
      <c r="U1990" s="53">
        <f>STOCK[[#This Row],[Costo total]]*1.5</f>
        <v>2.55</v>
      </c>
      <c r="V1990" s="53">
        <v>3</v>
      </c>
      <c r="W1990" s="76">
        <f>STOCK[[#This Row],[Precio Final]]-STOCK[[#This Row],[Costo total]]</f>
        <v>1.3</v>
      </c>
      <c r="X1990" s="76">
        <f>STOCK[[#This Row],[Ganancia Unitaria]]*STOCK[[#This Row],[Salidas]]</f>
        <v>0</v>
      </c>
      <c r="Y1990" s="76"/>
      <c r="Z1990" s="87"/>
      <c r="AA1990" s="54"/>
      <c r="AB1990" s="54"/>
      <c r="AC1990" s="76"/>
      <c r="AD1990" s="94"/>
    </row>
    <row r="1991" s="53" customFormat="1" ht="50" customHeight="1" spans="1:30">
      <c r="A1991" s="95" t="s">
        <v>3899</v>
      </c>
      <c r="B1991" s="83"/>
      <c r="C1991" s="53" t="s">
        <v>32</v>
      </c>
      <c r="D1991" s="84" t="s">
        <v>2897</v>
      </c>
      <c r="E1991" s="103" t="s">
        <v>3898</v>
      </c>
      <c r="F1991" s="102" t="s">
        <v>49</v>
      </c>
      <c r="G1991" s="76"/>
      <c r="H1991" s="76">
        <f>STOCK[[#This Row],[Precio Final]]</f>
        <v>3</v>
      </c>
      <c r="I1991" s="80">
        <f>STOCK[[#This Row],[Precio Venta Ideal (x1.5)]]</f>
        <v>2.55</v>
      </c>
      <c r="J1991" s="102">
        <v>4</v>
      </c>
      <c r="K1991" s="78">
        <f>SUMIFS(VENTAS[Cantidad],VENTAS[Código del producto Vendido],STOCK[[#This Row],[Code]])</f>
        <v>0</v>
      </c>
      <c r="L1991" s="78">
        <f>STOCK[[#This Row],[Entradas]]-STOCK[[#This Row],[Salidas]]</f>
        <v>4</v>
      </c>
      <c r="M1991" s="76">
        <f>STOCK[[#This Row],[Precio Final]]*10%</f>
        <v>0.3</v>
      </c>
      <c r="N1991" s="54">
        <v>0</v>
      </c>
      <c r="O1991" s="76">
        <v>0</v>
      </c>
      <c r="P1991" s="109">
        <v>0.9</v>
      </c>
      <c r="Q1991" s="76">
        <v>0</v>
      </c>
      <c r="R1991" s="78">
        <v>0</v>
      </c>
      <c r="S1991" s="111">
        <v>0.5</v>
      </c>
      <c r="T1991" s="76">
        <f>STOCK[[#This Row],[Costo Unitario (USD)]]+STOCK[[#This Row],[Costo Envío (USD)]]+STOCK[[#This Row],[Comisión 10%]]</f>
        <v>1.7</v>
      </c>
      <c r="U1991" s="53">
        <f>STOCK[[#This Row],[Costo total]]*1.5</f>
        <v>2.55</v>
      </c>
      <c r="V1991" s="53">
        <v>3</v>
      </c>
      <c r="W1991" s="76">
        <f>STOCK[[#This Row],[Precio Final]]-STOCK[[#This Row],[Costo total]]</f>
        <v>1.3</v>
      </c>
      <c r="X1991" s="76">
        <f>STOCK[[#This Row],[Ganancia Unitaria]]*STOCK[[#This Row],[Salidas]]</f>
        <v>0</v>
      </c>
      <c r="Y1991" s="76"/>
      <c r="Z1991" s="87"/>
      <c r="AA1991" s="54"/>
      <c r="AB1991" s="54"/>
      <c r="AC1991" s="76"/>
      <c r="AD1991" s="94"/>
    </row>
    <row r="1992" s="53" customFormat="1" ht="50" customHeight="1" spans="1:30">
      <c r="A1992" s="95" t="s">
        <v>3900</v>
      </c>
      <c r="B1992" s="83"/>
      <c r="C1992" s="53" t="s">
        <v>32</v>
      </c>
      <c r="D1992" s="84" t="s">
        <v>2897</v>
      </c>
      <c r="E1992" s="103" t="s">
        <v>3898</v>
      </c>
      <c r="F1992" s="102" t="s">
        <v>46</v>
      </c>
      <c r="G1992" s="76"/>
      <c r="H1992" s="76">
        <f>STOCK[[#This Row],[Precio Final]]</f>
        <v>3</v>
      </c>
      <c r="I1992" s="80">
        <f>STOCK[[#This Row],[Precio Venta Ideal (x1.5)]]</f>
        <v>2.55</v>
      </c>
      <c r="J1992" s="102">
        <v>4</v>
      </c>
      <c r="K1992" s="78">
        <f>SUMIFS(VENTAS[Cantidad],VENTAS[Código del producto Vendido],STOCK[[#This Row],[Code]])</f>
        <v>0</v>
      </c>
      <c r="L1992" s="78">
        <f>STOCK[[#This Row],[Entradas]]-STOCK[[#This Row],[Salidas]]</f>
        <v>4</v>
      </c>
      <c r="M1992" s="76">
        <f>STOCK[[#This Row],[Precio Final]]*10%</f>
        <v>0.3</v>
      </c>
      <c r="N1992" s="54">
        <v>0</v>
      </c>
      <c r="O1992" s="76">
        <v>0</v>
      </c>
      <c r="P1992" s="109">
        <v>0.9</v>
      </c>
      <c r="Q1992" s="76">
        <v>0</v>
      </c>
      <c r="R1992" s="78">
        <v>0</v>
      </c>
      <c r="S1992" s="110">
        <v>0.5</v>
      </c>
      <c r="T1992" s="76">
        <f>STOCK[[#This Row],[Costo Unitario (USD)]]+STOCK[[#This Row],[Costo Envío (USD)]]+STOCK[[#This Row],[Comisión 10%]]</f>
        <v>1.7</v>
      </c>
      <c r="U1992" s="53">
        <f>STOCK[[#This Row],[Costo total]]*1.5</f>
        <v>2.55</v>
      </c>
      <c r="V1992" s="53">
        <v>3</v>
      </c>
      <c r="W1992" s="76">
        <f>STOCK[[#This Row],[Precio Final]]-STOCK[[#This Row],[Costo total]]</f>
        <v>1.3</v>
      </c>
      <c r="X1992" s="76">
        <f>STOCK[[#This Row],[Ganancia Unitaria]]*STOCK[[#This Row],[Salidas]]</f>
        <v>0</v>
      </c>
      <c r="Y1992" s="76"/>
      <c r="Z1992" s="87"/>
      <c r="AA1992" s="54"/>
      <c r="AB1992" s="54"/>
      <c r="AC1992" s="76"/>
      <c r="AD1992" s="94"/>
    </row>
    <row r="1993" s="53" customFormat="1" ht="50" customHeight="1" spans="1:30">
      <c r="A1993" s="95" t="s">
        <v>3901</v>
      </c>
      <c r="B1993" s="83"/>
      <c r="C1993" s="53" t="s">
        <v>32</v>
      </c>
      <c r="D1993" s="84" t="s">
        <v>2897</v>
      </c>
      <c r="E1993" s="103" t="s">
        <v>3902</v>
      </c>
      <c r="F1993" s="102" t="s">
        <v>62</v>
      </c>
      <c r="G1993" s="76"/>
      <c r="H1993" s="76">
        <f>STOCK[[#This Row],[Precio Final]]</f>
        <v>3</v>
      </c>
      <c r="I1993" s="80">
        <f>STOCK[[#This Row],[Precio Venta Ideal (x1.5)]]</f>
        <v>2.55</v>
      </c>
      <c r="J1993" s="102">
        <v>4</v>
      </c>
      <c r="K1993" s="78">
        <f>SUMIFS(VENTAS[Cantidad],VENTAS[Código del producto Vendido],STOCK[[#This Row],[Code]])</f>
        <v>0</v>
      </c>
      <c r="L1993" s="78">
        <f>STOCK[[#This Row],[Entradas]]-STOCK[[#This Row],[Salidas]]</f>
        <v>4</v>
      </c>
      <c r="M1993" s="76">
        <f>STOCK[[#This Row],[Precio Final]]*10%</f>
        <v>0.3</v>
      </c>
      <c r="N1993" s="54">
        <v>0</v>
      </c>
      <c r="O1993" s="76">
        <v>0</v>
      </c>
      <c r="P1993" s="109">
        <v>0.9</v>
      </c>
      <c r="Q1993" s="76">
        <v>0</v>
      </c>
      <c r="R1993" s="78">
        <v>0</v>
      </c>
      <c r="S1993" s="111">
        <v>0.5</v>
      </c>
      <c r="T1993" s="76">
        <f>STOCK[[#This Row],[Costo Unitario (USD)]]+STOCK[[#This Row],[Costo Envío (USD)]]+STOCK[[#This Row],[Comisión 10%]]</f>
        <v>1.7</v>
      </c>
      <c r="U1993" s="53">
        <f>STOCK[[#This Row],[Costo total]]*1.5</f>
        <v>2.55</v>
      </c>
      <c r="V1993" s="53">
        <v>3</v>
      </c>
      <c r="W1993" s="76">
        <f>STOCK[[#This Row],[Precio Final]]-STOCK[[#This Row],[Costo total]]</f>
        <v>1.3</v>
      </c>
      <c r="X1993" s="76">
        <f>STOCK[[#This Row],[Ganancia Unitaria]]*STOCK[[#This Row],[Salidas]]</f>
        <v>0</v>
      </c>
      <c r="Y1993" s="76"/>
      <c r="Z1993" s="87"/>
      <c r="AA1993" s="54"/>
      <c r="AB1993" s="54"/>
      <c r="AC1993" s="76"/>
      <c r="AD1993" s="94"/>
    </row>
    <row r="1994" s="53" customFormat="1" ht="50" customHeight="1" spans="1:30">
      <c r="A1994" s="95" t="s">
        <v>3903</v>
      </c>
      <c r="B1994" s="83"/>
      <c r="C1994" s="53" t="s">
        <v>32</v>
      </c>
      <c r="D1994" s="84" t="s">
        <v>2897</v>
      </c>
      <c r="E1994" s="103" t="s">
        <v>3902</v>
      </c>
      <c r="F1994" s="102" t="s">
        <v>49</v>
      </c>
      <c r="G1994" s="76"/>
      <c r="H1994" s="76">
        <f>STOCK[[#This Row],[Precio Final]]</f>
        <v>3</v>
      </c>
      <c r="I1994" s="80">
        <f>STOCK[[#This Row],[Precio Venta Ideal (x1.5)]]</f>
        <v>2.55</v>
      </c>
      <c r="J1994" s="102">
        <v>4</v>
      </c>
      <c r="K1994" s="78">
        <f>SUMIFS(VENTAS[Cantidad],VENTAS[Código del producto Vendido],STOCK[[#This Row],[Code]])</f>
        <v>0</v>
      </c>
      <c r="L1994" s="78">
        <f>STOCK[[#This Row],[Entradas]]-STOCK[[#This Row],[Salidas]]</f>
        <v>4</v>
      </c>
      <c r="M1994" s="76">
        <f>STOCK[[#This Row],[Precio Final]]*10%</f>
        <v>0.3</v>
      </c>
      <c r="N1994" s="54">
        <v>0</v>
      </c>
      <c r="O1994" s="76">
        <v>0</v>
      </c>
      <c r="P1994" s="109">
        <v>0.9</v>
      </c>
      <c r="Q1994" s="76">
        <v>0</v>
      </c>
      <c r="R1994" s="78">
        <v>0</v>
      </c>
      <c r="S1994" s="110">
        <v>0.5</v>
      </c>
      <c r="T1994" s="76">
        <f>STOCK[[#This Row],[Costo Unitario (USD)]]+STOCK[[#This Row],[Costo Envío (USD)]]+STOCK[[#This Row],[Comisión 10%]]</f>
        <v>1.7</v>
      </c>
      <c r="U1994" s="53">
        <f>STOCK[[#This Row],[Costo total]]*1.5</f>
        <v>2.55</v>
      </c>
      <c r="V1994" s="53">
        <v>3</v>
      </c>
      <c r="W1994" s="76">
        <f>STOCK[[#This Row],[Precio Final]]-STOCK[[#This Row],[Costo total]]</f>
        <v>1.3</v>
      </c>
      <c r="X1994" s="76">
        <f>STOCK[[#This Row],[Ganancia Unitaria]]*STOCK[[#This Row],[Salidas]]</f>
        <v>0</v>
      </c>
      <c r="Y1994" s="76"/>
      <c r="Z1994" s="87"/>
      <c r="AA1994" s="54"/>
      <c r="AB1994" s="54"/>
      <c r="AC1994" s="76"/>
      <c r="AD1994" s="94"/>
    </row>
    <row r="1995" s="53" customFormat="1" ht="50" customHeight="1" spans="1:30">
      <c r="A1995" s="95" t="s">
        <v>3904</v>
      </c>
      <c r="B1995" s="83"/>
      <c r="C1995" s="53" t="s">
        <v>32</v>
      </c>
      <c r="D1995" s="84" t="s">
        <v>2897</v>
      </c>
      <c r="E1995" s="103" t="s">
        <v>3902</v>
      </c>
      <c r="F1995" s="102" t="s">
        <v>46</v>
      </c>
      <c r="G1995" s="76"/>
      <c r="H1995" s="76">
        <f>STOCK[[#This Row],[Precio Final]]</f>
        <v>3</v>
      </c>
      <c r="I1995" s="80">
        <f>STOCK[[#This Row],[Precio Venta Ideal (x1.5)]]</f>
        <v>2.55</v>
      </c>
      <c r="J1995" s="102">
        <v>4</v>
      </c>
      <c r="K1995" s="78">
        <f>SUMIFS(VENTAS[Cantidad],VENTAS[Código del producto Vendido],STOCK[[#This Row],[Code]])</f>
        <v>0</v>
      </c>
      <c r="L1995" s="78">
        <f>STOCK[[#This Row],[Entradas]]-STOCK[[#This Row],[Salidas]]</f>
        <v>4</v>
      </c>
      <c r="M1995" s="76">
        <f>STOCK[[#This Row],[Precio Final]]*10%</f>
        <v>0.3</v>
      </c>
      <c r="N1995" s="54">
        <v>0</v>
      </c>
      <c r="O1995" s="76">
        <v>0</v>
      </c>
      <c r="P1995" s="109">
        <v>0.9</v>
      </c>
      <c r="Q1995" s="76">
        <v>0</v>
      </c>
      <c r="R1995" s="78">
        <v>0</v>
      </c>
      <c r="S1995" s="111">
        <v>0.5</v>
      </c>
      <c r="T1995" s="76">
        <f>STOCK[[#This Row],[Costo Unitario (USD)]]+STOCK[[#This Row],[Costo Envío (USD)]]+STOCK[[#This Row],[Comisión 10%]]</f>
        <v>1.7</v>
      </c>
      <c r="U1995" s="53">
        <f>STOCK[[#This Row],[Costo total]]*1.5</f>
        <v>2.55</v>
      </c>
      <c r="V1995" s="53">
        <v>3</v>
      </c>
      <c r="W1995" s="76">
        <f>STOCK[[#This Row],[Precio Final]]-STOCK[[#This Row],[Costo total]]</f>
        <v>1.3</v>
      </c>
      <c r="X1995" s="76">
        <f>STOCK[[#This Row],[Ganancia Unitaria]]*STOCK[[#This Row],[Salidas]]</f>
        <v>0</v>
      </c>
      <c r="Y1995" s="76"/>
      <c r="Z1995" s="87"/>
      <c r="AA1995" s="54"/>
      <c r="AB1995" s="54"/>
      <c r="AC1995" s="76"/>
      <c r="AD1995" s="94"/>
    </row>
    <row r="1996" s="53" customFormat="1" ht="50" customHeight="1" spans="1:30">
      <c r="A1996" s="95" t="s">
        <v>3905</v>
      </c>
      <c r="B1996" s="83"/>
      <c r="C1996" s="53" t="s">
        <v>32</v>
      </c>
      <c r="D1996" s="84" t="s">
        <v>2897</v>
      </c>
      <c r="E1996" s="103" t="s">
        <v>3906</v>
      </c>
      <c r="F1996" s="102" t="s">
        <v>62</v>
      </c>
      <c r="G1996" s="76"/>
      <c r="H1996" s="76">
        <f>STOCK[[#This Row],[Precio Final]]</f>
        <v>3</v>
      </c>
      <c r="I1996" s="80">
        <f>STOCK[[#This Row],[Precio Venta Ideal (x1.5)]]</f>
        <v>2.7</v>
      </c>
      <c r="J1996" s="102">
        <v>2</v>
      </c>
      <c r="K1996" s="78">
        <f>SUMIFS(VENTAS[Cantidad],VENTAS[Código del producto Vendido],STOCK[[#This Row],[Code]])</f>
        <v>0</v>
      </c>
      <c r="L1996" s="78">
        <f>STOCK[[#This Row],[Entradas]]-STOCK[[#This Row],[Salidas]]</f>
        <v>2</v>
      </c>
      <c r="M1996" s="76">
        <f>STOCK[[#This Row],[Precio Final]]*10%</f>
        <v>0.3</v>
      </c>
      <c r="N1996" s="54">
        <v>0</v>
      </c>
      <c r="O1996" s="76">
        <v>0</v>
      </c>
      <c r="P1996" s="109">
        <v>1</v>
      </c>
      <c r="Q1996" s="76">
        <v>0</v>
      </c>
      <c r="R1996" s="78">
        <v>0</v>
      </c>
      <c r="S1996" s="110">
        <v>0.5</v>
      </c>
      <c r="T1996" s="76">
        <f>STOCK[[#This Row],[Costo Unitario (USD)]]+STOCK[[#This Row],[Costo Envío (USD)]]+STOCK[[#This Row],[Comisión 10%]]</f>
        <v>1.8</v>
      </c>
      <c r="U1996" s="53">
        <f>STOCK[[#This Row],[Costo total]]*1.5</f>
        <v>2.7</v>
      </c>
      <c r="V1996" s="53">
        <v>3</v>
      </c>
      <c r="W1996" s="76">
        <f>STOCK[[#This Row],[Precio Final]]-STOCK[[#This Row],[Costo total]]</f>
        <v>1.2</v>
      </c>
      <c r="X1996" s="76">
        <f>STOCK[[#This Row],[Ganancia Unitaria]]*STOCK[[#This Row],[Salidas]]</f>
        <v>0</v>
      </c>
      <c r="Y1996" s="76"/>
      <c r="Z1996" s="87"/>
      <c r="AA1996" s="54"/>
      <c r="AB1996" s="54"/>
      <c r="AC1996" s="76"/>
      <c r="AD1996" s="94"/>
    </row>
    <row r="1997" s="53" customFormat="1" ht="50" customHeight="1" spans="1:30">
      <c r="A1997" s="95" t="s">
        <v>3907</v>
      </c>
      <c r="B1997" s="83"/>
      <c r="C1997" s="53" t="s">
        <v>32</v>
      </c>
      <c r="D1997" s="84" t="s">
        <v>2897</v>
      </c>
      <c r="E1997" s="103" t="s">
        <v>3906</v>
      </c>
      <c r="F1997" s="102" t="s">
        <v>49</v>
      </c>
      <c r="G1997" s="76"/>
      <c r="H1997" s="76">
        <f>STOCK[[#This Row],[Precio Final]]</f>
        <v>3</v>
      </c>
      <c r="I1997" s="80">
        <f>STOCK[[#This Row],[Precio Venta Ideal (x1.5)]]</f>
        <v>2.7</v>
      </c>
      <c r="J1997" s="102">
        <v>2</v>
      </c>
      <c r="K1997" s="78">
        <f>SUMIFS(VENTAS[Cantidad],VENTAS[Código del producto Vendido],STOCK[[#This Row],[Code]])</f>
        <v>0</v>
      </c>
      <c r="L1997" s="78">
        <f>STOCK[[#This Row],[Entradas]]-STOCK[[#This Row],[Salidas]]</f>
        <v>2</v>
      </c>
      <c r="M1997" s="76">
        <f>STOCK[[#This Row],[Precio Final]]*10%</f>
        <v>0.3</v>
      </c>
      <c r="N1997" s="54">
        <v>0</v>
      </c>
      <c r="O1997" s="76">
        <v>0</v>
      </c>
      <c r="P1997" s="109">
        <v>1</v>
      </c>
      <c r="Q1997" s="76">
        <v>0</v>
      </c>
      <c r="R1997" s="78">
        <v>0</v>
      </c>
      <c r="S1997" s="111">
        <v>0.5</v>
      </c>
      <c r="T1997" s="76">
        <f>STOCK[[#This Row],[Costo Unitario (USD)]]+STOCK[[#This Row],[Costo Envío (USD)]]+STOCK[[#This Row],[Comisión 10%]]</f>
        <v>1.8</v>
      </c>
      <c r="U1997" s="53">
        <f>STOCK[[#This Row],[Costo total]]*1.5</f>
        <v>2.7</v>
      </c>
      <c r="V1997" s="53">
        <v>3</v>
      </c>
      <c r="W1997" s="76">
        <f>STOCK[[#This Row],[Precio Final]]-STOCK[[#This Row],[Costo total]]</f>
        <v>1.2</v>
      </c>
      <c r="X1997" s="76">
        <f>STOCK[[#This Row],[Ganancia Unitaria]]*STOCK[[#This Row],[Salidas]]</f>
        <v>0</v>
      </c>
      <c r="Y1997" s="76"/>
      <c r="Z1997" s="87"/>
      <c r="AA1997" s="54"/>
      <c r="AB1997" s="54"/>
      <c r="AC1997" s="76"/>
      <c r="AD1997" s="94"/>
    </row>
    <row r="1998" s="53" customFormat="1" ht="50" customHeight="1" spans="1:30">
      <c r="A1998" s="95" t="s">
        <v>3908</v>
      </c>
      <c r="B1998" s="83"/>
      <c r="C1998" s="53" t="s">
        <v>32</v>
      </c>
      <c r="D1998" s="84" t="s">
        <v>2897</v>
      </c>
      <c r="E1998" s="103" t="s">
        <v>3906</v>
      </c>
      <c r="F1998" s="102" t="s">
        <v>46</v>
      </c>
      <c r="G1998" s="76"/>
      <c r="H1998" s="76">
        <f>STOCK[[#This Row],[Precio Final]]</f>
        <v>3</v>
      </c>
      <c r="I1998" s="80">
        <f>STOCK[[#This Row],[Precio Venta Ideal (x1.5)]]</f>
        <v>2.7</v>
      </c>
      <c r="J1998" s="102">
        <v>3</v>
      </c>
      <c r="K1998" s="78">
        <f>SUMIFS(VENTAS[Cantidad],VENTAS[Código del producto Vendido],STOCK[[#This Row],[Code]])</f>
        <v>0</v>
      </c>
      <c r="L1998" s="78">
        <f>STOCK[[#This Row],[Entradas]]-STOCK[[#This Row],[Salidas]]</f>
        <v>3</v>
      </c>
      <c r="M1998" s="76">
        <f>STOCK[[#This Row],[Precio Final]]*10%</f>
        <v>0.3</v>
      </c>
      <c r="N1998" s="54">
        <v>0</v>
      </c>
      <c r="O1998" s="76">
        <v>0</v>
      </c>
      <c r="P1998" s="109">
        <v>1</v>
      </c>
      <c r="Q1998" s="76">
        <v>0</v>
      </c>
      <c r="R1998" s="78">
        <v>0</v>
      </c>
      <c r="S1998" s="110">
        <v>0.5</v>
      </c>
      <c r="T1998" s="76">
        <f>STOCK[[#This Row],[Costo Unitario (USD)]]+STOCK[[#This Row],[Costo Envío (USD)]]+STOCK[[#This Row],[Comisión 10%]]</f>
        <v>1.8</v>
      </c>
      <c r="U1998" s="53">
        <f>STOCK[[#This Row],[Costo total]]*1.5</f>
        <v>2.7</v>
      </c>
      <c r="V1998" s="53">
        <v>3</v>
      </c>
      <c r="W1998" s="76">
        <f>STOCK[[#This Row],[Precio Final]]-STOCK[[#This Row],[Costo total]]</f>
        <v>1.2</v>
      </c>
      <c r="X1998" s="76">
        <f>STOCK[[#This Row],[Ganancia Unitaria]]*STOCK[[#This Row],[Salidas]]</f>
        <v>0</v>
      </c>
      <c r="Y1998" s="76"/>
      <c r="Z1998" s="87"/>
      <c r="AA1998" s="54"/>
      <c r="AB1998" s="54"/>
      <c r="AC1998" s="76"/>
      <c r="AD1998" s="94"/>
    </row>
    <row r="1999" s="53" customFormat="1" ht="50" customHeight="1" spans="1:30">
      <c r="A1999" s="95" t="s">
        <v>3909</v>
      </c>
      <c r="B1999" s="83"/>
      <c r="C1999" s="53" t="s">
        <v>32</v>
      </c>
      <c r="D1999" s="84" t="s">
        <v>2897</v>
      </c>
      <c r="E1999" s="103" t="s">
        <v>3906</v>
      </c>
      <c r="F1999" s="102" t="s">
        <v>42</v>
      </c>
      <c r="G1999" s="76"/>
      <c r="H1999" s="76">
        <f>STOCK[[#This Row],[Precio Final]]</f>
        <v>3</v>
      </c>
      <c r="I1999" s="80">
        <f>STOCK[[#This Row],[Precio Venta Ideal (x1.5)]]</f>
        <v>2.7</v>
      </c>
      <c r="J1999" s="102">
        <v>3</v>
      </c>
      <c r="K1999" s="78">
        <f>SUMIFS(VENTAS[Cantidad],VENTAS[Código del producto Vendido],STOCK[[#This Row],[Code]])</f>
        <v>0</v>
      </c>
      <c r="L1999" s="78">
        <f>STOCK[[#This Row],[Entradas]]-STOCK[[#This Row],[Salidas]]</f>
        <v>3</v>
      </c>
      <c r="M1999" s="76">
        <f>STOCK[[#This Row],[Precio Final]]*10%</f>
        <v>0.3</v>
      </c>
      <c r="N1999" s="54">
        <v>0</v>
      </c>
      <c r="O1999" s="76">
        <v>0</v>
      </c>
      <c r="P1999" s="109">
        <v>1</v>
      </c>
      <c r="Q1999" s="76">
        <v>0</v>
      </c>
      <c r="R1999" s="78">
        <v>0</v>
      </c>
      <c r="S1999" s="111">
        <v>0.5</v>
      </c>
      <c r="T1999" s="76">
        <f>STOCK[[#This Row],[Costo Unitario (USD)]]+STOCK[[#This Row],[Costo Envío (USD)]]+STOCK[[#This Row],[Comisión 10%]]</f>
        <v>1.8</v>
      </c>
      <c r="U1999" s="53">
        <f>STOCK[[#This Row],[Costo total]]*1.5</f>
        <v>2.7</v>
      </c>
      <c r="V1999" s="53">
        <v>3</v>
      </c>
      <c r="W1999" s="76">
        <f>STOCK[[#This Row],[Precio Final]]-STOCK[[#This Row],[Costo total]]</f>
        <v>1.2</v>
      </c>
      <c r="X1999" s="76">
        <f>STOCK[[#This Row],[Ganancia Unitaria]]*STOCK[[#This Row],[Salidas]]</f>
        <v>0</v>
      </c>
      <c r="Y1999" s="76"/>
      <c r="Z1999" s="87"/>
      <c r="AA1999" s="54"/>
      <c r="AB1999" s="54"/>
      <c r="AC1999" s="76"/>
      <c r="AD1999" s="94"/>
    </row>
    <row r="2000" s="53" customFormat="1" ht="50" customHeight="1" spans="1:30">
      <c r="A2000" s="95" t="s">
        <v>3910</v>
      </c>
      <c r="B2000" s="83"/>
      <c r="C2000" s="53" t="s">
        <v>32</v>
      </c>
      <c r="D2000" s="84" t="s">
        <v>2897</v>
      </c>
      <c r="E2000" s="103" t="s">
        <v>3911</v>
      </c>
      <c r="F2000" s="102" t="s">
        <v>62</v>
      </c>
      <c r="G2000" s="76"/>
      <c r="H2000" s="76">
        <f>STOCK[[#This Row],[Precio Final]]</f>
        <v>3</v>
      </c>
      <c r="I2000" s="80">
        <f>STOCK[[#This Row],[Precio Venta Ideal (x1.5)]]</f>
        <v>2.7</v>
      </c>
      <c r="J2000" s="102">
        <v>2</v>
      </c>
      <c r="K2000" s="78">
        <f>SUMIFS(VENTAS[Cantidad],VENTAS[Código del producto Vendido],STOCK[[#This Row],[Code]])</f>
        <v>0</v>
      </c>
      <c r="L2000" s="78">
        <f>STOCK[[#This Row],[Entradas]]-STOCK[[#This Row],[Salidas]]</f>
        <v>2</v>
      </c>
      <c r="M2000" s="76">
        <f>STOCK[[#This Row],[Precio Final]]*10%</f>
        <v>0.3</v>
      </c>
      <c r="N2000" s="54">
        <v>0</v>
      </c>
      <c r="O2000" s="76">
        <v>0</v>
      </c>
      <c r="P2000" s="109">
        <v>1</v>
      </c>
      <c r="Q2000" s="76">
        <v>0</v>
      </c>
      <c r="R2000" s="78">
        <v>0</v>
      </c>
      <c r="S2000" s="110">
        <v>0.5</v>
      </c>
      <c r="T2000" s="76">
        <f>STOCK[[#This Row],[Costo Unitario (USD)]]+STOCK[[#This Row],[Costo Envío (USD)]]+STOCK[[#This Row],[Comisión 10%]]</f>
        <v>1.8</v>
      </c>
      <c r="U2000" s="53">
        <f>STOCK[[#This Row],[Costo total]]*1.5</f>
        <v>2.7</v>
      </c>
      <c r="V2000" s="53">
        <v>3</v>
      </c>
      <c r="W2000" s="76">
        <f>STOCK[[#This Row],[Precio Final]]-STOCK[[#This Row],[Costo total]]</f>
        <v>1.2</v>
      </c>
      <c r="X2000" s="76">
        <f>STOCK[[#This Row],[Ganancia Unitaria]]*STOCK[[#This Row],[Salidas]]</f>
        <v>0</v>
      </c>
      <c r="Y2000" s="76"/>
      <c r="Z2000" s="87"/>
      <c r="AA2000" s="54"/>
      <c r="AB2000" s="54"/>
      <c r="AC2000" s="76"/>
      <c r="AD2000" s="94"/>
    </row>
    <row r="2001" s="53" customFormat="1" ht="50" customHeight="1" spans="1:30">
      <c r="A2001" s="95" t="s">
        <v>3912</v>
      </c>
      <c r="B2001" s="83"/>
      <c r="C2001" s="53" t="s">
        <v>32</v>
      </c>
      <c r="D2001" s="84" t="s">
        <v>2897</v>
      </c>
      <c r="E2001" s="103" t="s">
        <v>3911</v>
      </c>
      <c r="F2001" s="102" t="s">
        <v>49</v>
      </c>
      <c r="G2001" s="76"/>
      <c r="H2001" s="76">
        <f>STOCK[[#This Row],[Precio Final]]</f>
        <v>3</v>
      </c>
      <c r="I2001" s="80">
        <f>STOCK[[#This Row],[Precio Venta Ideal (x1.5)]]</f>
        <v>2.7</v>
      </c>
      <c r="J2001" s="102">
        <v>2</v>
      </c>
      <c r="K2001" s="78">
        <f>SUMIFS(VENTAS[Cantidad],VENTAS[Código del producto Vendido],STOCK[[#This Row],[Code]])</f>
        <v>0</v>
      </c>
      <c r="L2001" s="78">
        <f>STOCK[[#This Row],[Entradas]]-STOCK[[#This Row],[Salidas]]</f>
        <v>2</v>
      </c>
      <c r="M2001" s="76">
        <f>STOCK[[#This Row],[Precio Final]]*10%</f>
        <v>0.3</v>
      </c>
      <c r="N2001" s="54">
        <v>0</v>
      </c>
      <c r="O2001" s="76">
        <v>0</v>
      </c>
      <c r="P2001" s="109">
        <v>1</v>
      </c>
      <c r="Q2001" s="76">
        <v>0</v>
      </c>
      <c r="R2001" s="78">
        <v>0</v>
      </c>
      <c r="S2001" s="111">
        <v>0.5</v>
      </c>
      <c r="T2001" s="76">
        <f>STOCK[[#This Row],[Costo Unitario (USD)]]+STOCK[[#This Row],[Costo Envío (USD)]]+STOCK[[#This Row],[Comisión 10%]]</f>
        <v>1.8</v>
      </c>
      <c r="U2001" s="53">
        <f>STOCK[[#This Row],[Costo total]]*1.5</f>
        <v>2.7</v>
      </c>
      <c r="V2001" s="53">
        <v>3</v>
      </c>
      <c r="W2001" s="76">
        <f>STOCK[[#This Row],[Precio Final]]-STOCK[[#This Row],[Costo total]]</f>
        <v>1.2</v>
      </c>
      <c r="X2001" s="76">
        <f>STOCK[[#This Row],[Ganancia Unitaria]]*STOCK[[#This Row],[Salidas]]</f>
        <v>0</v>
      </c>
      <c r="Y2001" s="76"/>
      <c r="Z2001" s="87"/>
      <c r="AA2001" s="54"/>
      <c r="AB2001" s="54"/>
      <c r="AC2001" s="76"/>
      <c r="AD2001" s="94"/>
    </row>
    <row r="2002" s="53" customFormat="1" ht="50" customHeight="1" spans="1:30">
      <c r="A2002" s="95" t="s">
        <v>3913</v>
      </c>
      <c r="B2002" s="83"/>
      <c r="C2002" s="53" t="s">
        <v>32</v>
      </c>
      <c r="D2002" s="84" t="s">
        <v>2897</v>
      </c>
      <c r="E2002" s="103" t="s">
        <v>3911</v>
      </c>
      <c r="F2002" s="102" t="s">
        <v>46</v>
      </c>
      <c r="G2002" s="76"/>
      <c r="H2002" s="76">
        <f>STOCK[[#This Row],[Precio Final]]</f>
        <v>3</v>
      </c>
      <c r="I2002" s="80">
        <f>STOCK[[#This Row],[Precio Venta Ideal (x1.5)]]</f>
        <v>2.7</v>
      </c>
      <c r="J2002" s="102">
        <v>3</v>
      </c>
      <c r="K2002" s="78">
        <f>SUMIFS(VENTAS[Cantidad],VENTAS[Código del producto Vendido],STOCK[[#This Row],[Code]])</f>
        <v>0</v>
      </c>
      <c r="L2002" s="78">
        <f>STOCK[[#This Row],[Entradas]]-STOCK[[#This Row],[Salidas]]</f>
        <v>3</v>
      </c>
      <c r="M2002" s="76">
        <f>STOCK[[#This Row],[Precio Final]]*10%</f>
        <v>0.3</v>
      </c>
      <c r="N2002" s="54">
        <v>0</v>
      </c>
      <c r="O2002" s="76">
        <v>0</v>
      </c>
      <c r="P2002" s="109">
        <v>1</v>
      </c>
      <c r="Q2002" s="76">
        <v>0</v>
      </c>
      <c r="R2002" s="78">
        <v>0</v>
      </c>
      <c r="S2002" s="110">
        <v>0.5</v>
      </c>
      <c r="T2002" s="76">
        <f>STOCK[[#This Row],[Costo Unitario (USD)]]+STOCK[[#This Row],[Costo Envío (USD)]]+STOCK[[#This Row],[Comisión 10%]]</f>
        <v>1.8</v>
      </c>
      <c r="U2002" s="53">
        <f>STOCK[[#This Row],[Costo total]]*1.5</f>
        <v>2.7</v>
      </c>
      <c r="V2002" s="53">
        <v>3</v>
      </c>
      <c r="W2002" s="76">
        <f>STOCK[[#This Row],[Precio Final]]-STOCK[[#This Row],[Costo total]]</f>
        <v>1.2</v>
      </c>
      <c r="X2002" s="76">
        <f>STOCK[[#This Row],[Ganancia Unitaria]]*STOCK[[#This Row],[Salidas]]</f>
        <v>0</v>
      </c>
      <c r="Y2002" s="76"/>
      <c r="Z2002" s="87"/>
      <c r="AA2002" s="54"/>
      <c r="AB2002" s="54"/>
      <c r="AC2002" s="76"/>
      <c r="AD2002" s="94"/>
    </row>
    <row r="2003" s="53" customFormat="1" ht="50" customHeight="1" spans="1:30">
      <c r="A2003" s="95" t="s">
        <v>3914</v>
      </c>
      <c r="B2003" s="83"/>
      <c r="C2003" s="53" t="s">
        <v>32</v>
      </c>
      <c r="D2003" s="84" t="s">
        <v>2897</v>
      </c>
      <c r="E2003" s="103" t="s">
        <v>3911</v>
      </c>
      <c r="F2003" s="102" t="s">
        <v>42</v>
      </c>
      <c r="G2003" s="76"/>
      <c r="H2003" s="76">
        <f>STOCK[[#This Row],[Precio Final]]</f>
        <v>3</v>
      </c>
      <c r="I2003" s="80">
        <f>STOCK[[#This Row],[Precio Venta Ideal (x1.5)]]</f>
        <v>2.7</v>
      </c>
      <c r="J2003" s="102">
        <v>3</v>
      </c>
      <c r="K2003" s="78">
        <f>SUMIFS(VENTAS[Cantidad],VENTAS[Código del producto Vendido],STOCK[[#This Row],[Code]])</f>
        <v>0</v>
      </c>
      <c r="L2003" s="78">
        <f>STOCK[[#This Row],[Entradas]]-STOCK[[#This Row],[Salidas]]</f>
        <v>3</v>
      </c>
      <c r="M2003" s="76">
        <f>STOCK[[#This Row],[Precio Final]]*10%</f>
        <v>0.3</v>
      </c>
      <c r="N2003" s="54">
        <v>0</v>
      </c>
      <c r="O2003" s="76">
        <v>0</v>
      </c>
      <c r="P2003" s="109">
        <v>1</v>
      </c>
      <c r="Q2003" s="76">
        <v>0</v>
      </c>
      <c r="R2003" s="78">
        <v>0</v>
      </c>
      <c r="S2003" s="111">
        <v>0.5</v>
      </c>
      <c r="T2003" s="76">
        <f>STOCK[[#This Row],[Costo Unitario (USD)]]+STOCK[[#This Row],[Costo Envío (USD)]]+STOCK[[#This Row],[Comisión 10%]]</f>
        <v>1.8</v>
      </c>
      <c r="U2003" s="53">
        <f>STOCK[[#This Row],[Costo total]]*1.5</f>
        <v>2.7</v>
      </c>
      <c r="V2003" s="53">
        <v>3</v>
      </c>
      <c r="W2003" s="76">
        <f>STOCK[[#This Row],[Precio Final]]-STOCK[[#This Row],[Costo total]]</f>
        <v>1.2</v>
      </c>
      <c r="X2003" s="76">
        <f>STOCK[[#This Row],[Ganancia Unitaria]]*STOCK[[#This Row],[Salidas]]</f>
        <v>0</v>
      </c>
      <c r="Y2003" s="76"/>
      <c r="Z2003" s="87"/>
      <c r="AA2003" s="54"/>
      <c r="AB2003" s="54"/>
      <c r="AC2003" s="76"/>
      <c r="AD2003" s="94"/>
    </row>
    <row r="2004" s="53" customFormat="1" ht="50" customHeight="1" spans="1:30">
      <c r="A2004" s="95" t="s">
        <v>3915</v>
      </c>
      <c r="B2004" s="83"/>
      <c r="C2004" s="53" t="s">
        <v>32</v>
      </c>
      <c r="D2004" s="84" t="s">
        <v>2897</v>
      </c>
      <c r="E2004" s="103" t="s">
        <v>3916</v>
      </c>
      <c r="F2004" s="102" t="s">
        <v>62</v>
      </c>
      <c r="G2004" s="76"/>
      <c r="H2004" s="76">
        <f>STOCK[[#This Row],[Precio Final]]</f>
        <v>3</v>
      </c>
      <c r="I2004" s="80">
        <f>STOCK[[#This Row],[Precio Venta Ideal (x1.5)]]</f>
        <v>2.7</v>
      </c>
      <c r="J2004" s="102">
        <v>2</v>
      </c>
      <c r="K2004" s="78">
        <f>SUMIFS(VENTAS[Cantidad],VENTAS[Código del producto Vendido],STOCK[[#This Row],[Code]])</f>
        <v>0</v>
      </c>
      <c r="L2004" s="78">
        <f>STOCK[[#This Row],[Entradas]]-STOCK[[#This Row],[Salidas]]</f>
        <v>2</v>
      </c>
      <c r="M2004" s="76">
        <f>STOCK[[#This Row],[Precio Final]]*10%</f>
        <v>0.3</v>
      </c>
      <c r="N2004" s="54">
        <v>0</v>
      </c>
      <c r="O2004" s="76">
        <v>0</v>
      </c>
      <c r="P2004" s="109">
        <v>1</v>
      </c>
      <c r="Q2004" s="76">
        <v>0</v>
      </c>
      <c r="R2004" s="78">
        <v>0</v>
      </c>
      <c r="S2004" s="110">
        <v>0.5</v>
      </c>
      <c r="T2004" s="76">
        <f>STOCK[[#This Row],[Costo Unitario (USD)]]+STOCK[[#This Row],[Costo Envío (USD)]]+STOCK[[#This Row],[Comisión 10%]]</f>
        <v>1.8</v>
      </c>
      <c r="U2004" s="53">
        <f>STOCK[[#This Row],[Costo total]]*1.5</f>
        <v>2.7</v>
      </c>
      <c r="V2004" s="53">
        <v>3</v>
      </c>
      <c r="W2004" s="76">
        <f>STOCK[[#This Row],[Precio Final]]-STOCK[[#This Row],[Costo total]]</f>
        <v>1.2</v>
      </c>
      <c r="X2004" s="76">
        <f>STOCK[[#This Row],[Ganancia Unitaria]]*STOCK[[#This Row],[Salidas]]</f>
        <v>0</v>
      </c>
      <c r="Y2004" s="76"/>
      <c r="Z2004" s="87"/>
      <c r="AA2004" s="54"/>
      <c r="AB2004" s="54"/>
      <c r="AC2004" s="76"/>
      <c r="AD2004" s="94"/>
    </row>
    <row r="2005" s="53" customFormat="1" ht="50" customHeight="1" spans="1:30">
      <c r="A2005" s="95" t="s">
        <v>3917</v>
      </c>
      <c r="B2005" s="83"/>
      <c r="C2005" s="53" t="s">
        <v>32</v>
      </c>
      <c r="D2005" s="84" t="s">
        <v>2897</v>
      </c>
      <c r="E2005" s="103" t="s">
        <v>3916</v>
      </c>
      <c r="F2005" s="102" t="s">
        <v>49</v>
      </c>
      <c r="G2005" s="76"/>
      <c r="H2005" s="76">
        <f>STOCK[[#This Row],[Precio Final]]</f>
        <v>3</v>
      </c>
      <c r="I2005" s="80">
        <f>STOCK[[#This Row],[Precio Venta Ideal (x1.5)]]</f>
        <v>2.7</v>
      </c>
      <c r="J2005" s="102">
        <v>2</v>
      </c>
      <c r="K2005" s="78">
        <f>SUMIFS(VENTAS[Cantidad],VENTAS[Código del producto Vendido],STOCK[[#This Row],[Code]])</f>
        <v>0</v>
      </c>
      <c r="L2005" s="78">
        <f>STOCK[[#This Row],[Entradas]]-STOCK[[#This Row],[Salidas]]</f>
        <v>2</v>
      </c>
      <c r="M2005" s="76">
        <f>STOCK[[#This Row],[Precio Final]]*10%</f>
        <v>0.3</v>
      </c>
      <c r="N2005" s="54">
        <v>0</v>
      </c>
      <c r="O2005" s="76">
        <v>0</v>
      </c>
      <c r="P2005" s="109">
        <v>1</v>
      </c>
      <c r="Q2005" s="76">
        <v>0</v>
      </c>
      <c r="R2005" s="78">
        <v>0</v>
      </c>
      <c r="S2005" s="111">
        <v>0.5</v>
      </c>
      <c r="T2005" s="76">
        <f>STOCK[[#This Row],[Costo Unitario (USD)]]+STOCK[[#This Row],[Costo Envío (USD)]]+STOCK[[#This Row],[Comisión 10%]]</f>
        <v>1.8</v>
      </c>
      <c r="U2005" s="53">
        <f>STOCK[[#This Row],[Costo total]]*1.5</f>
        <v>2.7</v>
      </c>
      <c r="V2005" s="53">
        <v>3</v>
      </c>
      <c r="W2005" s="76">
        <f>STOCK[[#This Row],[Precio Final]]-STOCK[[#This Row],[Costo total]]</f>
        <v>1.2</v>
      </c>
      <c r="X2005" s="76">
        <f>STOCK[[#This Row],[Ganancia Unitaria]]*STOCK[[#This Row],[Salidas]]</f>
        <v>0</v>
      </c>
      <c r="Y2005" s="76"/>
      <c r="Z2005" s="87"/>
      <c r="AA2005" s="54"/>
      <c r="AB2005" s="54"/>
      <c r="AC2005" s="76"/>
      <c r="AD2005" s="94"/>
    </row>
    <row r="2006" s="53" customFormat="1" ht="50" customHeight="1" spans="1:30">
      <c r="A2006" s="95" t="s">
        <v>3918</v>
      </c>
      <c r="B2006" s="83"/>
      <c r="C2006" s="53" t="s">
        <v>32</v>
      </c>
      <c r="D2006" s="84" t="s">
        <v>2897</v>
      </c>
      <c r="E2006" s="103" t="s">
        <v>3916</v>
      </c>
      <c r="F2006" s="102" t="s">
        <v>46</v>
      </c>
      <c r="G2006" s="76"/>
      <c r="H2006" s="76">
        <f>STOCK[[#This Row],[Precio Final]]</f>
        <v>3</v>
      </c>
      <c r="I2006" s="80">
        <f>STOCK[[#This Row],[Precio Venta Ideal (x1.5)]]</f>
        <v>2.7</v>
      </c>
      <c r="J2006" s="102">
        <v>3</v>
      </c>
      <c r="K2006" s="78">
        <f>SUMIFS(VENTAS[Cantidad],VENTAS[Código del producto Vendido],STOCK[[#This Row],[Code]])</f>
        <v>0</v>
      </c>
      <c r="L2006" s="78">
        <f>STOCK[[#This Row],[Entradas]]-STOCK[[#This Row],[Salidas]]</f>
        <v>3</v>
      </c>
      <c r="M2006" s="76">
        <f>STOCK[[#This Row],[Precio Final]]*10%</f>
        <v>0.3</v>
      </c>
      <c r="N2006" s="54">
        <v>0</v>
      </c>
      <c r="O2006" s="76">
        <v>0</v>
      </c>
      <c r="P2006" s="109">
        <v>1</v>
      </c>
      <c r="Q2006" s="76">
        <v>0</v>
      </c>
      <c r="R2006" s="78">
        <v>0</v>
      </c>
      <c r="S2006" s="110">
        <v>0.5</v>
      </c>
      <c r="T2006" s="76">
        <f>STOCK[[#This Row],[Costo Unitario (USD)]]+STOCK[[#This Row],[Costo Envío (USD)]]+STOCK[[#This Row],[Comisión 10%]]</f>
        <v>1.8</v>
      </c>
      <c r="U2006" s="53">
        <f>STOCK[[#This Row],[Costo total]]*1.5</f>
        <v>2.7</v>
      </c>
      <c r="V2006" s="53">
        <v>3</v>
      </c>
      <c r="W2006" s="76">
        <f>STOCK[[#This Row],[Precio Final]]-STOCK[[#This Row],[Costo total]]</f>
        <v>1.2</v>
      </c>
      <c r="X2006" s="76">
        <f>STOCK[[#This Row],[Ganancia Unitaria]]*STOCK[[#This Row],[Salidas]]</f>
        <v>0</v>
      </c>
      <c r="Y2006" s="76"/>
      <c r="Z2006" s="87"/>
      <c r="AA2006" s="54"/>
      <c r="AB2006" s="54"/>
      <c r="AC2006" s="76"/>
      <c r="AD2006" s="94"/>
    </row>
    <row r="2007" s="53" customFormat="1" ht="50" customHeight="1" spans="1:30">
      <c r="A2007" s="95" t="s">
        <v>3919</v>
      </c>
      <c r="B2007" s="83"/>
      <c r="C2007" s="53" t="s">
        <v>32</v>
      </c>
      <c r="D2007" s="84" t="s">
        <v>2897</v>
      </c>
      <c r="E2007" s="103" t="s">
        <v>3916</v>
      </c>
      <c r="F2007" s="102" t="s">
        <v>42</v>
      </c>
      <c r="G2007" s="76"/>
      <c r="H2007" s="76">
        <f>STOCK[[#This Row],[Precio Final]]</f>
        <v>3</v>
      </c>
      <c r="I2007" s="80">
        <f>STOCK[[#This Row],[Precio Venta Ideal (x1.5)]]</f>
        <v>2.7</v>
      </c>
      <c r="J2007" s="102">
        <v>3</v>
      </c>
      <c r="K2007" s="78">
        <f>SUMIFS(VENTAS[Cantidad],VENTAS[Código del producto Vendido],STOCK[[#This Row],[Code]])</f>
        <v>0</v>
      </c>
      <c r="L2007" s="78">
        <f>STOCK[[#This Row],[Entradas]]-STOCK[[#This Row],[Salidas]]</f>
        <v>3</v>
      </c>
      <c r="M2007" s="76">
        <f>STOCK[[#This Row],[Precio Final]]*10%</f>
        <v>0.3</v>
      </c>
      <c r="N2007" s="54">
        <v>0</v>
      </c>
      <c r="O2007" s="76">
        <v>0</v>
      </c>
      <c r="P2007" s="109">
        <v>1</v>
      </c>
      <c r="Q2007" s="76">
        <v>0</v>
      </c>
      <c r="R2007" s="78">
        <v>0</v>
      </c>
      <c r="S2007" s="111">
        <v>0.5</v>
      </c>
      <c r="T2007" s="76">
        <f>STOCK[[#This Row],[Costo Unitario (USD)]]+STOCK[[#This Row],[Costo Envío (USD)]]+STOCK[[#This Row],[Comisión 10%]]</f>
        <v>1.8</v>
      </c>
      <c r="U2007" s="53">
        <f>STOCK[[#This Row],[Costo total]]*1.5</f>
        <v>2.7</v>
      </c>
      <c r="V2007" s="53">
        <v>3</v>
      </c>
      <c r="W2007" s="76">
        <f>STOCK[[#This Row],[Precio Final]]-STOCK[[#This Row],[Costo total]]</f>
        <v>1.2</v>
      </c>
      <c r="X2007" s="76">
        <f>STOCK[[#This Row],[Ganancia Unitaria]]*STOCK[[#This Row],[Salidas]]</f>
        <v>0</v>
      </c>
      <c r="Y2007" s="76"/>
      <c r="Z2007" s="87"/>
      <c r="AA2007" s="54"/>
      <c r="AB2007" s="54"/>
      <c r="AC2007" s="76"/>
      <c r="AD2007" s="94"/>
    </row>
    <row r="2008" s="53" customFormat="1" ht="50" customHeight="1" spans="1:30">
      <c r="A2008" s="95" t="s">
        <v>3920</v>
      </c>
      <c r="B2008" s="83"/>
      <c r="C2008" s="53" t="s">
        <v>32</v>
      </c>
      <c r="D2008" s="84" t="s">
        <v>2897</v>
      </c>
      <c r="E2008" s="103" t="s">
        <v>3921</v>
      </c>
      <c r="F2008" s="102" t="s">
        <v>62</v>
      </c>
      <c r="G2008" s="76"/>
      <c r="H2008" s="76">
        <f>STOCK[[#This Row],[Precio Final]]</f>
        <v>3</v>
      </c>
      <c r="I2008" s="80">
        <f>STOCK[[#This Row],[Precio Venta Ideal (x1.5)]]</f>
        <v>2.7</v>
      </c>
      <c r="J2008" s="102">
        <v>2</v>
      </c>
      <c r="K2008" s="78">
        <f>SUMIFS(VENTAS[Cantidad],VENTAS[Código del producto Vendido],STOCK[[#This Row],[Code]])</f>
        <v>0</v>
      </c>
      <c r="L2008" s="78">
        <f>STOCK[[#This Row],[Entradas]]-STOCK[[#This Row],[Salidas]]</f>
        <v>2</v>
      </c>
      <c r="M2008" s="76">
        <f>STOCK[[#This Row],[Precio Final]]*10%</f>
        <v>0.3</v>
      </c>
      <c r="N2008" s="54">
        <v>0</v>
      </c>
      <c r="O2008" s="76">
        <v>0</v>
      </c>
      <c r="P2008" s="109">
        <v>1</v>
      </c>
      <c r="Q2008" s="76">
        <v>0</v>
      </c>
      <c r="R2008" s="78">
        <v>0</v>
      </c>
      <c r="S2008" s="110">
        <v>0.5</v>
      </c>
      <c r="T2008" s="76">
        <f>STOCK[[#This Row],[Costo Unitario (USD)]]+STOCK[[#This Row],[Costo Envío (USD)]]+STOCK[[#This Row],[Comisión 10%]]</f>
        <v>1.8</v>
      </c>
      <c r="U2008" s="53">
        <f>STOCK[[#This Row],[Costo total]]*1.5</f>
        <v>2.7</v>
      </c>
      <c r="V2008" s="53">
        <v>3</v>
      </c>
      <c r="W2008" s="76">
        <f>STOCK[[#This Row],[Precio Final]]-STOCK[[#This Row],[Costo total]]</f>
        <v>1.2</v>
      </c>
      <c r="X2008" s="76">
        <f>STOCK[[#This Row],[Ganancia Unitaria]]*STOCK[[#This Row],[Salidas]]</f>
        <v>0</v>
      </c>
      <c r="Y2008" s="76"/>
      <c r="Z2008" s="87"/>
      <c r="AA2008" s="54"/>
      <c r="AB2008" s="54"/>
      <c r="AC2008" s="76"/>
      <c r="AD2008" s="94"/>
    </row>
    <row r="2009" s="53" customFormat="1" ht="50" customHeight="1" spans="1:30">
      <c r="A2009" s="95" t="s">
        <v>3922</v>
      </c>
      <c r="B2009" s="83"/>
      <c r="C2009" s="53" t="s">
        <v>32</v>
      </c>
      <c r="D2009" s="84" t="s">
        <v>2897</v>
      </c>
      <c r="E2009" s="103" t="s">
        <v>3921</v>
      </c>
      <c r="F2009" s="102" t="s">
        <v>49</v>
      </c>
      <c r="G2009" s="76"/>
      <c r="H2009" s="76">
        <f>STOCK[[#This Row],[Precio Final]]</f>
        <v>3</v>
      </c>
      <c r="I2009" s="80">
        <f>STOCK[[#This Row],[Precio Venta Ideal (x1.5)]]</f>
        <v>2.7</v>
      </c>
      <c r="J2009" s="102">
        <v>2</v>
      </c>
      <c r="K2009" s="78">
        <f>SUMIFS(VENTAS[Cantidad],VENTAS[Código del producto Vendido],STOCK[[#This Row],[Code]])</f>
        <v>0</v>
      </c>
      <c r="L2009" s="78">
        <f>STOCK[[#This Row],[Entradas]]-STOCK[[#This Row],[Salidas]]</f>
        <v>2</v>
      </c>
      <c r="M2009" s="76">
        <f>STOCK[[#This Row],[Precio Final]]*10%</f>
        <v>0.3</v>
      </c>
      <c r="N2009" s="54">
        <v>0</v>
      </c>
      <c r="O2009" s="76">
        <v>0</v>
      </c>
      <c r="P2009" s="109">
        <v>1</v>
      </c>
      <c r="Q2009" s="76">
        <v>0</v>
      </c>
      <c r="R2009" s="78">
        <v>0</v>
      </c>
      <c r="S2009" s="111">
        <v>0.5</v>
      </c>
      <c r="T2009" s="76">
        <f>STOCK[[#This Row],[Costo Unitario (USD)]]+STOCK[[#This Row],[Costo Envío (USD)]]+STOCK[[#This Row],[Comisión 10%]]</f>
        <v>1.8</v>
      </c>
      <c r="U2009" s="53">
        <f>STOCK[[#This Row],[Costo total]]*1.5</f>
        <v>2.7</v>
      </c>
      <c r="V2009" s="53">
        <v>3</v>
      </c>
      <c r="W2009" s="76">
        <f>STOCK[[#This Row],[Precio Final]]-STOCK[[#This Row],[Costo total]]</f>
        <v>1.2</v>
      </c>
      <c r="X2009" s="76">
        <f>STOCK[[#This Row],[Ganancia Unitaria]]*STOCK[[#This Row],[Salidas]]</f>
        <v>0</v>
      </c>
      <c r="Y2009" s="76"/>
      <c r="Z2009" s="87"/>
      <c r="AA2009" s="54"/>
      <c r="AB2009" s="54"/>
      <c r="AC2009" s="76"/>
      <c r="AD2009" s="94"/>
    </row>
    <row r="2010" s="53" customFormat="1" ht="50" customHeight="1" spans="1:30">
      <c r="A2010" s="95" t="s">
        <v>3923</v>
      </c>
      <c r="B2010" s="83"/>
      <c r="C2010" s="53" t="s">
        <v>32</v>
      </c>
      <c r="D2010" s="84" t="s">
        <v>2897</v>
      </c>
      <c r="E2010" s="103" t="s">
        <v>3921</v>
      </c>
      <c r="F2010" s="102" t="s">
        <v>46</v>
      </c>
      <c r="G2010" s="76"/>
      <c r="H2010" s="76">
        <f>STOCK[[#This Row],[Precio Final]]</f>
        <v>3</v>
      </c>
      <c r="I2010" s="80">
        <f>STOCK[[#This Row],[Precio Venta Ideal (x1.5)]]</f>
        <v>2.7</v>
      </c>
      <c r="J2010" s="102">
        <v>3</v>
      </c>
      <c r="K2010" s="78">
        <f>SUMIFS(VENTAS[Cantidad],VENTAS[Código del producto Vendido],STOCK[[#This Row],[Code]])</f>
        <v>0</v>
      </c>
      <c r="L2010" s="78">
        <f>STOCK[[#This Row],[Entradas]]-STOCK[[#This Row],[Salidas]]</f>
        <v>3</v>
      </c>
      <c r="M2010" s="76">
        <f>STOCK[[#This Row],[Precio Final]]*10%</f>
        <v>0.3</v>
      </c>
      <c r="N2010" s="54">
        <v>0</v>
      </c>
      <c r="O2010" s="76">
        <v>0</v>
      </c>
      <c r="P2010" s="109">
        <v>1</v>
      </c>
      <c r="Q2010" s="76">
        <v>0</v>
      </c>
      <c r="R2010" s="78">
        <v>0</v>
      </c>
      <c r="S2010" s="110">
        <v>0.5</v>
      </c>
      <c r="T2010" s="76">
        <f>STOCK[[#This Row],[Costo Unitario (USD)]]+STOCK[[#This Row],[Costo Envío (USD)]]+STOCK[[#This Row],[Comisión 10%]]</f>
        <v>1.8</v>
      </c>
      <c r="U2010" s="53">
        <f>STOCK[[#This Row],[Costo total]]*1.5</f>
        <v>2.7</v>
      </c>
      <c r="V2010" s="53">
        <v>3</v>
      </c>
      <c r="W2010" s="76">
        <f>STOCK[[#This Row],[Precio Final]]-STOCK[[#This Row],[Costo total]]</f>
        <v>1.2</v>
      </c>
      <c r="X2010" s="76">
        <f>STOCK[[#This Row],[Ganancia Unitaria]]*STOCK[[#This Row],[Salidas]]</f>
        <v>0</v>
      </c>
      <c r="Y2010" s="76"/>
      <c r="Z2010" s="87"/>
      <c r="AA2010" s="54"/>
      <c r="AB2010" s="54"/>
      <c r="AC2010" s="76"/>
      <c r="AD2010" s="94"/>
    </row>
    <row r="2011" s="53" customFormat="1" ht="50" customHeight="1" spans="1:30">
      <c r="A2011" s="95" t="s">
        <v>3924</v>
      </c>
      <c r="B2011" s="83"/>
      <c r="C2011" s="53" t="s">
        <v>32</v>
      </c>
      <c r="D2011" s="84" t="s">
        <v>2897</v>
      </c>
      <c r="E2011" s="103" t="s">
        <v>3921</v>
      </c>
      <c r="F2011" s="102" t="s">
        <v>42</v>
      </c>
      <c r="G2011" s="76"/>
      <c r="H2011" s="76">
        <f>STOCK[[#This Row],[Precio Final]]</f>
        <v>3</v>
      </c>
      <c r="I2011" s="80">
        <f>STOCK[[#This Row],[Precio Venta Ideal (x1.5)]]</f>
        <v>2.7</v>
      </c>
      <c r="J2011" s="102">
        <v>3</v>
      </c>
      <c r="K2011" s="78">
        <f>SUMIFS(VENTAS[Cantidad],VENTAS[Código del producto Vendido],STOCK[[#This Row],[Code]])</f>
        <v>0</v>
      </c>
      <c r="L2011" s="78">
        <f>STOCK[[#This Row],[Entradas]]-STOCK[[#This Row],[Salidas]]</f>
        <v>3</v>
      </c>
      <c r="M2011" s="76">
        <f>STOCK[[#This Row],[Precio Final]]*10%</f>
        <v>0.3</v>
      </c>
      <c r="N2011" s="54">
        <v>0</v>
      </c>
      <c r="O2011" s="76">
        <v>0</v>
      </c>
      <c r="P2011" s="109">
        <v>1</v>
      </c>
      <c r="Q2011" s="76">
        <v>0</v>
      </c>
      <c r="R2011" s="78">
        <v>0</v>
      </c>
      <c r="S2011" s="111">
        <v>0.5</v>
      </c>
      <c r="T2011" s="76">
        <f>STOCK[[#This Row],[Costo Unitario (USD)]]+STOCK[[#This Row],[Costo Envío (USD)]]+STOCK[[#This Row],[Comisión 10%]]</f>
        <v>1.8</v>
      </c>
      <c r="U2011" s="53">
        <f>STOCK[[#This Row],[Costo total]]*1.5</f>
        <v>2.7</v>
      </c>
      <c r="V2011" s="53">
        <v>3</v>
      </c>
      <c r="W2011" s="76">
        <f>STOCK[[#This Row],[Precio Final]]-STOCK[[#This Row],[Costo total]]</f>
        <v>1.2</v>
      </c>
      <c r="X2011" s="76">
        <f>STOCK[[#This Row],[Ganancia Unitaria]]*STOCK[[#This Row],[Salidas]]</f>
        <v>0</v>
      </c>
      <c r="Y2011" s="76"/>
      <c r="Z2011" s="87"/>
      <c r="AA2011" s="54"/>
      <c r="AB2011" s="54"/>
      <c r="AC2011" s="76"/>
      <c r="AD2011" s="94"/>
    </row>
    <row r="2012" s="53" customFormat="1" ht="50" customHeight="1" spans="1:30">
      <c r="A2012" s="95" t="s">
        <v>3925</v>
      </c>
      <c r="B2012" s="83"/>
      <c r="C2012" s="53" t="s">
        <v>32</v>
      </c>
      <c r="D2012" s="84" t="s">
        <v>2897</v>
      </c>
      <c r="E2012" s="103" t="s">
        <v>3926</v>
      </c>
      <c r="F2012" s="102" t="s">
        <v>62</v>
      </c>
      <c r="G2012" s="76"/>
      <c r="H2012" s="76">
        <f>STOCK[[#This Row],[Precio Final]]</f>
        <v>3</v>
      </c>
      <c r="I2012" s="80">
        <f>STOCK[[#This Row],[Precio Venta Ideal (x1.5)]]</f>
        <v>2.7</v>
      </c>
      <c r="J2012" s="86">
        <v>3</v>
      </c>
      <c r="K2012" s="78">
        <f>SUMIFS(VENTAS[Cantidad],VENTAS[Código del producto Vendido],STOCK[[#This Row],[Code]])</f>
        <v>0</v>
      </c>
      <c r="L2012" s="78">
        <f>STOCK[[#This Row],[Entradas]]-STOCK[[#This Row],[Salidas]]</f>
        <v>3</v>
      </c>
      <c r="M2012" s="76">
        <f>STOCK[[#This Row],[Precio Final]]*10%</f>
        <v>0.3</v>
      </c>
      <c r="N2012" s="54">
        <v>0</v>
      </c>
      <c r="O2012" s="76">
        <v>0</v>
      </c>
      <c r="P2012" s="109">
        <v>1</v>
      </c>
      <c r="Q2012" s="76">
        <v>0</v>
      </c>
      <c r="R2012" s="78">
        <v>0</v>
      </c>
      <c r="S2012" s="110">
        <v>0.5</v>
      </c>
      <c r="T2012" s="76">
        <f>STOCK[[#This Row],[Costo Unitario (USD)]]+STOCK[[#This Row],[Costo Envío (USD)]]+STOCK[[#This Row],[Comisión 10%]]</f>
        <v>1.8</v>
      </c>
      <c r="U2012" s="53">
        <f>STOCK[[#This Row],[Costo total]]*1.5</f>
        <v>2.7</v>
      </c>
      <c r="V2012" s="53">
        <v>3</v>
      </c>
      <c r="W2012" s="76">
        <f>STOCK[[#This Row],[Precio Final]]-STOCK[[#This Row],[Costo total]]</f>
        <v>1.2</v>
      </c>
      <c r="X2012" s="76">
        <f>STOCK[[#This Row],[Ganancia Unitaria]]*STOCK[[#This Row],[Salidas]]</f>
        <v>0</v>
      </c>
      <c r="Y2012" s="76"/>
      <c r="Z2012" s="87"/>
      <c r="AA2012" s="54"/>
      <c r="AB2012" s="54"/>
      <c r="AC2012" s="76"/>
      <c r="AD2012" s="94"/>
    </row>
    <row r="2013" s="53" customFormat="1" ht="50" customHeight="1" spans="1:30">
      <c r="A2013" s="95" t="s">
        <v>3927</v>
      </c>
      <c r="B2013" s="83"/>
      <c r="C2013" s="53" t="s">
        <v>32</v>
      </c>
      <c r="D2013" s="84" t="s">
        <v>2897</v>
      </c>
      <c r="E2013" s="103" t="s">
        <v>3926</v>
      </c>
      <c r="F2013" s="102" t="s">
        <v>49</v>
      </c>
      <c r="G2013" s="76"/>
      <c r="H2013" s="76">
        <f>STOCK[[#This Row],[Precio Final]]</f>
        <v>3</v>
      </c>
      <c r="I2013" s="80">
        <f>STOCK[[#This Row],[Precio Venta Ideal (x1.5)]]</f>
        <v>2.7</v>
      </c>
      <c r="J2013" s="86">
        <v>3</v>
      </c>
      <c r="K2013" s="78">
        <f>SUMIFS(VENTAS[Cantidad],VENTAS[Código del producto Vendido],STOCK[[#This Row],[Code]])</f>
        <v>0</v>
      </c>
      <c r="L2013" s="78">
        <f>STOCK[[#This Row],[Entradas]]-STOCK[[#This Row],[Salidas]]</f>
        <v>3</v>
      </c>
      <c r="M2013" s="76">
        <f>STOCK[[#This Row],[Precio Final]]*10%</f>
        <v>0.3</v>
      </c>
      <c r="N2013" s="54">
        <v>0</v>
      </c>
      <c r="O2013" s="76">
        <v>0</v>
      </c>
      <c r="P2013" s="109">
        <v>1</v>
      </c>
      <c r="Q2013" s="76">
        <v>0</v>
      </c>
      <c r="R2013" s="78">
        <v>0</v>
      </c>
      <c r="S2013" s="111">
        <v>0.5</v>
      </c>
      <c r="T2013" s="76">
        <f>STOCK[[#This Row],[Costo Unitario (USD)]]+STOCK[[#This Row],[Costo Envío (USD)]]+STOCK[[#This Row],[Comisión 10%]]</f>
        <v>1.8</v>
      </c>
      <c r="U2013" s="53">
        <f>STOCK[[#This Row],[Costo total]]*1.5</f>
        <v>2.7</v>
      </c>
      <c r="V2013" s="53">
        <v>3</v>
      </c>
      <c r="W2013" s="76">
        <f>STOCK[[#This Row],[Precio Final]]-STOCK[[#This Row],[Costo total]]</f>
        <v>1.2</v>
      </c>
      <c r="X2013" s="76">
        <f>STOCK[[#This Row],[Ganancia Unitaria]]*STOCK[[#This Row],[Salidas]]</f>
        <v>0</v>
      </c>
      <c r="Y2013" s="76"/>
      <c r="Z2013" s="87"/>
      <c r="AA2013" s="54"/>
      <c r="AB2013" s="54"/>
      <c r="AC2013" s="76"/>
      <c r="AD2013" s="94"/>
    </row>
    <row r="2014" s="53" customFormat="1" ht="50" customHeight="1" spans="1:30">
      <c r="A2014" s="95" t="s">
        <v>3928</v>
      </c>
      <c r="B2014" s="83"/>
      <c r="C2014" s="53" t="s">
        <v>32</v>
      </c>
      <c r="D2014" s="84" t="s">
        <v>2897</v>
      </c>
      <c r="E2014" s="103" t="s">
        <v>3926</v>
      </c>
      <c r="F2014" s="102" t="s">
        <v>46</v>
      </c>
      <c r="G2014" s="76"/>
      <c r="H2014" s="76">
        <f>STOCK[[#This Row],[Precio Final]]</f>
        <v>3</v>
      </c>
      <c r="I2014" s="80">
        <f>STOCK[[#This Row],[Precio Venta Ideal (x1.5)]]</f>
        <v>2.7</v>
      </c>
      <c r="J2014" s="86">
        <v>3</v>
      </c>
      <c r="K2014" s="78">
        <f>SUMIFS(VENTAS[Cantidad],VENTAS[Código del producto Vendido],STOCK[[#This Row],[Code]])</f>
        <v>0</v>
      </c>
      <c r="L2014" s="78">
        <f>STOCK[[#This Row],[Entradas]]-STOCK[[#This Row],[Salidas]]</f>
        <v>3</v>
      </c>
      <c r="M2014" s="76">
        <f>STOCK[[#This Row],[Precio Final]]*10%</f>
        <v>0.3</v>
      </c>
      <c r="N2014" s="54">
        <v>0</v>
      </c>
      <c r="O2014" s="76">
        <v>0</v>
      </c>
      <c r="P2014" s="109">
        <v>1</v>
      </c>
      <c r="Q2014" s="76">
        <v>0</v>
      </c>
      <c r="R2014" s="78">
        <v>0</v>
      </c>
      <c r="S2014" s="110">
        <v>0.5</v>
      </c>
      <c r="T2014" s="76">
        <f>STOCK[[#This Row],[Costo Unitario (USD)]]+STOCK[[#This Row],[Costo Envío (USD)]]+STOCK[[#This Row],[Comisión 10%]]</f>
        <v>1.8</v>
      </c>
      <c r="U2014" s="53">
        <f>STOCK[[#This Row],[Costo total]]*1.5</f>
        <v>2.7</v>
      </c>
      <c r="V2014" s="53">
        <v>3</v>
      </c>
      <c r="W2014" s="76">
        <f>STOCK[[#This Row],[Precio Final]]-STOCK[[#This Row],[Costo total]]</f>
        <v>1.2</v>
      </c>
      <c r="X2014" s="76">
        <f>STOCK[[#This Row],[Ganancia Unitaria]]*STOCK[[#This Row],[Salidas]]</f>
        <v>0</v>
      </c>
      <c r="Y2014" s="76"/>
      <c r="Z2014" s="87"/>
      <c r="AA2014" s="54"/>
      <c r="AB2014" s="54"/>
      <c r="AC2014" s="76"/>
      <c r="AD2014" s="94"/>
    </row>
    <row r="2015" s="53" customFormat="1" ht="50" customHeight="1" spans="1:30">
      <c r="A2015" s="95" t="s">
        <v>3929</v>
      </c>
      <c r="B2015" s="83"/>
      <c r="C2015" s="53" t="s">
        <v>32</v>
      </c>
      <c r="D2015" s="84" t="s">
        <v>2897</v>
      </c>
      <c r="E2015" s="103" t="s">
        <v>3926</v>
      </c>
      <c r="F2015" s="102" t="s">
        <v>42</v>
      </c>
      <c r="G2015" s="76"/>
      <c r="H2015" s="76">
        <f>STOCK[[#This Row],[Precio Final]]</f>
        <v>3</v>
      </c>
      <c r="I2015" s="80">
        <f>STOCK[[#This Row],[Precio Venta Ideal (x1.5)]]</f>
        <v>2.7</v>
      </c>
      <c r="J2015" s="86">
        <v>3</v>
      </c>
      <c r="K2015" s="78">
        <f>SUMIFS(VENTAS[Cantidad],VENTAS[Código del producto Vendido],STOCK[[#This Row],[Code]])</f>
        <v>0</v>
      </c>
      <c r="L2015" s="78">
        <f>STOCK[[#This Row],[Entradas]]-STOCK[[#This Row],[Salidas]]</f>
        <v>3</v>
      </c>
      <c r="M2015" s="76">
        <f>STOCK[[#This Row],[Precio Final]]*10%</f>
        <v>0.3</v>
      </c>
      <c r="N2015" s="54">
        <v>0</v>
      </c>
      <c r="O2015" s="76">
        <v>0</v>
      </c>
      <c r="P2015" s="109">
        <v>1</v>
      </c>
      <c r="Q2015" s="76">
        <v>0</v>
      </c>
      <c r="R2015" s="78">
        <v>0</v>
      </c>
      <c r="S2015" s="111">
        <v>0.5</v>
      </c>
      <c r="T2015" s="76">
        <f>STOCK[[#This Row],[Costo Unitario (USD)]]+STOCK[[#This Row],[Costo Envío (USD)]]+STOCK[[#This Row],[Comisión 10%]]</f>
        <v>1.8</v>
      </c>
      <c r="U2015" s="53">
        <f>STOCK[[#This Row],[Costo total]]*1.5</f>
        <v>2.7</v>
      </c>
      <c r="V2015" s="53">
        <v>3</v>
      </c>
      <c r="W2015" s="76">
        <f>STOCK[[#This Row],[Precio Final]]-STOCK[[#This Row],[Costo total]]</f>
        <v>1.2</v>
      </c>
      <c r="X2015" s="76">
        <f>STOCK[[#This Row],[Ganancia Unitaria]]*STOCK[[#This Row],[Salidas]]</f>
        <v>0</v>
      </c>
      <c r="Y2015" s="76"/>
      <c r="Z2015" s="87"/>
      <c r="AA2015" s="54"/>
      <c r="AB2015" s="54"/>
      <c r="AC2015" s="76"/>
      <c r="AD2015" s="94"/>
    </row>
    <row r="2016" s="53" customFormat="1" ht="50" customHeight="1" spans="1:30">
      <c r="A2016" s="95" t="s">
        <v>3930</v>
      </c>
      <c r="B2016" s="83"/>
      <c r="D2016" s="84" t="s">
        <v>488</v>
      </c>
      <c r="E2016" s="85" t="s">
        <v>3931</v>
      </c>
      <c r="F2016" s="95" t="s">
        <v>2817</v>
      </c>
      <c r="G2016" s="76"/>
      <c r="H2016" s="76">
        <f>STOCK[[#This Row],[Precio Final]]</f>
        <v>25</v>
      </c>
      <c r="I2016" s="80">
        <f>STOCK[[#This Row],[Precio Venta Ideal (x1.5)]]</f>
        <v>21.465</v>
      </c>
      <c r="J2016" s="86">
        <v>7</v>
      </c>
      <c r="K2016" s="78">
        <f>SUMIFS(VENTAS[Cantidad],VENTAS[Código del producto Vendido],STOCK[[#This Row],[Code]])</f>
        <v>0</v>
      </c>
      <c r="L2016" s="78">
        <f>STOCK[[#This Row],[Entradas]]-STOCK[[#This Row],[Salidas]]</f>
        <v>7</v>
      </c>
      <c r="M2016" s="76">
        <f>STOCK[[#This Row],[Precio Final]]*10%</f>
        <v>2.5</v>
      </c>
      <c r="N2016" s="54">
        <v>0</v>
      </c>
      <c r="O2016" s="76">
        <v>0</v>
      </c>
      <c r="P2016" s="76">
        <v>9.56</v>
      </c>
      <c r="Q2016" s="76">
        <v>0</v>
      </c>
      <c r="R2016" s="78">
        <v>0</v>
      </c>
      <c r="S2016" s="76">
        <v>2.25</v>
      </c>
      <c r="T2016" s="76">
        <f>STOCK[[#This Row],[Costo Unitario (USD)]]+STOCK[[#This Row],[Costo Envío (USD)]]+STOCK[[#This Row],[Comisión 10%]]</f>
        <v>14.31</v>
      </c>
      <c r="U2016" s="53">
        <f>STOCK[[#This Row],[Costo total]]*1.5</f>
        <v>21.465</v>
      </c>
      <c r="V2016" s="53">
        <v>25</v>
      </c>
      <c r="W2016" s="76">
        <f>STOCK[[#This Row],[Precio Final]]-STOCK[[#This Row],[Costo total]]</f>
        <v>10.69</v>
      </c>
      <c r="X2016" s="76">
        <f>STOCK[[#This Row],[Ganancia Unitaria]]*STOCK[[#This Row],[Salidas]]</f>
        <v>0</v>
      </c>
      <c r="Y2016" s="76" t="s">
        <v>3932</v>
      </c>
      <c r="Z2016" s="87"/>
      <c r="AA2016" s="54"/>
      <c r="AB2016" s="54"/>
      <c r="AC2016" s="76"/>
      <c r="AD2016" s="94"/>
    </row>
    <row r="2017" s="53" customFormat="1" ht="50" customHeight="1" spans="1:30">
      <c r="A2017" s="95" t="s">
        <v>3933</v>
      </c>
      <c r="B2017" s="83"/>
      <c r="D2017" s="84" t="s">
        <v>488</v>
      </c>
      <c r="E2017" s="85" t="s">
        <v>3934</v>
      </c>
      <c r="F2017" s="95" t="s">
        <v>2817</v>
      </c>
      <c r="G2017" s="76"/>
      <c r="H2017" s="76">
        <f>STOCK[[#This Row],[Precio Final]]</f>
        <v>25</v>
      </c>
      <c r="I2017" s="80">
        <f>STOCK[[#This Row],[Precio Venta Ideal (x1.5)]]</f>
        <v>20.91</v>
      </c>
      <c r="J2017" s="86">
        <v>10</v>
      </c>
      <c r="K2017" s="78">
        <f>SUMIFS(VENTAS[Cantidad],VENTAS[Código del producto Vendido],STOCK[[#This Row],[Code]])</f>
        <v>0</v>
      </c>
      <c r="L2017" s="78">
        <f>STOCK[[#This Row],[Entradas]]-STOCK[[#This Row],[Salidas]]</f>
        <v>10</v>
      </c>
      <c r="M2017" s="76">
        <f>STOCK[[#This Row],[Precio Final]]*10%</f>
        <v>2.5</v>
      </c>
      <c r="N2017" s="54">
        <v>0</v>
      </c>
      <c r="O2017" s="76">
        <v>0</v>
      </c>
      <c r="P2017" s="76">
        <v>9.19</v>
      </c>
      <c r="Q2017" s="76">
        <v>0</v>
      </c>
      <c r="R2017" s="78">
        <v>0</v>
      </c>
      <c r="S2017" s="76">
        <v>2.25</v>
      </c>
      <c r="T2017" s="76">
        <f>STOCK[[#This Row],[Costo Unitario (USD)]]+STOCK[[#This Row],[Costo Envío (USD)]]+STOCK[[#This Row],[Comisión 10%]]</f>
        <v>13.94</v>
      </c>
      <c r="U2017" s="53">
        <f>STOCK[[#This Row],[Costo total]]*1.5</f>
        <v>20.91</v>
      </c>
      <c r="V2017" s="53">
        <v>25</v>
      </c>
      <c r="W2017" s="76">
        <f>STOCK[[#This Row],[Precio Final]]-STOCK[[#This Row],[Costo total]]</f>
        <v>11.06</v>
      </c>
      <c r="X2017" s="76">
        <f>STOCK[[#This Row],[Ganancia Unitaria]]*STOCK[[#This Row],[Salidas]]</f>
        <v>0</v>
      </c>
      <c r="Y2017" s="76"/>
      <c r="Z2017" s="87"/>
      <c r="AA2017" s="54"/>
      <c r="AB2017" s="54"/>
      <c r="AC2017" s="76"/>
      <c r="AD2017" s="94"/>
    </row>
    <row r="2018" s="53" customFormat="1" ht="50" customHeight="1" spans="1:30">
      <c r="A2018" s="95" t="s">
        <v>3935</v>
      </c>
      <c r="B2018" s="83"/>
      <c r="D2018" s="84" t="s">
        <v>488</v>
      </c>
      <c r="E2018" s="85" t="s">
        <v>3936</v>
      </c>
      <c r="F2018" s="95" t="s">
        <v>2822</v>
      </c>
      <c r="G2018" s="76"/>
      <c r="H2018" s="76">
        <f>STOCK[[#This Row],[Precio Final]]</f>
        <v>25</v>
      </c>
      <c r="I2018" s="80">
        <f>STOCK[[#This Row],[Precio Venta Ideal (x1.5)]]</f>
        <v>19.35</v>
      </c>
      <c r="J2018" s="86">
        <v>9</v>
      </c>
      <c r="K2018" s="78">
        <f>SUMIFS(VENTAS[Cantidad],VENTAS[Código del producto Vendido],STOCK[[#This Row],[Code]])</f>
        <v>0</v>
      </c>
      <c r="L2018" s="78">
        <f>STOCK[[#This Row],[Entradas]]-STOCK[[#This Row],[Salidas]]</f>
        <v>9</v>
      </c>
      <c r="M2018" s="76">
        <f>STOCK[[#This Row],[Precio Final]]*10%</f>
        <v>2.5</v>
      </c>
      <c r="N2018" s="54">
        <v>0</v>
      </c>
      <c r="O2018" s="76">
        <v>0</v>
      </c>
      <c r="P2018" s="76">
        <v>8.15</v>
      </c>
      <c r="Q2018" s="76">
        <v>0</v>
      </c>
      <c r="R2018" s="78">
        <v>0</v>
      </c>
      <c r="S2018" s="76">
        <v>2.25</v>
      </c>
      <c r="T2018" s="76">
        <f>STOCK[[#This Row],[Costo Unitario (USD)]]+STOCK[[#This Row],[Costo Envío (USD)]]+STOCK[[#This Row],[Comisión 10%]]</f>
        <v>12.9</v>
      </c>
      <c r="U2018" s="53">
        <f>STOCK[[#This Row],[Costo total]]*1.5</f>
        <v>19.35</v>
      </c>
      <c r="V2018" s="53">
        <v>25</v>
      </c>
      <c r="W2018" s="76">
        <f>STOCK[[#This Row],[Precio Final]]-STOCK[[#This Row],[Costo total]]</f>
        <v>12.1</v>
      </c>
      <c r="X2018" s="76">
        <f>STOCK[[#This Row],[Ganancia Unitaria]]*STOCK[[#This Row],[Salidas]]</f>
        <v>0</v>
      </c>
      <c r="Y2018" s="76"/>
      <c r="Z2018" s="87"/>
      <c r="AA2018" s="54"/>
      <c r="AB2018" s="54"/>
      <c r="AC2018" s="76"/>
      <c r="AD2018" s="94"/>
    </row>
    <row r="2019" s="53" customFormat="1" ht="50" customHeight="1" spans="1:30">
      <c r="A2019" s="95" t="s">
        <v>3937</v>
      </c>
      <c r="B2019" s="83"/>
      <c r="D2019" s="84" t="s">
        <v>488</v>
      </c>
      <c r="E2019" s="85" t="s">
        <v>3938</v>
      </c>
      <c r="F2019" s="95" t="s">
        <v>2822</v>
      </c>
      <c r="G2019" s="76"/>
      <c r="H2019" s="76">
        <f>STOCK[[#This Row],[Precio Final]]</f>
        <v>25</v>
      </c>
      <c r="I2019" s="80">
        <f>STOCK[[#This Row],[Precio Venta Ideal (x1.5)]]</f>
        <v>21.69</v>
      </c>
      <c r="J2019" s="86">
        <v>7</v>
      </c>
      <c r="K2019" s="78">
        <f>SUMIFS(VENTAS[Cantidad],VENTAS[Código del producto Vendido],STOCK[[#This Row],[Code]])</f>
        <v>0</v>
      </c>
      <c r="L2019" s="78">
        <f>STOCK[[#This Row],[Entradas]]-STOCK[[#This Row],[Salidas]]</f>
        <v>7</v>
      </c>
      <c r="M2019" s="76">
        <f>STOCK[[#This Row],[Precio Final]]*10%</f>
        <v>2.5</v>
      </c>
      <c r="N2019" s="54">
        <v>0</v>
      </c>
      <c r="O2019" s="76">
        <v>0</v>
      </c>
      <c r="P2019" s="76">
        <v>9.71</v>
      </c>
      <c r="Q2019" s="76">
        <v>0</v>
      </c>
      <c r="R2019" s="78">
        <v>0</v>
      </c>
      <c r="S2019" s="76">
        <v>2.25</v>
      </c>
      <c r="T2019" s="76">
        <f>STOCK[[#This Row],[Costo Unitario (USD)]]+STOCK[[#This Row],[Costo Envío (USD)]]+STOCK[[#This Row],[Comisión 10%]]</f>
        <v>14.46</v>
      </c>
      <c r="U2019" s="53">
        <f>STOCK[[#This Row],[Costo total]]*1.5</f>
        <v>21.69</v>
      </c>
      <c r="V2019" s="53">
        <v>25</v>
      </c>
      <c r="W2019" s="76">
        <f>STOCK[[#This Row],[Precio Final]]-STOCK[[#This Row],[Costo total]]</f>
        <v>10.54</v>
      </c>
      <c r="X2019" s="76">
        <f>STOCK[[#This Row],[Ganancia Unitaria]]*STOCK[[#This Row],[Salidas]]</f>
        <v>0</v>
      </c>
      <c r="Y2019" s="76"/>
      <c r="Z2019" s="87"/>
      <c r="AA2019" s="54"/>
      <c r="AB2019" s="54"/>
      <c r="AC2019" s="76"/>
      <c r="AD2019" s="94"/>
    </row>
    <row r="2020" s="53" customFormat="1" ht="50" customHeight="1" spans="1:30">
      <c r="A2020" s="95" t="s">
        <v>3939</v>
      </c>
      <c r="B2020" s="83"/>
      <c r="D2020" s="84" t="s">
        <v>488</v>
      </c>
      <c r="E2020" s="85" t="s">
        <v>3940</v>
      </c>
      <c r="F2020" s="95" t="s">
        <v>2817</v>
      </c>
      <c r="G2020" s="76"/>
      <c r="H2020" s="76">
        <f>STOCK[[#This Row],[Precio Final]]</f>
        <v>25</v>
      </c>
      <c r="I2020" s="80">
        <f>STOCK[[#This Row],[Precio Venta Ideal (x1.5)]]</f>
        <v>21.675</v>
      </c>
      <c r="J2020" s="86">
        <v>4</v>
      </c>
      <c r="K2020" s="78">
        <f>SUMIFS(VENTAS[Cantidad],VENTAS[Código del producto Vendido],STOCK[[#This Row],[Code]])</f>
        <v>0</v>
      </c>
      <c r="L2020" s="78">
        <f>STOCK[[#This Row],[Entradas]]-STOCK[[#This Row],[Salidas]]</f>
        <v>4</v>
      </c>
      <c r="M2020" s="76">
        <f>STOCK[[#This Row],[Precio Final]]*10%</f>
        <v>2.5</v>
      </c>
      <c r="N2020" s="54">
        <v>0</v>
      </c>
      <c r="O2020" s="76">
        <v>0</v>
      </c>
      <c r="P2020" s="76">
        <v>9.7</v>
      </c>
      <c r="Q2020" s="76">
        <v>0</v>
      </c>
      <c r="R2020" s="78">
        <v>0</v>
      </c>
      <c r="S2020" s="76">
        <v>2.25</v>
      </c>
      <c r="T2020" s="76">
        <f>STOCK[[#This Row],[Costo Unitario (USD)]]+STOCK[[#This Row],[Costo Envío (USD)]]+STOCK[[#This Row],[Comisión 10%]]</f>
        <v>14.45</v>
      </c>
      <c r="U2020" s="53">
        <f>STOCK[[#This Row],[Costo total]]*1.5</f>
        <v>21.675</v>
      </c>
      <c r="V2020" s="53">
        <v>25</v>
      </c>
      <c r="W2020" s="76">
        <f>STOCK[[#This Row],[Precio Final]]-STOCK[[#This Row],[Costo total]]</f>
        <v>10.55</v>
      </c>
      <c r="X2020" s="76">
        <f>STOCK[[#This Row],[Ganancia Unitaria]]*STOCK[[#This Row],[Salidas]]</f>
        <v>0</v>
      </c>
      <c r="Y2020" s="76"/>
      <c r="Z2020" s="87"/>
      <c r="AA2020" s="54"/>
      <c r="AB2020" s="54"/>
      <c r="AC2020" s="76"/>
      <c r="AD2020" s="94"/>
    </row>
    <row r="2021" s="53" customFormat="1" ht="50" customHeight="1" spans="1:30">
      <c r="A2021" s="95" t="s">
        <v>3941</v>
      </c>
      <c r="B2021" s="83"/>
      <c r="D2021" s="84" t="s">
        <v>488</v>
      </c>
      <c r="E2021" s="114" t="s">
        <v>3942</v>
      </c>
      <c r="F2021" s="95" t="s">
        <v>2822</v>
      </c>
      <c r="G2021" s="76"/>
      <c r="H2021" s="76">
        <f>STOCK[[#This Row],[Precio Final]]</f>
        <v>30</v>
      </c>
      <c r="I2021" s="80">
        <f>STOCK[[#This Row],[Precio Venta Ideal (x1.5)]]</f>
        <v>21.765</v>
      </c>
      <c r="J2021" s="86">
        <v>4</v>
      </c>
      <c r="K2021" s="78">
        <f>SUMIFS(VENTAS[Cantidad],VENTAS[Código del producto Vendido],STOCK[[#This Row],[Code]])</f>
        <v>0</v>
      </c>
      <c r="L2021" s="78">
        <f>STOCK[[#This Row],[Entradas]]-STOCK[[#This Row],[Salidas]]</f>
        <v>4</v>
      </c>
      <c r="M2021" s="76">
        <f>STOCK[[#This Row],[Precio Final]]*10%</f>
        <v>3</v>
      </c>
      <c r="N2021" s="54">
        <v>0</v>
      </c>
      <c r="O2021" s="76">
        <v>0</v>
      </c>
      <c r="P2021" s="76">
        <v>9.26</v>
      </c>
      <c r="Q2021" s="76">
        <v>0</v>
      </c>
      <c r="R2021" s="78">
        <v>0</v>
      </c>
      <c r="S2021" s="76">
        <v>2.25</v>
      </c>
      <c r="T2021" s="76">
        <f>STOCK[[#This Row],[Costo Unitario (USD)]]+STOCK[[#This Row],[Costo Envío (USD)]]+STOCK[[#This Row],[Comisión 10%]]</f>
        <v>14.51</v>
      </c>
      <c r="U2021" s="53">
        <f>STOCK[[#This Row],[Costo total]]*1.5</f>
        <v>21.765</v>
      </c>
      <c r="V2021" s="53">
        <v>30</v>
      </c>
      <c r="W2021" s="76">
        <f>STOCK[[#This Row],[Precio Final]]-STOCK[[#This Row],[Costo total]]</f>
        <v>15.49</v>
      </c>
      <c r="X2021" s="76">
        <f>STOCK[[#This Row],[Ganancia Unitaria]]*STOCK[[#This Row],[Salidas]]</f>
        <v>0</v>
      </c>
      <c r="Y2021" s="76"/>
      <c r="Z2021" s="87"/>
      <c r="AA2021" s="54"/>
      <c r="AB2021" s="54"/>
      <c r="AC2021" s="76"/>
      <c r="AD2021" s="94"/>
    </row>
    <row r="2022" s="53" customFormat="1" ht="50" customHeight="1" spans="1:30">
      <c r="A2022" s="95" t="s">
        <v>3943</v>
      </c>
      <c r="B2022" s="83"/>
      <c r="D2022" s="84" t="s">
        <v>488</v>
      </c>
      <c r="E2022" s="114" t="s">
        <v>3944</v>
      </c>
      <c r="F2022" s="95" t="s">
        <v>2822</v>
      </c>
      <c r="G2022" s="76"/>
      <c r="H2022" s="76">
        <f>STOCK[[#This Row],[Precio Final]]</f>
        <v>25</v>
      </c>
      <c r="I2022" s="80">
        <f>STOCK[[#This Row],[Precio Venta Ideal (x1.5)]]</f>
        <v>20.955</v>
      </c>
      <c r="J2022" s="86">
        <v>12</v>
      </c>
      <c r="K2022" s="78">
        <f>SUMIFS(VENTAS[Cantidad],VENTAS[Código del producto Vendido],STOCK[[#This Row],[Code]])</f>
        <v>0</v>
      </c>
      <c r="L2022" s="78">
        <f>STOCK[[#This Row],[Entradas]]-STOCK[[#This Row],[Salidas]]</f>
        <v>12</v>
      </c>
      <c r="M2022" s="76">
        <f>STOCK[[#This Row],[Precio Final]]*10%</f>
        <v>2.5</v>
      </c>
      <c r="N2022" s="54">
        <v>0</v>
      </c>
      <c r="O2022" s="76">
        <v>0</v>
      </c>
      <c r="P2022" s="76">
        <v>9.22</v>
      </c>
      <c r="Q2022" s="76">
        <v>0</v>
      </c>
      <c r="R2022" s="78">
        <v>0</v>
      </c>
      <c r="S2022" s="76">
        <v>2.25</v>
      </c>
      <c r="T2022" s="76">
        <f>STOCK[[#This Row],[Costo Unitario (USD)]]+STOCK[[#This Row],[Costo Envío (USD)]]+STOCK[[#This Row],[Comisión 10%]]</f>
        <v>13.97</v>
      </c>
      <c r="U2022" s="53">
        <f>STOCK[[#This Row],[Costo total]]*1.5</f>
        <v>20.955</v>
      </c>
      <c r="V2022" s="53">
        <v>25</v>
      </c>
      <c r="W2022" s="76">
        <f>STOCK[[#This Row],[Precio Final]]-STOCK[[#This Row],[Costo total]]</f>
        <v>11.03</v>
      </c>
      <c r="X2022" s="76">
        <f>STOCK[[#This Row],[Ganancia Unitaria]]*STOCK[[#This Row],[Salidas]]</f>
        <v>0</v>
      </c>
      <c r="Y2022" s="76"/>
      <c r="Z2022" s="87"/>
      <c r="AA2022" s="54"/>
      <c r="AB2022" s="54"/>
      <c r="AC2022" s="76"/>
      <c r="AD2022" s="94"/>
    </row>
    <row r="2023" s="53" customFormat="1" ht="50" customHeight="1" spans="1:30">
      <c r="A2023" s="95" t="s">
        <v>3945</v>
      </c>
      <c r="B2023" s="83"/>
      <c r="D2023" s="84" t="s">
        <v>1226</v>
      </c>
      <c r="E2023" s="85" t="s">
        <v>3946</v>
      </c>
      <c r="F2023" s="95" t="s">
        <v>3947</v>
      </c>
      <c r="G2023" s="76"/>
      <c r="H2023" s="76">
        <f>STOCK[[#This Row],[Precio Final]]</f>
        <v>0</v>
      </c>
      <c r="I2023" s="80">
        <f>STOCK[[#This Row],[Precio Venta Ideal (x1.5)]]</f>
        <v>30.375</v>
      </c>
      <c r="J2023" s="86">
        <v>2</v>
      </c>
      <c r="K2023" s="78">
        <f>SUMIFS(VENTAS[Cantidad],VENTAS[Código del producto Vendido],STOCK[[#This Row],[Code]])</f>
        <v>0</v>
      </c>
      <c r="L2023" s="78">
        <f>STOCK[[#This Row],[Entradas]]-STOCK[[#This Row],[Salidas]]</f>
        <v>2</v>
      </c>
      <c r="M2023" s="76">
        <f>STOCK[[#This Row],[Precio Final]]*10%</f>
        <v>0</v>
      </c>
      <c r="N2023" s="54">
        <v>0</v>
      </c>
      <c r="O2023" s="76">
        <v>0</v>
      </c>
      <c r="P2023" s="76">
        <v>18</v>
      </c>
      <c r="Q2023" s="76">
        <v>0</v>
      </c>
      <c r="R2023" s="78">
        <v>0</v>
      </c>
      <c r="S2023" s="76">
        <v>2.25</v>
      </c>
      <c r="T2023" s="76">
        <f>STOCK[[#This Row],[Costo Unitario (USD)]]+STOCK[[#This Row],[Costo Envío (USD)]]+STOCK[[#This Row],[Comisión 10%]]</f>
        <v>20.25</v>
      </c>
      <c r="U2023" s="53">
        <f>STOCK[[#This Row],[Costo total]]*1.5</f>
        <v>30.375</v>
      </c>
      <c r="W2023" s="76">
        <f>STOCK[[#This Row],[Precio Final]]-STOCK[[#This Row],[Costo total]]</f>
        <v>-20.25</v>
      </c>
      <c r="X2023" s="76">
        <f>STOCK[[#This Row],[Ganancia Unitaria]]*STOCK[[#This Row],[Salidas]]</f>
        <v>0</v>
      </c>
      <c r="Y2023" s="76"/>
      <c r="Z2023" s="87"/>
      <c r="AA2023" s="54"/>
      <c r="AB2023" s="54"/>
      <c r="AC2023" s="76"/>
      <c r="AD2023" s="94"/>
    </row>
    <row r="2024" s="53" customFormat="1" ht="50" customHeight="1" spans="1:30">
      <c r="A2024" s="95" t="s">
        <v>3948</v>
      </c>
      <c r="B2024" s="83"/>
      <c r="D2024" s="84" t="s">
        <v>1226</v>
      </c>
      <c r="E2024" s="85" t="s">
        <v>3949</v>
      </c>
      <c r="F2024" s="95" t="s">
        <v>3947</v>
      </c>
      <c r="G2024" s="76"/>
      <c r="H2024" s="76">
        <f>STOCK[[#This Row],[Precio Final]]</f>
        <v>0</v>
      </c>
      <c r="I2024" s="80">
        <f>STOCK[[#This Row],[Precio Venta Ideal (x1.5)]]</f>
        <v>30.375</v>
      </c>
      <c r="J2024" s="86">
        <v>2</v>
      </c>
      <c r="K2024" s="78">
        <f>SUMIFS(VENTAS[Cantidad],VENTAS[Código del producto Vendido],STOCK[[#This Row],[Code]])</f>
        <v>0</v>
      </c>
      <c r="L2024" s="78">
        <f>STOCK[[#This Row],[Entradas]]-STOCK[[#This Row],[Salidas]]</f>
        <v>2</v>
      </c>
      <c r="M2024" s="76">
        <f>STOCK[[#This Row],[Precio Final]]*10%</f>
        <v>0</v>
      </c>
      <c r="N2024" s="54">
        <v>0</v>
      </c>
      <c r="O2024" s="76">
        <v>0</v>
      </c>
      <c r="P2024" s="76">
        <v>18</v>
      </c>
      <c r="Q2024" s="76">
        <v>0</v>
      </c>
      <c r="R2024" s="78">
        <v>0</v>
      </c>
      <c r="S2024" s="76">
        <v>2.25</v>
      </c>
      <c r="T2024" s="76">
        <f>STOCK[[#This Row],[Costo Unitario (USD)]]+STOCK[[#This Row],[Costo Envío (USD)]]+STOCK[[#This Row],[Comisión 10%]]</f>
        <v>20.25</v>
      </c>
      <c r="U2024" s="53">
        <f>STOCK[[#This Row],[Costo total]]*1.5</f>
        <v>30.375</v>
      </c>
      <c r="W2024" s="76">
        <f>STOCK[[#This Row],[Precio Final]]-STOCK[[#This Row],[Costo total]]</f>
        <v>-20.25</v>
      </c>
      <c r="X2024" s="76">
        <f>STOCK[[#This Row],[Ganancia Unitaria]]*STOCK[[#This Row],[Salidas]]</f>
        <v>0</v>
      </c>
      <c r="Y2024" s="76"/>
      <c r="Z2024" s="87"/>
      <c r="AA2024" s="54"/>
      <c r="AB2024" s="54"/>
      <c r="AC2024" s="76"/>
      <c r="AD2024" s="94"/>
    </row>
    <row r="2025" s="53" customFormat="1" ht="50" customHeight="1" spans="1:30">
      <c r="A2025" s="95" t="s">
        <v>3950</v>
      </c>
      <c r="B2025" s="83"/>
      <c r="D2025" s="84" t="s">
        <v>1226</v>
      </c>
      <c r="E2025" s="85" t="s">
        <v>3949</v>
      </c>
      <c r="F2025" s="95" t="s">
        <v>3951</v>
      </c>
      <c r="G2025" s="76"/>
      <c r="H2025" s="76">
        <f>STOCK[[#This Row],[Precio Final]]</f>
        <v>0</v>
      </c>
      <c r="I2025" s="80">
        <f>STOCK[[#This Row],[Precio Venta Ideal (x1.5)]]</f>
        <v>30.375</v>
      </c>
      <c r="J2025" s="86">
        <v>3</v>
      </c>
      <c r="K2025" s="78">
        <f>SUMIFS(VENTAS[Cantidad],VENTAS[Código del producto Vendido],STOCK[[#This Row],[Code]])</f>
        <v>0</v>
      </c>
      <c r="L2025" s="78">
        <f>STOCK[[#This Row],[Entradas]]-STOCK[[#This Row],[Salidas]]</f>
        <v>3</v>
      </c>
      <c r="M2025" s="76">
        <f>STOCK[[#This Row],[Precio Final]]*10%</f>
        <v>0</v>
      </c>
      <c r="N2025" s="54">
        <v>0</v>
      </c>
      <c r="O2025" s="76">
        <v>0</v>
      </c>
      <c r="P2025" s="76">
        <v>18</v>
      </c>
      <c r="Q2025" s="76">
        <v>0</v>
      </c>
      <c r="R2025" s="78">
        <v>0</v>
      </c>
      <c r="S2025" s="76">
        <v>2.25</v>
      </c>
      <c r="T2025" s="76">
        <f>STOCK[[#This Row],[Costo Unitario (USD)]]+STOCK[[#This Row],[Costo Envío (USD)]]+STOCK[[#This Row],[Comisión 10%]]</f>
        <v>20.25</v>
      </c>
      <c r="U2025" s="53">
        <f>STOCK[[#This Row],[Costo total]]*1.5</f>
        <v>30.375</v>
      </c>
      <c r="W2025" s="76">
        <f>STOCK[[#This Row],[Precio Final]]-STOCK[[#This Row],[Costo total]]</f>
        <v>-20.25</v>
      </c>
      <c r="X2025" s="76">
        <f>STOCK[[#This Row],[Ganancia Unitaria]]*STOCK[[#This Row],[Salidas]]</f>
        <v>0</v>
      </c>
      <c r="Y2025" s="76"/>
      <c r="Z2025" s="87"/>
      <c r="AA2025" s="54"/>
      <c r="AB2025" s="54"/>
      <c r="AC2025" s="76"/>
      <c r="AD2025" s="94"/>
    </row>
    <row r="2026" s="53" customFormat="1" ht="50" customHeight="1" spans="1:30">
      <c r="A2026" s="95" t="s">
        <v>3952</v>
      </c>
      <c r="B2026" s="83"/>
      <c r="D2026" s="84" t="s">
        <v>1226</v>
      </c>
      <c r="E2026" s="85" t="s">
        <v>3949</v>
      </c>
      <c r="F2026" s="95" t="s">
        <v>3953</v>
      </c>
      <c r="G2026" s="76"/>
      <c r="H2026" s="76">
        <f>STOCK[[#This Row],[Precio Final]]</f>
        <v>0</v>
      </c>
      <c r="I2026" s="80">
        <f>STOCK[[#This Row],[Precio Venta Ideal (x1.5)]]</f>
        <v>30.375</v>
      </c>
      <c r="J2026" s="86">
        <v>4</v>
      </c>
      <c r="K2026" s="78">
        <f>SUMIFS(VENTAS[Cantidad],VENTAS[Código del producto Vendido],STOCK[[#This Row],[Code]])</f>
        <v>0</v>
      </c>
      <c r="L2026" s="78">
        <f>STOCK[[#This Row],[Entradas]]-STOCK[[#This Row],[Salidas]]</f>
        <v>4</v>
      </c>
      <c r="M2026" s="76">
        <f>STOCK[[#This Row],[Precio Final]]*10%</f>
        <v>0</v>
      </c>
      <c r="N2026" s="54">
        <v>0</v>
      </c>
      <c r="O2026" s="76">
        <v>0</v>
      </c>
      <c r="P2026" s="76">
        <v>18</v>
      </c>
      <c r="Q2026" s="76">
        <v>0</v>
      </c>
      <c r="R2026" s="78">
        <v>0</v>
      </c>
      <c r="S2026" s="76">
        <v>2.25</v>
      </c>
      <c r="T2026" s="76">
        <f>STOCK[[#This Row],[Costo Unitario (USD)]]+STOCK[[#This Row],[Costo Envío (USD)]]+STOCK[[#This Row],[Comisión 10%]]</f>
        <v>20.25</v>
      </c>
      <c r="U2026" s="53">
        <f>STOCK[[#This Row],[Costo total]]*1.5</f>
        <v>30.375</v>
      </c>
      <c r="W2026" s="76">
        <f>STOCK[[#This Row],[Precio Final]]-STOCK[[#This Row],[Costo total]]</f>
        <v>-20.25</v>
      </c>
      <c r="X2026" s="76">
        <f>STOCK[[#This Row],[Ganancia Unitaria]]*STOCK[[#This Row],[Salidas]]</f>
        <v>0</v>
      </c>
      <c r="Y2026" s="76"/>
      <c r="Z2026" s="87"/>
      <c r="AA2026" s="54"/>
      <c r="AB2026" s="54"/>
      <c r="AC2026" s="76"/>
      <c r="AD2026" s="94"/>
    </row>
    <row r="2027" s="53" customFormat="1" ht="50" customHeight="1" spans="1:30">
      <c r="A2027" s="95" t="s">
        <v>3954</v>
      </c>
      <c r="B2027" s="83"/>
      <c r="D2027" s="84" t="s">
        <v>1226</v>
      </c>
      <c r="E2027" s="85" t="s">
        <v>3949</v>
      </c>
      <c r="F2027" s="95" t="s">
        <v>3955</v>
      </c>
      <c r="G2027" s="76"/>
      <c r="H2027" s="76">
        <f>STOCK[[#This Row],[Precio Final]]</f>
        <v>0</v>
      </c>
      <c r="I2027" s="80">
        <f>STOCK[[#This Row],[Precio Venta Ideal (x1.5)]]</f>
        <v>30.375</v>
      </c>
      <c r="J2027" s="86">
        <v>3</v>
      </c>
      <c r="K2027" s="78">
        <f>SUMIFS(VENTAS[Cantidad],VENTAS[Código del producto Vendido],STOCK[[#This Row],[Code]])</f>
        <v>0</v>
      </c>
      <c r="L2027" s="78">
        <f>STOCK[[#This Row],[Entradas]]-STOCK[[#This Row],[Salidas]]</f>
        <v>3</v>
      </c>
      <c r="M2027" s="76">
        <f>STOCK[[#This Row],[Precio Final]]*10%</f>
        <v>0</v>
      </c>
      <c r="N2027" s="54">
        <v>0</v>
      </c>
      <c r="O2027" s="76">
        <v>0</v>
      </c>
      <c r="P2027" s="76">
        <v>18</v>
      </c>
      <c r="Q2027" s="76">
        <v>0</v>
      </c>
      <c r="R2027" s="78">
        <v>0</v>
      </c>
      <c r="S2027" s="76">
        <v>2.25</v>
      </c>
      <c r="T2027" s="76">
        <f>STOCK[[#This Row],[Costo Unitario (USD)]]+STOCK[[#This Row],[Costo Envío (USD)]]+STOCK[[#This Row],[Comisión 10%]]</f>
        <v>20.25</v>
      </c>
      <c r="U2027" s="53">
        <f>STOCK[[#This Row],[Costo total]]*1.5</f>
        <v>30.375</v>
      </c>
      <c r="W2027" s="76">
        <f>STOCK[[#This Row],[Precio Final]]-STOCK[[#This Row],[Costo total]]</f>
        <v>-20.25</v>
      </c>
      <c r="X2027" s="76">
        <f>STOCK[[#This Row],[Ganancia Unitaria]]*STOCK[[#This Row],[Salidas]]</f>
        <v>0</v>
      </c>
      <c r="Y2027" s="76"/>
      <c r="Z2027" s="87"/>
      <c r="AA2027" s="54"/>
      <c r="AB2027" s="54"/>
      <c r="AC2027" s="76"/>
      <c r="AD2027" s="94"/>
    </row>
    <row r="2028" s="53" customFormat="1" ht="50" customHeight="1" spans="1:30">
      <c r="A2028" s="95" t="s">
        <v>3956</v>
      </c>
      <c r="B2028" s="83"/>
      <c r="D2028" s="84" t="s">
        <v>1226</v>
      </c>
      <c r="E2028" s="85" t="s">
        <v>3949</v>
      </c>
      <c r="F2028" s="95" t="s">
        <v>3957</v>
      </c>
      <c r="G2028" s="76"/>
      <c r="H2028" s="76">
        <f>STOCK[[#This Row],[Precio Final]]</f>
        <v>0</v>
      </c>
      <c r="I2028" s="80">
        <f>STOCK[[#This Row],[Precio Venta Ideal (x1.5)]]</f>
        <v>30.375</v>
      </c>
      <c r="J2028" s="86">
        <v>2</v>
      </c>
      <c r="K2028" s="78">
        <f>SUMIFS(VENTAS[Cantidad],VENTAS[Código del producto Vendido],STOCK[[#This Row],[Code]])</f>
        <v>0</v>
      </c>
      <c r="L2028" s="78">
        <f>STOCK[[#This Row],[Entradas]]-STOCK[[#This Row],[Salidas]]</f>
        <v>2</v>
      </c>
      <c r="M2028" s="76">
        <f>STOCK[[#This Row],[Precio Final]]*10%</f>
        <v>0</v>
      </c>
      <c r="N2028" s="54">
        <v>0</v>
      </c>
      <c r="O2028" s="76">
        <v>0</v>
      </c>
      <c r="P2028" s="76">
        <v>18</v>
      </c>
      <c r="Q2028" s="76">
        <v>0</v>
      </c>
      <c r="R2028" s="78">
        <v>0</v>
      </c>
      <c r="S2028" s="76">
        <v>2.25</v>
      </c>
      <c r="T2028" s="76">
        <f>STOCK[[#This Row],[Costo Unitario (USD)]]+STOCK[[#This Row],[Costo Envío (USD)]]+STOCK[[#This Row],[Comisión 10%]]</f>
        <v>20.25</v>
      </c>
      <c r="U2028" s="53">
        <f>STOCK[[#This Row],[Costo total]]*1.5</f>
        <v>30.375</v>
      </c>
      <c r="W2028" s="76">
        <f>STOCK[[#This Row],[Precio Final]]-STOCK[[#This Row],[Costo total]]</f>
        <v>-20.25</v>
      </c>
      <c r="X2028" s="76">
        <f>STOCK[[#This Row],[Ganancia Unitaria]]*STOCK[[#This Row],[Salidas]]</f>
        <v>0</v>
      </c>
      <c r="Y2028" s="76"/>
      <c r="Z2028" s="87"/>
      <c r="AA2028" s="54"/>
      <c r="AB2028" s="54"/>
      <c r="AC2028" s="76"/>
      <c r="AD2028" s="94"/>
    </row>
    <row r="2029" s="53" customFormat="1" ht="50" customHeight="1" spans="1:30">
      <c r="A2029" s="95" t="s">
        <v>3958</v>
      </c>
      <c r="B2029" s="83"/>
      <c r="D2029" s="84" t="s">
        <v>1226</v>
      </c>
      <c r="E2029" s="114" t="s">
        <v>3959</v>
      </c>
      <c r="F2029" s="95" t="s">
        <v>3947</v>
      </c>
      <c r="G2029" s="76"/>
      <c r="H2029" s="76">
        <f>STOCK[[#This Row],[Precio Final]]</f>
        <v>0</v>
      </c>
      <c r="I2029" s="80">
        <f>STOCK[[#This Row],[Precio Venta Ideal (x1.5)]]</f>
        <v>16.125</v>
      </c>
      <c r="J2029" s="86">
        <v>2</v>
      </c>
      <c r="K2029" s="78">
        <f>SUMIFS(VENTAS[Cantidad],VENTAS[Código del producto Vendido],STOCK[[#This Row],[Code]])</f>
        <v>0</v>
      </c>
      <c r="L2029" s="78">
        <f>STOCK[[#This Row],[Entradas]]-STOCK[[#This Row],[Salidas]]</f>
        <v>2</v>
      </c>
      <c r="M2029" s="76">
        <f>STOCK[[#This Row],[Precio Final]]*10%</f>
        <v>0</v>
      </c>
      <c r="N2029" s="54">
        <v>0</v>
      </c>
      <c r="O2029" s="76">
        <v>0</v>
      </c>
      <c r="P2029" s="54">
        <v>8.5</v>
      </c>
      <c r="Q2029" s="76">
        <v>0</v>
      </c>
      <c r="R2029" s="78">
        <v>0</v>
      </c>
      <c r="S2029" s="76">
        <v>2.25</v>
      </c>
      <c r="T2029" s="76">
        <f>STOCK[[#This Row],[Costo Unitario (USD)]]+STOCK[[#This Row],[Costo Envío (USD)]]+STOCK[[#This Row],[Comisión 10%]]</f>
        <v>10.75</v>
      </c>
      <c r="U2029" s="53">
        <f>STOCK[[#This Row],[Costo total]]*1.5</f>
        <v>16.125</v>
      </c>
      <c r="W2029" s="76">
        <f>STOCK[[#This Row],[Precio Final]]-STOCK[[#This Row],[Costo total]]</f>
        <v>-10.75</v>
      </c>
      <c r="X2029" s="76">
        <f>STOCK[[#This Row],[Ganancia Unitaria]]*STOCK[[#This Row],[Salidas]]</f>
        <v>0</v>
      </c>
      <c r="Y2029" s="76"/>
      <c r="Z2029" s="87"/>
      <c r="AA2029" s="54"/>
      <c r="AB2029" s="54"/>
      <c r="AC2029" s="76"/>
      <c r="AD2029" s="94"/>
    </row>
    <row r="2030" s="53" customFormat="1" ht="50" customHeight="1" spans="1:30">
      <c r="A2030" s="95" t="s">
        <v>3960</v>
      </c>
      <c r="B2030" s="112"/>
      <c r="C2030" s="54"/>
      <c r="D2030" s="84" t="s">
        <v>1226</v>
      </c>
      <c r="E2030" s="114" t="s">
        <v>3959</v>
      </c>
      <c r="F2030" s="115" t="s">
        <v>3951</v>
      </c>
      <c r="G2030" s="54"/>
      <c r="H2030" s="76">
        <f>STOCK[[#This Row],[Precio Final]]</f>
        <v>0</v>
      </c>
      <c r="I2030" s="80">
        <f>STOCK[[#This Row],[Precio Venta Ideal (x1.5)]]</f>
        <v>16.125</v>
      </c>
      <c r="J2030" s="118">
        <v>2</v>
      </c>
      <c r="K2030" s="78">
        <f>SUMIFS(VENTAS[Cantidad],VENTAS[Código del producto Vendido],STOCK[[#This Row],[Code]])</f>
        <v>0</v>
      </c>
      <c r="L2030" s="78">
        <f>STOCK[[#This Row],[Entradas]]-STOCK[[#This Row],[Salidas]]</f>
        <v>2</v>
      </c>
      <c r="M2030" s="76">
        <f>STOCK[[#This Row],[Precio Final]]*10%</f>
        <v>0</v>
      </c>
      <c r="N2030" s="54">
        <v>0</v>
      </c>
      <c r="O2030" s="76">
        <v>0</v>
      </c>
      <c r="P2030" s="54">
        <v>8.5</v>
      </c>
      <c r="Q2030" s="76">
        <v>0</v>
      </c>
      <c r="R2030" s="78">
        <v>0</v>
      </c>
      <c r="S2030" s="76">
        <v>2.25</v>
      </c>
      <c r="T2030" s="76">
        <f>STOCK[[#This Row],[Costo Unitario (USD)]]+STOCK[[#This Row],[Costo Envío (USD)]]+STOCK[[#This Row],[Comisión 10%]]</f>
        <v>10.75</v>
      </c>
      <c r="U2030" s="53">
        <f>STOCK[[#This Row],[Costo total]]*1.5</f>
        <v>16.125</v>
      </c>
      <c r="V2030" s="54"/>
      <c r="W2030" s="76">
        <f>STOCK[[#This Row],[Precio Final]]-STOCK[[#This Row],[Costo total]]</f>
        <v>-10.75</v>
      </c>
      <c r="X2030" s="76">
        <f>STOCK[[#This Row],[Ganancia Unitaria]]*STOCK[[#This Row],[Salidas]]</f>
        <v>0</v>
      </c>
      <c r="Y2030" s="54"/>
      <c r="Z2030" s="119"/>
      <c r="AA2030" s="54"/>
      <c r="AB2030" s="54"/>
      <c r="AC2030" s="54"/>
      <c r="AD2030" s="94"/>
    </row>
    <row r="2031" s="53" customFormat="1" ht="50" customHeight="1" spans="1:30">
      <c r="A2031" s="95" t="s">
        <v>3961</v>
      </c>
      <c r="B2031" s="112"/>
      <c r="C2031" s="54"/>
      <c r="D2031" s="84" t="s">
        <v>1226</v>
      </c>
      <c r="E2031" s="114" t="s">
        <v>3959</v>
      </c>
      <c r="F2031" s="115" t="s">
        <v>3962</v>
      </c>
      <c r="G2031" s="54"/>
      <c r="H2031" s="76">
        <f>STOCK[[#This Row],[Precio Final]]</f>
        <v>0</v>
      </c>
      <c r="I2031" s="80">
        <f>STOCK[[#This Row],[Precio Venta Ideal (x1.5)]]</f>
        <v>16.125</v>
      </c>
      <c r="J2031" s="118">
        <v>3</v>
      </c>
      <c r="K2031" s="78">
        <f>SUMIFS(VENTAS[Cantidad],VENTAS[Código del producto Vendido],STOCK[[#This Row],[Code]])</f>
        <v>0</v>
      </c>
      <c r="L2031" s="78">
        <f>STOCK[[#This Row],[Entradas]]-STOCK[[#This Row],[Salidas]]</f>
        <v>3</v>
      </c>
      <c r="M2031" s="76">
        <f>STOCK[[#This Row],[Precio Final]]*10%</f>
        <v>0</v>
      </c>
      <c r="N2031" s="54">
        <v>0</v>
      </c>
      <c r="O2031" s="76">
        <v>0</v>
      </c>
      <c r="P2031" s="54">
        <v>8.5</v>
      </c>
      <c r="Q2031" s="76">
        <v>0</v>
      </c>
      <c r="R2031" s="78">
        <v>0</v>
      </c>
      <c r="S2031" s="76">
        <v>2.25</v>
      </c>
      <c r="T2031" s="76">
        <f>STOCK[[#This Row],[Costo Unitario (USD)]]+STOCK[[#This Row],[Costo Envío (USD)]]+STOCK[[#This Row],[Comisión 10%]]</f>
        <v>10.75</v>
      </c>
      <c r="U2031" s="53">
        <f>STOCK[[#This Row],[Costo total]]*1.5</f>
        <v>16.125</v>
      </c>
      <c r="V2031" s="54"/>
      <c r="W2031" s="76">
        <f>STOCK[[#This Row],[Precio Final]]-STOCK[[#This Row],[Costo total]]</f>
        <v>-10.75</v>
      </c>
      <c r="X2031" s="76">
        <f>STOCK[[#This Row],[Ganancia Unitaria]]*STOCK[[#This Row],[Salidas]]</f>
        <v>0</v>
      </c>
      <c r="Y2031" s="54"/>
      <c r="Z2031" s="119"/>
      <c r="AA2031" s="54"/>
      <c r="AB2031" s="54"/>
      <c r="AC2031" s="54"/>
      <c r="AD2031" s="94"/>
    </row>
    <row r="2032" s="53" customFormat="1" ht="50" customHeight="1" spans="1:30">
      <c r="A2032" s="95" t="s">
        <v>3963</v>
      </c>
      <c r="B2032" s="112"/>
      <c r="C2032" s="54"/>
      <c r="D2032" s="84" t="s">
        <v>1226</v>
      </c>
      <c r="E2032" s="114" t="s">
        <v>3959</v>
      </c>
      <c r="F2032" s="115" t="s">
        <v>3955</v>
      </c>
      <c r="G2032" s="54"/>
      <c r="H2032" s="76">
        <f>STOCK[[#This Row],[Precio Final]]</f>
        <v>0</v>
      </c>
      <c r="I2032" s="80">
        <f>STOCK[[#This Row],[Precio Venta Ideal (x1.5)]]</f>
        <v>16.125</v>
      </c>
      <c r="J2032" s="118">
        <v>2</v>
      </c>
      <c r="K2032" s="78">
        <f>SUMIFS(VENTAS[Cantidad],VENTAS[Código del producto Vendido],STOCK[[#This Row],[Code]])</f>
        <v>0</v>
      </c>
      <c r="L2032" s="78">
        <f>STOCK[[#This Row],[Entradas]]-STOCK[[#This Row],[Salidas]]</f>
        <v>2</v>
      </c>
      <c r="M2032" s="76">
        <f>STOCK[[#This Row],[Precio Final]]*10%</f>
        <v>0</v>
      </c>
      <c r="N2032" s="54">
        <v>0</v>
      </c>
      <c r="O2032" s="76">
        <v>0</v>
      </c>
      <c r="P2032" s="54">
        <v>8.5</v>
      </c>
      <c r="Q2032" s="76">
        <v>0</v>
      </c>
      <c r="R2032" s="78">
        <v>0</v>
      </c>
      <c r="S2032" s="76">
        <v>2.25</v>
      </c>
      <c r="T2032" s="76">
        <f>STOCK[[#This Row],[Costo Unitario (USD)]]+STOCK[[#This Row],[Costo Envío (USD)]]+STOCK[[#This Row],[Comisión 10%]]</f>
        <v>10.75</v>
      </c>
      <c r="U2032" s="53">
        <f>STOCK[[#This Row],[Costo total]]*1.5</f>
        <v>16.125</v>
      </c>
      <c r="V2032" s="54"/>
      <c r="W2032" s="76">
        <f>STOCK[[#This Row],[Precio Final]]-STOCK[[#This Row],[Costo total]]</f>
        <v>-10.75</v>
      </c>
      <c r="X2032" s="76">
        <f>STOCK[[#This Row],[Ganancia Unitaria]]*STOCK[[#This Row],[Salidas]]</f>
        <v>0</v>
      </c>
      <c r="Y2032" s="54"/>
      <c r="Z2032" s="119"/>
      <c r="AA2032" s="54"/>
      <c r="AB2032" s="54"/>
      <c r="AC2032" s="54"/>
      <c r="AD2032" s="94"/>
    </row>
    <row r="2033" s="53" customFormat="1" ht="50" customHeight="1" spans="1:30">
      <c r="A2033" s="95" t="s">
        <v>3964</v>
      </c>
      <c r="B2033" s="112"/>
      <c r="C2033" s="54"/>
      <c r="D2033" s="84" t="s">
        <v>1226</v>
      </c>
      <c r="E2033" s="114" t="s">
        <v>3959</v>
      </c>
      <c r="F2033" s="115" t="s">
        <v>3957</v>
      </c>
      <c r="G2033" s="54"/>
      <c r="H2033" s="76">
        <f>STOCK[[#This Row],[Precio Final]]</f>
        <v>0</v>
      </c>
      <c r="I2033" s="80">
        <f>STOCK[[#This Row],[Precio Venta Ideal (x1.5)]]</f>
        <v>16.125</v>
      </c>
      <c r="J2033" s="118">
        <v>2</v>
      </c>
      <c r="K2033" s="78">
        <f>SUMIFS(VENTAS[Cantidad],VENTAS[Código del producto Vendido],STOCK[[#This Row],[Code]])</f>
        <v>0</v>
      </c>
      <c r="L2033" s="78">
        <f>STOCK[[#This Row],[Entradas]]-STOCK[[#This Row],[Salidas]]</f>
        <v>2</v>
      </c>
      <c r="M2033" s="76">
        <f>STOCK[[#This Row],[Precio Final]]*10%</f>
        <v>0</v>
      </c>
      <c r="N2033" s="54">
        <v>0</v>
      </c>
      <c r="O2033" s="76">
        <v>0</v>
      </c>
      <c r="P2033" s="54">
        <v>8.5</v>
      </c>
      <c r="Q2033" s="76">
        <v>0</v>
      </c>
      <c r="R2033" s="78">
        <v>0</v>
      </c>
      <c r="S2033" s="76">
        <v>2.25</v>
      </c>
      <c r="T2033" s="76">
        <f>STOCK[[#This Row],[Costo Unitario (USD)]]+STOCK[[#This Row],[Costo Envío (USD)]]+STOCK[[#This Row],[Comisión 10%]]</f>
        <v>10.75</v>
      </c>
      <c r="U2033" s="53">
        <f>STOCK[[#This Row],[Costo total]]*1.5</f>
        <v>16.125</v>
      </c>
      <c r="V2033" s="54"/>
      <c r="W2033" s="76">
        <f>STOCK[[#This Row],[Precio Final]]-STOCK[[#This Row],[Costo total]]</f>
        <v>-10.75</v>
      </c>
      <c r="X2033" s="76">
        <f>STOCK[[#This Row],[Ganancia Unitaria]]*STOCK[[#This Row],[Salidas]]</f>
        <v>0</v>
      </c>
      <c r="Y2033" s="54"/>
      <c r="Z2033" s="119"/>
      <c r="AA2033" s="54"/>
      <c r="AB2033" s="54"/>
      <c r="AC2033" s="54"/>
      <c r="AD2033" s="94"/>
    </row>
    <row r="2034" s="53" customFormat="1" ht="50" customHeight="1" spans="1:30">
      <c r="A2034" s="95" t="s">
        <v>3965</v>
      </c>
      <c r="B2034" s="112"/>
      <c r="C2034" s="54"/>
      <c r="D2034" s="84" t="s">
        <v>1226</v>
      </c>
      <c r="E2034" s="114" t="s">
        <v>3966</v>
      </c>
      <c r="F2034" s="115" t="s">
        <v>3951</v>
      </c>
      <c r="G2034" s="54"/>
      <c r="H2034" s="76">
        <f>STOCK[[#This Row],[Precio Final]]</f>
        <v>0</v>
      </c>
      <c r="I2034" s="80">
        <f>STOCK[[#This Row],[Precio Venta Ideal (x1.5)]]</f>
        <v>16.125</v>
      </c>
      <c r="J2034" s="118">
        <v>2</v>
      </c>
      <c r="K2034" s="78">
        <f>SUMIFS(VENTAS[Cantidad],VENTAS[Código del producto Vendido],STOCK[[#This Row],[Code]])</f>
        <v>0</v>
      </c>
      <c r="L2034" s="78">
        <f>STOCK[[#This Row],[Entradas]]-STOCK[[#This Row],[Salidas]]</f>
        <v>2</v>
      </c>
      <c r="M2034" s="76">
        <f>STOCK[[#This Row],[Precio Final]]*10%</f>
        <v>0</v>
      </c>
      <c r="N2034" s="54">
        <v>0</v>
      </c>
      <c r="O2034" s="76">
        <v>0</v>
      </c>
      <c r="P2034" s="54">
        <v>8.5</v>
      </c>
      <c r="Q2034" s="76">
        <v>0</v>
      </c>
      <c r="R2034" s="78">
        <v>0</v>
      </c>
      <c r="S2034" s="76">
        <v>2.25</v>
      </c>
      <c r="T2034" s="76">
        <f>STOCK[[#This Row],[Costo Unitario (USD)]]+STOCK[[#This Row],[Costo Envío (USD)]]+STOCK[[#This Row],[Comisión 10%]]</f>
        <v>10.75</v>
      </c>
      <c r="U2034" s="53">
        <f>STOCK[[#This Row],[Costo total]]*1.5</f>
        <v>16.125</v>
      </c>
      <c r="V2034" s="54"/>
      <c r="W2034" s="76">
        <f>STOCK[[#This Row],[Precio Final]]-STOCK[[#This Row],[Costo total]]</f>
        <v>-10.75</v>
      </c>
      <c r="X2034" s="76">
        <f>STOCK[[#This Row],[Ganancia Unitaria]]*STOCK[[#This Row],[Salidas]]</f>
        <v>0</v>
      </c>
      <c r="Y2034" s="54"/>
      <c r="Z2034" s="119"/>
      <c r="AA2034" s="54"/>
      <c r="AB2034" s="54"/>
      <c r="AC2034" s="54"/>
      <c r="AD2034" s="94"/>
    </row>
    <row r="2035" s="53" customFormat="1" ht="50" customHeight="1" spans="1:30">
      <c r="A2035" s="95" t="s">
        <v>3967</v>
      </c>
      <c r="B2035" s="112"/>
      <c r="C2035" s="54"/>
      <c r="D2035" s="84" t="s">
        <v>1226</v>
      </c>
      <c r="E2035" s="114" t="s">
        <v>3966</v>
      </c>
      <c r="F2035" s="115" t="s">
        <v>3962</v>
      </c>
      <c r="G2035" s="54"/>
      <c r="H2035" s="76">
        <f>STOCK[[#This Row],[Precio Final]]</f>
        <v>0</v>
      </c>
      <c r="I2035" s="80">
        <f>STOCK[[#This Row],[Precio Venta Ideal (x1.5)]]</f>
        <v>16.125</v>
      </c>
      <c r="J2035" s="118">
        <v>3</v>
      </c>
      <c r="K2035" s="78">
        <f>SUMIFS(VENTAS[Cantidad],VENTAS[Código del producto Vendido],STOCK[[#This Row],[Code]])</f>
        <v>0</v>
      </c>
      <c r="L2035" s="78">
        <f>STOCK[[#This Row],[Entradas]]-STOCK[[#This Row],[Salidas]]</f>
        <v>3</v>
      </c>
      <c r="M2035" s="76">
        <f>STOCK[[#This Row],[Precio Final]]*10%</f>
        <v>0</v>
      </c>
      <c r="N2035" s="54">
        <v>0</v>
      </c>
      <c r="O2035" s="76">
        <v>0</v>
      </c>
      <c r="P2035" s="54">
        <v>8.5</v>
      </c>
      <c r="Q2035" s="76">
        <v>0</v>
      </c>
      <c r="R2035" s="78">
        <v>0</v>
      </c>
      <c r="S2035" s="76">
        <v>2.25</v>
      </c>
      <c r="T2035" s="76">
        <f>STOCK[[#This Row],[Costo Unitario (USD)]]+STOCK[[#This Row],[Costo Envío (USD)]]+STOCK[[#This Row],[Comisión 10%]]</f>
        <v>10.75</v>
      </c>
      <c r="U2035" s="53">
        <f>STOCK[[#This Row],[Costo total]]*1.5</f>
        <v>16.125</v>
      </c>
      <c r="V2035" s="54"/>
      <c r="W2035" s="76">
        <f>STOCK[[#This Row],[Precio Final]]-STOCK[[#This Row],[Costo total]]</f>
        <v>-10.75</v>
      </c>
      <c r="X2035" s="76">
        <f>STOCK[[#This Row],[Ganancia Unitaria]]*STOCK[[#This Row],[Salidas]]</f>
        <v>0</v>
      </c>
      <c r="Y2035" s="54"/>
      <c r="Z2035" s="119"/>
      <c r="AA2035" s="54"/>
      <c r="AB2035" s="54"/>
      <c r="AC2035" s="54"/>
      <c r="AD2035" s="94"/>
    </row>
    <row r="2036" s="53" customFormat="1" ht="50" customHeight="1" spans="1:30">
      <c r="A2036" s="95" t="s">
        <v>3968</v>
      </c>
      <c r="B2036" s="112"/>
      <c r="C2036" s="54"/>
      <c r="D2036" s="84" t="s">
        <v>1226</v>
      </c>
      <c r="E2036" s="116" t="s">
        <v>3969</v>
      </c>
      <c r="F2036" s="115" t="s">
        <v>3953</v>
      </c>
      <c r="G2036" s="54"/>
      <c r="H2036" s="76">
        <f>STOCK[[#This Row],[Precio Final]]</f>
        <v>0</v>
      </c>
      <c r="I2036" s="80">
        <f>STOCK[[#This Row],[Precio Venta Ideal (x1.5)]]</f>
        <v>20.625</v>
      </c>
      <c r="J2036" s="118">
        <v>3</v>
      </c>
      <c r="K2036" s="78">
        <f>SUMIFS(VENTAS[Cantidad],VENTAS[Código del producto Vendido],STOCK[[#This Row],[Code]])</f>
        <v>0</v>
      </c>
      <c r="L2036" s="78">
        <f>STOCK[[#This Row],[Entradas]]-STOCK[[#This Row],[Salidas]]</f>
        <v>3</v>
      </c>
      <c r="M2036" s="76">
        <f>STOCK[[#This Row],[Precio Final]]*10%</f>
        <v>0</v>
      </c>
      <c r="N2036" s="54">
        <v>0</v>
      </c>
      <c r="O2036" s="76">
        <v>0</v>
      </c>
      <c r="P2036" s="54">
        <v>11.5</v>
      </c>
      <c r="Q2036" s="76">
        <v>0</v>
      </c>
      <c r="R2036" s="78">
        <v>0</v>
      </c>
      <c r="S2036" s="76">
        <v>2.25</v>
      </c>
      <c r="T2036" s="76">
        <f>STOCK[[#This Row],[Costo Unitario (USD)]]+STOCK[[#This Row],[Costo Envío (USD)]]+STOCK[[#This Row],[Comisión 10%]]</f>
        <v>13.75</v>
      </c>
      <c r="U2036" s="53">
        <f>STOCK[[#This Row],[Costo total]]*1.5</f>
        <v>20.625</v>
      </c>
      <c r="V2036" s="54"/>
      <c r="W2036" s="76">
        <f>STOCK[[#This Row],[Precio Final]]-STOCK[[#This Row],[Costo total]]</f>
        <v>-13.75</v>
      </c>
      <c r="X2036" s="76">
        <f>STOCK[[#This Row],[Ganancia Unitaria]]*STOCK[[#This Row],[Salidas]]</f>
        <v>0</v>
      </c>
      <c r="Y2036" s="54"/>
      <c r="Z2036" s="119"/>
      <c r="AA2036" s="54"/>
      <c r="AB2036" s="54"/>
      <c r="AC2036" s="54"/>
      <c r="AD2036" s="94"/>
    </row>
    <row r="2037" s="53" customFormat="1" ht="50" customHeight="1" spans="1:30">
      <c r="A2037" s="95" t="s">
        <v>3970</v>
      </c>
      <c r="B2037" s="112"/>
      <c r="C2037" s="54"/>
      <c r="D2037" s="84" t="s">
        <v>1226</v>
      </c>
      <c r="E2037" s="116" t="s">
        <v>3969</v>
      </c>
      <c r="F2037" s="115" t="s">
        <v>3951</v>
      </c>
      <c r="G2037" s="54"/>
      <c r="H2037" s="76">
        <f>STOCK[[#This Row],[Precio Final]]</f>
        <v>0</v>
      </c>
      <c r="I2037" s="80">
        <f>STOCK[[#This Row],[Precio Venta Ideal (x1.5)]]</f>
        <v>20.625</v>
      </c>
      <c r="J2037" s="118">
        <v>3</v>
      </c>
      <c r="K2037" s="78">
        <f>SUMIFS(VENTAS[Cantidad],VENTAS[Código del producto Vendido],STOCK[[#This Row],[Code]])</f>
        <v>0</v>
      </c>
      <c r="L2037" s="78">
        <f>STOCK[[#This Row],[Entradas]]-STOCK[[#This Row],[Salidas]]</f>
        <v>3</v>
      </c>
      <c r="M2037" s="76">
        <f>STOCK[[#This Row],[Precio Final]]*10%</f>
        <v>0</v>
      </c>
      <c r="N2037" s="54">
        <v>0</v>
      </c>
      <c r="O2037" s="76">
        <v>0</v>
      </c>
      <c r="P2037" s="54">
        <v>11.5</v>
      </c>
      <c r="Q2037" s="76">
        <v>0</v>
      </c>
      <c r="R2037" s="78">
        <v>0</v>
      </c>
      <c r="S2037" s="76">
        <v>2.25</v>
      </c>
      <c r="T2037" s="76">
        <f>STOCK[[#This Row],[Costo Unitario (USD)]]+STOCK[[#This Row],[Costo Envío (USD)]]+STOCK[[#This Row],[Comisión 10%]]</f>
        <v>13.75</v>
      </c>
      <c r="U2037" s="53">
        <f>STOCK[[#This Row],[Costo total]]*1.5</f>
        <v>20.625</v>
      </c>
      <c r="V2037" s="54"/>
      <c r="W2037" s="76">
        <f>STOCK[[#This Row],[Precio Final]]-STOCK[[#This Row],[Costo total]]</f>
        <v>-13.75</v>
      </c>
      <c r="X2037" s="76">
        <f>STOCK[[#This Row],[Ganancia Unitaria]]*STOCK[[#This Row],[Salidas]]</f>
        <v>0</v>
      </c>
      <c r="Y2037" s="54"/>
      <c r="Z2037" s="119"/>
      <c r="AA2037" s="54"/>
      <c r="AB2037" s="54"/>
      <c r="AC2037" s="54"/>
      <c r="AD2037" s="94"/>
    </row>
    <row r="2038" s="53" customFormat="1" ht="50" customHeight="1" spans="1:30">
      <c r="A2038" s="95" t="s">
        <v>3971</v>
      </c>
      <c r="B2038" s="112"/>
      <c r="C2038" s="54"/>
      <c r="D2038" s="84" t="s">
        <v>1226</v>
      </c>
      <c r="E2038" s="117" t="s">
        <v>3972</v>
      </c>
      <c r="F2038" s="115" t="s">
        <v>3947</v>
      </c>
      <c r="G2038" s="54"/>
      <c r="H2038" s="76">
        <f>STOCK[[#This Row],[Precio Final]]</f>
        <v>0</v>
      </c>
      <c r="I2038" s="80">
        <f>STOCK[[#This Row],[Precio Venta Ideal (x1.5)]]</f>
        <v>17.625</v>
      </c>
      <c r="J2038" s="118">
        <v>3</v>
      </c>
      <c r="K2038" s="78">
        <f>SUMIFS(VENTAS[Cantidad],VENTAS[Código del producto Vendido],STOCK[[#This Row],[Code]])</f>
        <v>0</v>
      </c>
      <c r="L2038" s="78">
        <f>STOCK[[#This Row],[Entradas]]-STOCK[[#This Row],[Salidas]]</f>
        <v>3</v>
      </c>
      <c r="M2038" s="76">
        <f>STOCK[[#This Row],[Precio Final]]*10%</f>
        <v>0</v>
      </c>
      <c r="N2038" s="54">
        <v>0</v>
      </c>
      <c r="O2038" s="76">
        <v>0</v>
      </c>
      <c r="P2038" s="54">
        <v>9.5</v>
      </c>
      <c r="Q2038" s="76">
        <v>0</v>
      </c>
      <c r="R2038" s="78">
        <v>0</v>
      </c>
      <c r="S2038" s="76">
        <v>2.25</v>
      </c>
      <c r="T2038" s="76">
        <f>STOCK[[#This Row],[Costo Unitario (USD)]]+STOCK[[#This Row],[Costo Envío (USD)]]+STOCK[[#This Row],[Comisión 10%]]</f>
        <v>11.75</v>
      </c>
      <c r="U2038" s="53">
        <f>STOCK[[#This Row],[Costo total]]*1.5</f>
        <v>17.625</v>
      </c>
      <c r="V2038" s="54"/>
      <c r="W2038" s="76">
        <f>STOCK[[#This Row],[Precio Final]]-STOCK[[#This Row],[Costo total]]</f>
        <v>-11.75</v>
      </c>
      <c r="X2038" s="76">
        <f>STOCK[[#This Row],[Ganancia Unitaria]]*STOCK[[#This Row],[Salidas]]</f>
        <v>0</v>
      </c>
      <c r="Y2038" s="54"/>
      <c r="Z2038" s="119"/>
      <c r="AA2038" s="54"/>
      <c r="AB2038" s="54"/>
      <c r="AC2038" s="54"/>
      <c r="AD2038" s="94"/>
    </row>
    <row r="2039" s="53" customFormat="1" ht="50" customHeight="1" spans="1:30">
      <c r="A2039" s="95" t="s">
        <v>3973</v>
      </c>
      <c r="B2039" s="112"/>
      <c r="C2039" s="54"/>
      <c r="D2039" s="84" t="s">
        <v>1226</v>
      </c>
      <c r="E2039" s="117" t="s">
        <v>3972</v>
      </c>
      <c r="F2039" s="115" t="s">
        <v>3951</v>
      </c>
      <c r="G2039" s="54"/>
      <c r="H2039" s="76">
        <f>STOCK[[#This Row],[Precio Final]]</f>
        <v>0</v>
      </c>
      <c r="I2039" s="80">
        <f>STOCK[[#This Row],[Precio Venta Ideal (x1.5)]]</f>
        <v>17.625</v>
      </c>
      <c r="J2039" s="118">
        <v>3</v>
      </c>
      <c r="K2039" s="78">
        <f>SUMIFS(VENTAS[Cantidad],VENTAS[Código del producto Vendido],STOCK[[#This Row],[Code]])</f>
        <v>0</v>
      </c>
      <c r="L2039" s="78">
        <f>STOCK[[#This Row],[Entradas]]-STOCK[[#This Row],[Salidas]]</f>
        <v>3</v>
      </c>
      <c r="M2039" s="76">
        <f>STOCK[[#This Row],[Precio Final]]*10%</f>
        <v>0</v>
      </c>
      <c r="N2039" s="54">
        <v>0</v>
      </c>
      <c r="O2039" s="76">
        <v>0</v>
      </c>
      <c r="P2039" s="54">
        <v>9.5</v>
      </c>
      <c r="Q2039" s="76">
        <v>0</v>
      </c>
      <c r="R2039" s="78">
        <v>0</v>
      </c>
      <c r="S2039" s="76">
        <v>2.25</v>
      </c>
      <c r="T2039" s="76">
        <f>STOCK[[#This Row],[Costo Unitario (USD)]]+STOCK[[#This Row],[Costo Envío (USD)]]+STOCK[[#This Row],[Comisión 10%]]</f>
        <v>11.75</v>
      </c>
      <c r="U2039" s="53">
        <f>STOCK[[#This Row],[Costo total]]*1.5</f>
        <v>17.625</v>
      </c>
      <c r="V2039" s="54"/>
      <c r="W2039" s="76">
        <f>STOCK[[#This Row],[Precio Final]]-STOCK[[#This Row],[Costo total]]</f>
        <v>-11.75</v>
      </c>
      <c r="X2039" s="76">
        <f>STOCK[[#This Row],[Ganancia Unitaria]]*STOCK[[#This Row],[Salidas]]</f>
        <v>0</v>
      </c>
      <c r="Y2039" s="54"/>
      <c r="Z2039" s="119"/>
      <c r="AA2039" s="54"/>
      <c r="AB2039" s="54"/>
      <c r="AC2039" s="54"/>
      <c r="AD2039" s="94"/>
    </row>
    <row r="2040" s="53" customFormat="1" ht="50" customHeight="1" spans="1:30">
      <c r="A2040" s="95" t="s">
        <v>3974</v>
      </c>
      <c r="B2040" s="112"/>
      <c r="C2040" s="54"/>
      <c r="D2040" s="84" t="s">
        <v>1226</v>
      </c>
      <c r="E2040" s="117" t="s">
        <v>3972</v>
      </c>
      <c r="F2040" s="115" t="s">
        <v>3962</v>
      </c>
      <c r="G2040" s="54"/>
      <c r="H2040" s="76">
        <f>STOCK[[#This Row],[Precio Final]]</f>
        <v>0</v>
      </c>
      <c r="I2040" s="80">
        <f>STOCK[[#This Row],[Precio Venta Ideal (x1.5)]]</f>
        <v>17.625</v>
      </c>
      <c r="J2040" s="118">
        <v>3</v>
      </c>
      <c r="K2040" s="78">
        <f>SUMIFS(VENTAS[Cantidad],VENTAS[Código del producto Vendido],STOCK[[#This Row],[Code]])</f>
        <v>0</v>
      </c>
      <c r="L2040" s="78">
        <f>STOCK[[#This Row],[Entradas]]-STOCK[[#This Row],[Salidas]]</f>
        <v>3</v>
      </c>
      <c r="M2040" s="76">
        <f>STOCK[[#This Row],[Precio Final]]*10%</f>
        <v>0</v>
      </c>
      <c r="N2040" s="54">
        <v>0</v>
      </c>
      <c r="O2040" s="76">
        <v>0</v>
      </c>
      <c r="P2040" s="54">
        <v>9.5</v>
      </c>
      <c r="Q2040" s="76">
        <v>0</v>
      </c>
      <c r="R2040" s="78">
        <v>0</v>
      </c>
      <c r="S2040" s="76">
        <v>2.25</v>
      </c>
      <c r="T2040" s="76">
        <f>STOCK[[#This Row],[Costo Unitario (USD)]]+STOCK[[#This Row],[Costo Envío (USD)]]+STOCK[[#This Row],[Comisión 10%]]</f>
        <v>11.75</v>
      </c>
      <c r="U2040" s="53">
        <f>STOCK[[#This Row],[Costo total]]*1.5</f>
        <v>17.625</v>
      </c>
      <c r="V2040" s="54"/>
      <c r="W2040" s="76">
        <f>STOCK[[#This Row],[Precio Final]]-STOCK[[#This Row],[Costo total]]</f>
        <v>-11.75</v>
      </c>
      <c r="X2040" s="76">
        <f>STOCK[[#This Row],[Ganancia Unitaria]]*STOCK[[#This Row],[Salidas]]</f>
        <v>0</v>
      </c>
      <c r="Y2040" s="54"/>
      <c r="Z2040" s="119"/>
      <c r="AA2040" s="54"/>
      <c r="AB2040" s="54"/>
      <c r="AC2040" s="54"/>
      <c r="AD2040" s="94"/>
    </row>
    <row r="2041" s="53" customFormat="1" ht="50" customHeight="1" spans="1:30">
      <c r="A2041" s="95" t="s">
        <v>3975</v>
      </c>
      <c r="B2041" s="112"/>
      <c r="C2041" s="54"/>
      <c r="D2041" s="84" t="s">
        <v>1226</v>
      </c>
      <c r="E2041" s="117" t="s">
        <v>3972</v>
      </c>
      <c r="F2041" s="115" t="s">
        <v>3955</v>
      </c>
      <c r="G2041" s="54"/>
      <c r="H2041" s="76">
        <f>STOCK[[#This Row],[Precio Final]]</f>
        <v>0</v>
      </c>
      <c r="I2041" s="80">
        <f>STOCK[[#This Row],[Precio Venta Ideal (x1.5)]]</f>
        <v>17.625</v>
      </c>
      <c r="J2041" s="118">
        <v>3</v>
      </c>
      <c r="K2041" s="78">
        <f>SUMIFS(VENTAS[Cantidad],VENTAS[Código del producto Vendido],STOCK[[#This Row],[Code]])</f>
        <v>0</v>
      </c>
      <c r="L2041" s="78">
        <f>STOCK[[#This Row],[Entradas]]-STOCK[[#This Row],[Salidas]]</f>
        <v>3</v>
      </c>
      <c r="M2041" s="76">
        <f>STOCK[[#This Row],[Precio Final]]*10%</f>
        <v>0</v>
      </c>
      <c r="N2041" s="54">
        <v>0</v>
      </c>
      <c r="O2041" s="76">
        <v>0</v>
      </c>
      <c r="P2041" s="54">
        <v>9.5</v>
      </c>
      <c r="Q2041" s="76">
        <v>0</v>
      </c>
      <c r="R2041" s="78">
        <v>0</v>
      </c>
      <c r="S2041" s="76">
        <v>2.25</v>
      </c>
      <c r="T2041" s="76">
        <f>STOCK[[#This Row],[Costo Unitario (USD)]]+STOCK[[#This Row],[Costo Envío (USD)]]+STOCK[[#This Row],[Comisión 10%]]</f>
        <v>11.75</v>
      </c>
      <c r="U2041" s="53">
        <f>STOCK[[#This Row],[Costo total]]*1.5</f>
        <v>17.625</v>
      </c>
      <c r="V2041" s="54"/>
      <c r="W2041" s="76">
        <f>STOCK[[#This Row],[Precio Final]]-STOCK[[#This Row],[Costo total]]</f>
        <v>-11.75</v>
      </c>
      <c r="X2041" s="76">
        <f>STOCK[[#This Row],[Ganancia Unitaria]]*STOCK[[#This Row],[Salidas]]</f>
        <v>0</v>
      </c>
      <c r="Y2041" s="54"/>
      <c r="Z2041" s="119"/>
      <c r="AA2041" s="54"/>
      <c r="AB2041" s="54"/>
      <c r="AC2041" s="54"/>
      <c r="AD2041" s="94"/>
    </row>
    <row r="2042" s="53" customFormat="1" ht="50" customHeight="1" spans="1:30">
      <c r="A2042" s="95" t="s">
        <v>3976</v>
      </c>
      <c r="B2042" s="112"/>
      <c r="C2042" s="54"/>
      <c r="D2042" s="113" t="s">
        <v>174</v>
      </c>
      <c r="E2042" s="117" t="s">
        <v>3977</v>
      </c>
      <c r="F2042" s="115" t="s">
        <v>62</v>
      </c>
      <c r="G2042" s="54"/>
      <c r="H2042" s="76">
        <f>STOCK[[#This Row],[Precio Final]]</f>
        <v>0</v>
      </c>
      <c r="I2042" s="80">
        <f>STOCK[[#This Row],[Precio Venta Ideal (x1.5)]]</f>
        <v>10.755</v>
      </c>
      <c r="J2042" s="118">
        <v>3</v>
      </c>
      <c r="K2042" s="78">
        <f>SUMIFS(VENTAS[Cantidad],VENTAS[Código del producto Vendido],STOCK[[#This Row],[Code]])</f>
        <v>0</v>
      </c>
      <c r="L2042" s="78">
        <f>STOCK[[#This Row],[Entradas]]-STOCK[[#This Row],[Salidas]]</f>
        <v>3</v>
      </c>
      <c r="M2042" s="76">
        <f>STOCK[[#This Row],[Precio Final]]*10%</f>
        <v>0</v>
      </c>
      <c r="N2042" s="54">
        <v>0</v>
      </c>
      <c r="O2042" s="76">
        <v>0</v>
      </c>
      <c r="P2042" s="54">
        <v>4.92</v>
      </c>
      <c r="Q2042" s="76">
        <v>0</v>
      </c>
      <c r="R2042" s="78">
        <v>0</v>
      </c>
      <c r="S2042" s="76">
        <v>2.25</v>
      </c>
      <c r="T2042" s="76">
        <f>STOCK[[#This Row],[Costo Unitario (USD)]]+STOCK[[#This Row],[Costo Envío (USD)]]+STOCK[[#This Row],[Comisión 10%]]</f>
        <v>7.17</v>
      </c>
      <c r="U2042" s="53">
        <f>STOCK[[#This Row],[Costo total]]*1.5</f>
        <v>10.755</v>
      </c>
      <c r="V2042" s="54"/>
      <c r="W2042" s="76">
        <f>STOCK[[#This Row],[Precio Final]]-STOCK[[#This Row],[Costo total]]</f>
        <v>-7.17</v>
      </c>
      <c r="X2042" s="76">
        <f>STOCK[[#This Row],[Ganancia Unitaria]]*STOCK[[#This Row],[Salidas]]</f>
        <v>0</v>
      </c>
      <c r="Y2042" s="54"/>
      <c r="Z2042" s="119"/>
      <c r="AA2042" s="54"/>
      <c r="AB2042" s="54"/>
      <c r="AC2042" s="54"/>
      <c r="AD2042" s="94"/>
    </row>
    <row r="2043" s="53" customFormat="1" ht="50" customHeight="1" spans="1:30">
      <c r="A2043" s="95" t="s">
        <v>3978</v>
      </c>
      <c r="B2043" s="112"/>
      <c r="C2043" s="54"/>
      <c r="D2043" s="113" t="s">
        <v>174</v>
      </c>
      <c r="E2043" s="117" t="s">
        <v>3977</v>
      </c>
      <c r="F2043" s="115" t="s">
        <v>49</v>
      </c>
      <c r="G2043" s="54"/>
      <c r="H2043" s="76">
        <f>STOCK[[#This Row],[Precio Final]]</f>
        <v>0</v>
      </c>
      <c r="I2043" s="80">
        <f>STOCK[[#This Row],[Precio Venta Ideal (x1.5)]]</f>
        <v>10.755</v>
      </c>
      <c r="J2043" s="118">
        <v>3</v>
      </c>
      <c r="K2043" s="78">
        <f>SUMIFS(VENTAS[Cantidad],VENTAS[Código del producto Vendido],STOCK[[#This Row],[Code]])</f>
        <v>0</v>
      </c>
      <c r="L2043" s="78">
        <f>STOCK[[#This Row],[Entradas]]-STOCK[[#This Row],[Salidas]]</f>
        <v>3</v>
      </c>
      <c r="M2043" s="76">
        <f>STOCK[[#This Row],[Precio Final]]*10%</f>
        <v>0</v>
      </c>
      <c r="N2043" s="54">
        <v>0</v>
      </c>
      <c r="O2043" s="76">
        <v>0</v>
      </c>
      <c r="P2043" s="54">
        <v>4.92</v>
      </c>
      <c r="Q2043" s="76">
        <v>0</v>
      </c>
      <c r="R2043" s="78">
        <v>0</v>
      </c>
      <c r="S2043" s="76">
        <v>2.25</v>
      </c>
      <c r="T2043" s="76">
        <f>STOCK[[#This Row],[Costo Unitario (USD)]]+STOCK[[#This Row],[Costo Envío (USD)]]+STOCK[[#This Row],[Comisión 10%]]</f>
        <v>7.17</v>
      </c>
      <c r="U2043" s="53">
        <f>STOCK[[#This Row],[Costo total]]*1.5</f>
        <v>10.755</v>
      </c>
      <c r="V2043" s="54"/>
      <c r="W2043" s="76">
        <f>STOCK[[#This Row],[Precio Final]]-STOCK[[#This Row],[Costo total]]</f>
        <v>-7.17</v>
      </c>
      <c r="X2043" s="76">
        <f>STOCK[[#This Row],[Ganancia Unitaria]]*STOCK[[#This Row],[Salidas]]</f>
        <v>0</v>
      </c>
      <c r="Y2043" s="54"/>
      <c r="Z2043" s="119"/>
      <c r="AA2043" s="54"/>
      <c r="AB2043" s="54"/>
      <c r="AC2043" s="54"/>
      <c r="AD2043" s="94"/>
    </row>
    <row r="2044" s="53" customFormat="1" ht="50" customHeight="1" spans="1:30">
      <c r="A2044" s="95" t="s">
        <v>3979</v>
      </c>
      <c r="B2044" s="112"/>
      <c r="C2044" s="54"/>
      <c r="D2044" s="113" t="s">
        <v>174</v>
      </c>
      <c r="E2044" s="117" t="s">
        <v>3977</v>
      </c>
      <c r="F2044" s="115" t="s">
        <v>46</v>
      </c>
      <c r="G2044" s="54"/>
      <c r="H2044" s="76">
        <f>STOCK[[#This Row],[Precio Final]]</f>
        <v>0</v>
      </c>
      <c r="I2044" s="80">
        <f>STOCK[[#This Row],[Precio Venta Ideal (x1.5)]]</f>
        <v>10.755</v>
      </c>
      <c r="J2044" s="118">
        <v>3</v>
      </c>
      <c r="K2044" s="78">
        <f>SUMIFS(VENTAS[Cantidad],VENTAS[Código del producto Vendido],STOCK[[#This Row],[Code]])</f>
        <v>0</v>
      </c>
      <c r="L2044" s="78">
        <f>STOCK[[#This Row],[Entradas]]-STOCK[[#This Row],[Salidas]]</f>
        <v>3</v>
      </c>
      <c r="M2044" s="76">
        <f>STOCK[[#This Row],[Precio Final]]*10%</f>
        <v>0</v>
      </c>
      <c r="N2044" s="54">
        <v>0</v>
      </c>
      <c r="O2044" s="76">
        <v>0</v>
      </c>
      <c r="P2044" s="54">
        <v>4.92</v>
      </c>
      <c r="Q2044" s="76">
        <v>0</v>
      </c>
      <c r="R2044" s="78">
        <v>0</v>
      </c>
      <c r="S2044" s="76">
        <v>2.25</v>
      </c>
      <c r="T2044" s="76">
        <f>STOCK[[#This Row],[Costo Unitario (USD)]]+STOCK[[#This Row],[Costo Envío (USD)]]+STOCK[[#This Row],[Comisión 10%]]</f>
        <v>7.17</v>
      </c>
      <c r="U2044" s="53">
        <f>STOCK[[#This Row],[Costo total]]*1.5</f>
        <v>10.755</v>
      </c>
      <c r="V2044" s="54"/>
      <c r="W2044" s="76">
        <f>STOCK[[#This Row],[Precio Final]]-STOCK[[#This Row],[Costo total]]</f>
        <v>-7.17</v>
      </c>
      <c r="X2044" s="76">
        <f>STOCK[[#This Row],[Ganancia Unitaria]]*STOCK[[#This Row],[Salidas]]</f>
        <v>0</v>
      </c>
      <c r="Y2044" s="54"/>
      <c r="Z2044" s="119"/>
      <c r="AA2044" s="54"/>
      <c r="AB2044" s="54"/>
      <c r="AC2044" s="54"/>
      <c r="AD2044" s="94"/>
    </row>
    <row r="2045" s="53" customFormat="1" ht="50" customHeight="1" spans="1:30">
      <c r="A2045" s="95" t="s">
        <v>3980</v>
      </c>
      <c r="B2045" s="112"/>
      <c r="C2045" s="54"/>
      <c r="D2045" s="113" t="s">
        <v>174</v>
      </c>
      <c r="E2045" s="117" t="s">
        <v>3977</v>
      </c>
      <c r="F2045" s="115" t="s">
        <v>42</v>
      </c>
      <c r="G2045" s="54"/>
      <c r="H2045" s="76">
        <f>STOCK[[#This Row],[Precio Final]]</f>
        <v>0</v>
      </c>
      <c r="I2045" s="80">
        <f>STOCK[[#This Row],[Precio Venta Ideal (x1.5)]]</f>
        <v>10.755</v>
      </c>
      <c r="J2045" s="118">
        <v>3</v>
      </c>
      <c r="K2045" s="78">
        <f>SUMIFS(VENTAS[Cantidad],VENTAS[Código del producto Vendido],STOCK[[#This Row],[Code]])</f>
        <v>0</v>
      </c>
      <c r="L2045" s="78">
        <f>STOCK[[#This Row],[Entradas]]-STOCK[[#This Row],[Salidas]]</f>
        <v>3</v>
      </c>
      <c r="M2045" s="76">
        <f>STOCK[[#This Row],[Precio Final]]*10%</f>
        <v>0</v>
      </c>
      <c r="N2045" s="54">
        <v>0</v>
      </c>
      <c r="O2045" s="76">
        <v>0</v>
      </c>
      <c r="P2045" s="54">
        <v>4.92</v>
      </c>
      <c r="Q2045" s="76">
        <v>0</v>
      </c>
      <c r="R2045" s="78">
        <v>0</v>
      </c>
      <c r="S2045" s="76">
        <v>2.25</v>
      </c>
      <c r="T2045" s="76">
        <f>STOCK[[#This Row],[Costo Unitario (USD)]]+STOCK[[#This Row],[Costo Envío (USD)]]+STOCK[[#This Row],[Comisión 10%]]</f>
        <v>7.17</v>
      </c>
      <c r="U2045" s="53">
        <f>STOCK[[#This Row],[Costo total]]*1.5</f>
        <v>10.755</v>
      </c>
      <c r="V2045" s="54"/>
      <c r="W2045" s="76">
        <f>STOCK[[#This Row],[Precio Final]]-STOCK[[#This Row],[Costo total]]</f>
        <v>-7.17</v>
      </c>
      <c r="X2045" s="76">
        <f>STOCK[[#This Row],[Ganancia Unitaria]]*STOCK[[#This Row],[Salidas]]</f>
        <v>0</v>
      </c>
      <c r="Y2045" s="54"/>
      <c r="Z2045" s="119"/>
      <c r="AA2045" s="54"/>
      <c r="AB2045" s="54"/>
      <c r="AC2045" s="54"/>
      <c r="AD2045" s="94"/>
    </row>
    <row r="2046" s="53" customFormat="1" ht="50" customHeight="1" spans="1:30">
      <c r="A2046" s="95" t="s">
        <v>3981</v>
      </c>
      <c r="B2046" s="112"/>
      <c r="C2046" s="54"/>
      <c r="D2046" s="113" t="s">
        <v>44</v>
      </c>
      <c r="E2046" s="116" t="s">
        <v>3982</v>
      </c>
      <c r="F2046" s="115" t="s">
        <v>40</v>
      </c>
      <c r="G2046" s="54"/>
      <c r="H2046" s="76">
        <f>STOCK[[#This Row],[Precio Final]]</f>
        <v>30</v>
      </c>
      <c r="I2046" s="80">
        <f>STOCK[[#This Row],[Precio Venta Ideal (x1.5)]]</f>
        <v>30.36</v>
      </c>
      <c r="J2046" s="118">
        <v>2</v>
      </c>
      <c r="K2046" s="78">
        <f>SUMIFS(VENTAS[Cantidad],VENTAS[Código del producto Vendido],STOCK[[#This Row],[Code]])</f>
        <v>0</v>
      </c>
      <c r="L2046" s="78">
        <f>STOCK[[#This Row],[Entradas]]-STOCK[[#This Row],[Salidas]]</f>
        <v>2</v>
      </c>
      <c r="M2046" s="76">
        <f>STOCK[[#This Row],[Precio Final]]*10%</f>
        <v>3</v>
      </c>
      <c r="N2046" s="54">
        <v>0</v>
      </c>
      <c r="O2046" s="76">
        <v>0</v>
      </c>
      <c r="P2046" s="54">
        <v>14.99</v>
      </c>
      <c r="Q2046" s="76">
        <v>0</v>
      </c>
      <c r="R2046" s="78">
        <v>0</v>
      </c>
      <c r="S2046" s="76">
        <v>2.25</v>
      </c>
      <c r="T2046" s="76">
        <f>STOCK[[#This Row],[Costo Unitario (USD)]]+STOCK[[#This Row],[Costo Envío (USD)]]+STOCK[[#This Row],[Comisión 10%]]</f>
        <v>20.24</v>
      </c>
      <c r="U2046" s="53">
        <f>STOCK[[#This Row],[Costo total]]*1.5</f>
        <v>30.36</v>
      </c>
      <c r="V2046" s="54">
        <v>30</v>
      </c>
      <c r="W2046" s="76">
        <f>STOCK[[#This Row],[Precio Final]]-STOCK[[#This Row],[Costo total]]</f>
        <v>9.76</v>
      </c>
      <c r="X2046" s="76">
        <f>STOCK[[#This Row],[Ganancia Unitaria]]*STOCK[[#This Row],[Salidas]]</f>
        <v>0</v>
      </c>
      <c r="Y2046" s="54"/>
      <c r="Z2046" s="119"/>
      <c r="AA2046" s="54"/>
      <c r="AB2046" s="54"/>
      <c r="AC2046" s="54"/>
      <c r="AD2046" s="94"/>
    </row>
    <row r="2047" s="53" customFormat="1" ht="50" customHeight="1" spans="1:30">
      <c r="A2047" s="95" t="s">
        <v>3983</v>
      </c>
      <c r="B2047" s="112"/>
      <c r="C2047" s="54"/>
      <c r="D2047" s="113" t="s">
        <v>44</v>
      </c>
      <c r="E2047" s="116" t="s">
        <v>3984</v>
      </c>
      <c r="F2047" s="115" t="s">
        <v>49</v>
      </c>
      <c r="G2047" s="54"/>
      <c r="H2047" s="76">
        <f>STOCK[[#This Row],[Precio Final]]</f>
        <v>30</v>
      </c>
      <c r="I2047" s="80">
        <f>STOCK[[#This Row],[Precio Venta Ideal (x1.5)]]</f>
        <v>30.36</v>
      </c>
      <c r="J2047" s="118">
        <v>2</v>
      </c>
      <c r="K2047" s="78">
        <f>SUMIFS(VENTAS[Cantidad],VENTAS[Código del producto Vendido],STOCK[[#This Row],[Code]])</f>
        <v>0</v>
      </c>
      <c r="L2047" s="78">
        <f>STOCK[[#This Row],[Entradas]]-STOCK[[#This Row],[Salidas]]</f>
        <v>2</v>
      </c>
      <c r="M2047" s="76">
        <f>STOCK[[#This Row],[Precio Final]]*10%</f>
        <v>3</v>
      </c>
      <c r="N2047" s="54">
        <v>0</v>
      </c>
      <c r="O2047" s="76">
        <v>0</v>
      </c>
      <c r="P2047" s="54">
        <v>14.99</v>
      </c>
      <c r="Q2047" s="76">
        <v>0</v>
      </c>
      <c r="R2047" s="78">
        <v>0</v>
      </c>
      <c r="S2047" s="76">
        <v>2.25</v>
      </c>
      <c r="T2047" s="76">
        <f>STOCK[[#This Row],[Costo Unitario (USD)]]+STOCK[[#This Row],[Costo Envío (USD)]]+STOCK[[#This Row],[Comisión 10%]]</f>
        <v>20.24</v>
      </c>
      <c r="U2047" s="53">
        <f>STOCK[[#This Row],[Costo total]]*1.5</f>
        <v>30.36</v>
      </c>
      <c r="V2047" s="54">
        <v>30</v>
      </c>
      <c r="W2047" s="76">
        <f>STOCK[[#This Row],[Precio Final]]-STOCK[[#This Row],[Costo total]]</f>
        <v>9.76</v>
      </c>
      <c r="X2047" s="76">
        <f>STOCK[[#This Row],[Ganancia Unitaria]]*STOCK[[#This Row],[Salidas]]</f>
        <v>0</v>
      </c>
      <c r="Y2047" s="54"/>
      <c r="Z2047" s="119"/>
      <c r="AA2047" s="54"/>
      <c r="AB2047" s="54"/>
      <c r="AC2047" s="54"/>
      <c r="AD2047" s="94"/>
    </row>
    <row r="2048" s="53" customFormat="1" ht="50" customHeight="1" spans="1:30">
      <c r="A2048" s="95" t="s">
        <v>3985</v>
      </c>
      <c r="B2048" s="112"/>
      <c r="C2048" s="54"/>
      <c r="D2048" s="113" t="s">
        <v>44</v>
      </c>
      <c r="E2048" s="116" t="s">
        <v>3984</v>
      </c>
      <c r="F2048" s="115" t="s">
        <v>42</v>
      </c>
      <c r="G2048" s="54"/>
      <c r="H2048" s="76">
        <f>STOCK[[#This Row],[Precio Final]]</f>
        <v>0</v>
      </c>
      <c r="I2048" s="80">
        <f>STOCK[[#This Row],[Precio Venta Ideal (x1.5)]]</f>
        <v>20.235</v>
      </c>
      <c r="J2048" s="118">
        <v>1</v>
      </c>
      <c r="K2048" s="78">
        <f>SUMIFS(VENTAS[Cantidad],VENTAS[Código del producto Vendido],STOCK[[#This Row],[Code]])</f>
        <v>0</v>
      </c>
      <c r="L2048" s="78">
        <f>STOCK[[#This Row],[Entradas]]-STOCK[[#This Row],[Salidas]]</f>
        <v>1</v>
      </c>
      <c r="M2048" s="76">
        <f>STOCK[[#This Row],[Precio Final]]*10%</f>
        <v>0</v>
      </c>
      <c r="N2048" s="54">
        <v>0</v>
      </c>
      <c r="O2048" s="76">
        <v>0</v>
      </c>
      <c r="P2048" s="54">
        <v>11.24</v>
      </c>
      <c r="Q2048" s="76">
        <v>0</v>
      </c>
      <c r="R2048" s="78">
        <v>0</v>
      </c>
      <c r="S2048" s="76">
        <v>2.25</v>
      </c>
      <c r="T2048" s="76">
        <f>STOCK[[#This Row],[Costo Unitario (USD)]]+STOCK[[#This Row],[Costo Envío (USD)]]+STOCK[[#This Row],[Comisión 10%]]</f>
        <v>13.49</v>
      </c>
      <c r="U2048" s="53">
        <f>STOCK[[#This Row],[Costo total]]*1.5</f>
        <v>20.235</v>
      </c>
      <c r="V2048" s="54"/>
      <c r="W2048" s="76">
        <f>STOCK[[#This Row],[Precio Final]]-STOCK[[#This Row],[Costo total]]</f>
        <v>-13.49</v>
      </c>
      <c r="X2048" s="76">
        <f>STOCK[[#This Row],[Ganancia Unitaria]]*STOCK[[#This Row],[Salidas]]</f>
        <v>0</v>
      </c>
      <c r="Y2048" s="54"/>
      <c r="Z2048" s="119"/>
      <c r="AA2048" s="54"/>
      <c r="AB2048" s="54"/>
      <c r="AC2048" s="54"/>
      <c r="AD2048" s="94"/>
    </row>
    <row r="2049" s="53" customFormat="1" ht="50" customHeight="1" spans="1:30">
      <c r="A2049" s="95" t="s">
        <v>3986</v>
      </c>
      <c r="B2049" s="112"/>
      <c r="C2049" s="54"/>
      <c r="D2049" s="113" t="s">
        <v>44</v>
      </c>
      <c r="E2049" s="116" t="s">
        <v>3984</v>
      </c>
      <c r="F2049" s="115" t="s">
        <v>46</v>
      </c>
      <c r="G2049" s="54"/>
      <c r="H2049" s="76">
        <f>STOCK[[#This Row],[Precio Final]]</f>
        <v>0</v>
      </c>
      <c r="I2049" s="80">
        <f>STOCK[[#This Row],[Precio Venta Ideal (x1.5)]]</f>
        <v>25.86</v>
      </c>
      <c r="J2049" s="118">
        <v>2</v>
      </c>
      <c r="K2049" s="78">
        <f>SUMIFS(VENTAS[Cantidad],VENTAS[Código del producto Vendido],STOCK[[#This Row],[Code]])</f>
        <v>0</v>
      </c>
      <c r="L2049" s="78">
        <f>STOCK[[#This Row],[Entradas]]-STOCK[[#This Row],[Salidas]]</f>
        <v>2</v>
      </c>
      <c r="M2049" s="76">
        <f>STOCK[[#This Row],[Precio Final]]*10%</f>
        <v>0</v>
      </c>
      <c r="N2049" s="54">
        <v>0</v>
      </c>
      <c r="O2049" s="76">
        <v>0</v>
      </c>
      <c r="P2049" s="54">
        <v>14.99</v>
      </c>
      <c r="Q2049" s="76">
        <v>0</v>
      </c>
      <c r="R2049" s="78">
        <v>0</v>
      </c>
      <c r="S2049" s="76">
        <v>2.25</v>
      </c>
      <c r="T2049" s="76">
        <f>STOCK[[#This Row],[Costo Unitario (USD)]]+STOCK[[#This Row],[Costo Envío (USD)]]+STOCK[[#This Row],[Comisión 10%]]</f>
        <v>17.24</v>
      </c>
      <c r="U2049" s="53">
        <f>STOCK[[#This Row],[Costo total]]*1.5</f>
        <v>25.86</v>
      </c>
      <c r="V2049" s="54"/>
      <c r="W2049" s="76">
        <f>STOCK[[#This Row],[Precio Final]]-STOCK[[#This Row],[Costo total]]</f>
        <v>-17.24</v>
      </c>
      <c r="X2049" s="76">
        <f>STOCK[[#This Row],[Ganancia Unitaria]]*STOCK[[#This Row],[Salidas]]</f>
        <v>0</v>
      </c>
      <c r="Y2049" s="54"/>
      <c r="Z2049" s="119"/>
      <c r="AA2049" s="54"/>
      <c r="AB2049" s="54"/>
      <c r="AC2049" s="54"/>
      <c r="AD2049" s="94"/>
    </row>
    <row r="2050" s="53" customFormat="1" ht="50" customHeight="1" spans="1:30">
      <c r="A2050" s="95" t="s">
        <v>3987</v>
      </c>
      <c r="B2050" s="112"/>
      <c r="C2050" s="54"/>
      <c r="D2050" s="113" t="s">
        <v>44</v>
      </c>
      <c r="E2050" s="116" t="s">
        <v>3988</v>
      </c>
      <c r="F2050" s="115" t="s">
        <v>49</v>
      </c>
      <c r="G2050" s="54"/>
      <c r="H2050" s="76">
        <f>STOCK[[#This Row],[Precio Final]]</f>
        <v>0</v>
      </c>
      <c r="I2050" s="80">
        <f>STOCK[[#This Row],[Precio Venta Ideal (x1.5)]]</f>
        <v>25.86</v>
      </c>
      <c r="J2050" s="118">
        <v>2</v>
      </c>
      <c r="K2050" s="78">
        <f>SUMIFS(VENTAS[Cantidad],VENTAS[Código del producto Vendido],STOCK[[#This Row],[Code]])</f>
        <v>0</v>
      </c>
      <c r="L2050" s="78">
        <f>STOCK[[#This Row],[Entradas]]-STOCK[[#This Row],[Salidas]]</f>
        <v>2</v>
      </c>
      <c r="M2050" s="76">
        <f>STOCK[[#This Row],[Precio Final]]*10%</f>
        <v>0</v>
      </c>
      <c r="N2050" s="54">
        <v>0</v>
      </c>
      <c r="O2050" s="76">
        <v>0</v>
      </c>
      <c r="P2050" s="54">
        <v>14.99</v>
      </c>
      <c r="Q2050" s="76">
        <v>0</v>
      </c>
      <c r="R2050" s="78">
        <v>0</v>
      </c>
      <c r="S2050" s="76">
        <v>2.25</v>
      </c>
      <c r="T2050" s="76">
        <f>STOCK[[#This Row],[Costo Unitario (USD)]]+STOCK[[#This Row],[Costo Envío (USD)]]+STOCK[[#This Row],[Comisión 10%]]</f>
        <v>17.24</v>
      </c>
      <c r="U2050" s="53">
        <f>STOCK[[#This Row],[Costo total]]*1.5</f>
        <v>25.86</v>
      </c>
      <c r="V2050" s="54"/>
      <c r="W2050" s="76">
        <f>STOCK[[#This Row],[Precio Final]]-STOCK[[#This Row],[Costo total]]</f>
        <v>-17.24</v>
      </c>
      <c r="X2050" s="76">
        <f>STOCK[[#This Row],[Ganancia Unitaria]]*STOCK[[#This Row],[Salidas]]</f>
        <v>0</v>
      </c>
      <c r="Y2050" s="54"/>
      <c r="Z2050" s="119"/>
      <c r="AA2050" s="54"/>
      <c r="AB2050" s="54"/>
      <c r="AC2050" s="54"/>
      <c r="AD2050" s="94"/>
    </row>
    <row r="2051" s="53" customFormat="1" ht="50" customHeight="1" spans="1:30">
      <c r="A2051" s="95" t="s">
        <v>3989</v>
      </c>
      <c r="B2051" s="112"/>
      <c r="C2051" s="54"/>
      <c r="D2051" s="113" t="s">
        <v>44</v>
      </c>
      <c r="E2051" s="116" t="s">
        <v>3990</v>
      </c>
      <c r="F2051" s="115" t="s">
        <v>49</v>
      </c>
      <c r="G2051" s="54"/>
      <c r="H2051" s="76">
        <f>STOCK[[#This Row],[Precio Final]]</f>
        <v>0</v>
      </c>
      <c r="I2051" s="80">
        <f>STOCK[[#This Row],[Precio Venta Ideal (x1.5)]]</f>
        <v>25.86</v>
      </c>
      <c r="J2051" s="118">
        <v>3</v>
      </c>
      <c r="K2051" s="78">
        <f>SUMIFS(VENTAS[Cantidad],VENTAS[Código del producto Vendido],STOCK[[#This Row],[Code]])</f>
        <v>0</v>
      </c>
      <c r="L2051" s="78">
        <f>STOCK[[#This Row],[Entradas]]-STOCK[[#This Row],[Salidas]]</f>
        <v>3</v>
      </c>
      <c r="M2051" s="76">
        <f>STOCK[[#This Row],[Precio Final]]*10%</f>
        <v>0</v>
      </c>
      <c r="N2051" s="54">
        <v>0</v>
      </c>
      <c r="O2051" s="76">
        <v>0</v>
      </c>
      <c r="P2051" s="54">
        <v>14.99</v>
      </c>
      <c r="Q2051" s="76">
        <v>0</v>
      </c>
      <c r="R2051" s="78">
        <v>0</v>
      </c>
      <c r="S2051" s="76">
        <v>2.25</v>
      </c>
      <c r="T2051" s="76">
        <f>STOCK[[#This Row],[Costo Unitario (USD)]]+STOCK[[#This Row],[Costo Envío (USD)]]+STOCK[[#This Row],[Comisión 10%]]</f>
        <v>17.24</v>
      </c>
      <c r="U2051" s="53">
        <f>STOCK[[#This Row],[Costo total]]*1.5</f>
        <v>25.86</v>
      </c>
      <c r="V2051" s="54"/>
      <c r="W2051" s="76">
        <f>STOCK[[#This Row],[Precio Final]]-STOCK[[#This Row],[Costo total]]</f>
        <v>-17.24</v>
      </c>
      <c r="X2051" s="76">
        <f>STOCK[[#This Row],[Ganancia Unitaria]]*STOCK[[#This Row],[Salidas]]</f>
        <v>0</v>
      </c>
      <c r="Y2051" s="54"/>
      <c r="Z2051" s="119"/>
      <c r="AA2051" s="54"/>
      <c r="AB2051" s="54"/>
      <c r="AC2051" s="54"/>
      <c r="AD2051" s="94"/>
    </row>
    <row r="2052" s="53" customFormat="1" ht="50" customHeight="1" spans="1:30">
      <c r="A2052" s="95" t="s">
        <v>3991</v>
      </c>
      <c r="B2052" s="112"/>
      <c r="C2052" s="54"/>
      <c r="D2052" s="113" t="s">
        <v>44</v>
      </c>
      <c r="E2052" s="116" t="s">
        <v>3990</v>
      </c>
      <c r="F2052" s="115" t="s">
        <v>46</v>
      </c>
      <c r="G2052" s="54"/>
      <c r="H2052" s="76">
        <f>STOCK[[#This Row],[Precio Final]]</f>
        <v>0</v>
      </c>
      <c r="I2052" s="80">
        <f>STOCK[[#This Row],[Precio Venta Ideal (x1.5)]]</f>
        <v>25.86</v>
      </c>
      <c r="J2052" s="118">
        <v>2</v>
      </c>
      <c r="K2052" s="78">
        <f>SUMIFS(VENTAS[Cantidad],VENTAS[Código del producto Vendido],STOCK[[#This Row],[Code]])</f>
        <v>0</v>
      </c>
      <c r="L2052" s="78">
        <f>STOCK[[#This Row],[Entradas]]-STOCK[[#This Row],[Salidas]]</f>
        <v>2</v>
      </c>
      <c r="M2052" s="76">
        <f>STOCK[[#This Row],[Precio Final]]*10%</f>
        <v>0</v>
      </c>
      <c r="N2052" s="54">
        <v>0</v>
      </c>
      <c r="O2052" s="76">
        <v>0</v>
      </c>
      <c r="P2052" s="54">
        <v>14.99</v>
      </c>
      <c r="Q2052" s="76">
        <v>0</v>
      </c>
      <c r="R2052" s="78">
        <v>0</v>
      </c>
      <c r="S2052" s="76">
        <v>2.25</v>
      </c>
      <c r="T2052" s="76">
        <f>STOCK[[#This Row],[Costo Unitario (USD)]]+STOCK[[#This Row],[Costo Envío (USD)]]+STOCK[[#This Row],[Comisión 10%]]</f>
        <v>17.24</v>
      </c>
      <c r="U2052" s="53">
        <f>STOCK[[#This Row],[Costo total]]*1.5</f>
        <v>25.86</v>
      </c>
      <c r="V2052" s="54"/>
      <c r="W2052" s="76">
        <f>STOCK[[#This Row],[Precio Final]]-STOCK[[#This Row],[Costo total]]</f>
        <v>-17.24</v>
      </c>
      <c r="X2052" s="76">
        <f>STOCK[[#This Row],[Ganancia Unitaria]]*STOCK[[#This Row],[Salidas]]</f>
        <v>0</v>
      </c>
      <c r="Y2052" s="54"/>
      <c r="Z2052" s="119"/>
      <c r="AA2052" s="54"/>
      <c r="AB2052" s="54"/>
      <c r="AC2052" s="54"/>
      <c r="AD2052" s="94"/>
    </row>
    <row r="2053" s="53" customFormat="1" ht="50" customHeight="1" spans="1:30">
      <c r="A2053" s="95" t="s">
        <v>3992</v>
      </c>
      <c r="B2053" s="112"/>
      <c r="C2053" s="54"/>
      <c r="D2053" s="113" t="s">
        <v>44</v>
      </c>
      <c r="E2053" s="116" t="s">
        <v>3990</v>
      </c>
      <c r="F2053" s="115" t="s">
        <v>42</v>
      </c>
      <c r="G2053" s="54"/>
      <c r="H2053" s="76">
        <f>STOCK[[#This Row],[Precio Final]]</f>
        <v>0</v>
      </c>
      <c r="I2053" s="80">
        <f>STOCK[[#This Row],[Precio Venta Ideal (x1.5)]]</f>
        <v>20.235</v>
      </c>
      <c r="J2053" s="118">
        <v>1</v>
      </c>
      <c r="K2053" s="78">
        <f>SUMIFS(VENTAS[Cantidad],VENTAS[Código del producto Vendido],STOCK[[#This Row],[Code]])</f>
        <v>0</v>
      </c>
      <c r="L2053" s="78">
        <f>STOCK[[#This Row],[Entradas]]-STOCK[[#This Row],[Salidas]]</f>
        <v>1</v>
      </c>
      <c r="M2053" s="76">
        <f>STOCK[[#This Row],[Precio Final]]*10%</f>
        <v>0</v>
      </c>
      <c r="N2053" s="54">
        <v>0</v>
      </c>
      <c r="O2053" s="76">
        <v>0</v>
      </c>
      <c r="P2053" s="54">
        <v>11.24</v>
      </c>
      <c r="Q2053" s="76">
        <v>0</v>
      </c>
      <c r="R2053" s="78">
        <v>0</v>
      </c>
      <c r="S2053" s="76">
        <v>2.25</v>
      </c>
      <c r="T2053" s="76">
        <f>STOCK[[#This Row],[Costo Unitario (USD)]]+STOCK[[#This Row],[Costo Envío (USD)]]+STOCK[[#This Row],[Comisión 10%]]</f>
        <v>13.49</v>
      </c>
      <c r="U2053" s="53">
        <f>STOCK[[#This Row],[Costo total]]*1.5</f>
        <v>20.235</v>
      </c>
      <c r="V2053" s="54"/>
      <c r="W2053" s="76">
        <f>STOCK[[#This Row],[Precio Final]]-STOCK[[#This Row],[Costo total]]</f>
        <v>-13.49</v>
      </c>
      <c r="X2053" s="76">
        <f>STOCK[[#This Row],[Ganancia Unitaria]]*STOCK[[#This Row],[Salidas]]</f>
        <v>0</v>
      </c>
      <c r="Y2053" s="54"/>
      <c r="Z2053" s="119"/>
      <c r="AA2053" s="54"/>
      <c r="AB2053" s="54"/>
      <c r="AC2053" s="54"/>
      <c r="AD2053" s="94"/>
    </row>
    <row r="2054" s="53" customFormat="1" ht="50" customHeight="1" spans="1:30">
      <c r="A2054" s="95" t="s">
        <v>3993</v>
      </c>
      <c r="B2054" s="112"/>
      <c r="C2054" s="54"/>
      <c r="D2054" s="113" t="s">
        <v>44</v>
      </c>
      <c r="E2054" s="117" t="s">
        <v>3994</v>
      </c>
      <c r="F2054" s="115" t="s">
        <v>281</v>
      </c>
      <c r="G2054" s="54"/>
      <c r="H2054" s="76">
        <f>STOCK[[#This Row],[Precio Final]]</f>
        <v>0</v>
      </c>
      <c r="I2054" s="80">
        <f>STOCK[[#This Row],[Precio Venta Ideal (x1.5)]]</f>
        <v>9.69</v>
      </c>
      <c r="J2054" s="118">
        <v>1</v>
      </c>
      <c r="K2054" s="78">
        <f>SUMIFS(VENTAS[Cantidad],VENTAS[Código del producto Vendido],STOCK[[#This Row],[Code]])</f>
        <v>0</v>
      </c>
      <c r="L2054" s="78">
        <f>STOCK[[#This Row],[Entradas]]-STOCK[[#This Row],[Salidas]]</f>
        <v>1</v>
      </c>
      <c r="M2054" s="76">
        <f>STOCK[[#This Row],[Precio Final]]*10%</f>
        <v>0</v>
      </c>
      <c r="N2054" s="54">
        <v>0</v>
      </c>
      <c r="O2054" s="76">
        <v>0</v>
      </c>
      <c r="P2054" s="54">
        <v>4.21</v>
      </c>
      <c r="Q2054" s="76">
        <v>0</v>
      </c>
      <c r="R2054" s="78">
        <v>0</v>
      </c>
      <c r="S2054" s="76">
        <v>2.25</v>
      </c>
      <c r="T2054" s="76">
        <f>STOCK[[#This Row],[Costo Unitario (USD)]]+STOCK[[#This Row],[Costo Envío (USD)]]+STOCK[[#This Row],[Comisión 10%]]</f>
        <v>6.46</v>
      </c>
      <c r="U2054" s="53">
        <f>STOCK[[#This Row],[Costo total]]*1.5</f>
        <v>9.69</v>
      </c>
      <c r="V2054" s="54"/>
      <c r="W2054" s="76">
        <f>STOCK[[#This Row],[Precio Final]]-STOCK[[#This Row],[Costo total]]</f>
        <v>-6.46</v>
      </c>
      <c r="X2054" s="76">
        <f>STOCK[[#This Row],[Ganancia Unitaria]]*STOCK[[#This Row],[Salidas]]</f>
        <v>0</v>
      </c>
      <c r="Y2054" s="54"/>
      <c r="Z2054" s="119"/>
      <c r="AA2054" s="54"/>
      <c r="AB2054" s="54"/>
      <c r="AC2054" s="54"/>
      <c r="AD2054" s="94"/>
    </row>
    <row r="2055" s="53" customFormat="1" ht="50" customHeight="1" spans="1:30">
      <c r="A2055" s="95" t="s">
        <v>3995</v>
      </c>
      <c r="B2055" s="112"/>
      <c r="C2055" s="54"/>
      <c r="D2055" s="113" t="s">
        <v>44</v>
      </c>
      <c r="E2055" s="117" t="s">
        <v>3996</v>
      </c>
      <c r="F2055" s="115" t="s">
        <v>40</v>
      </c>
      <c r="G2055" s="54"/>
      <c r="H2055" s="76">
        <f>STOCK[[#This Row],[Precio Final]]</f>
        <v>0</v>
      </c>
      <c r="I2055" s="80">
        <f>STOCK[[#This Row],[Precio Venta Ideal (x1.5)]]</f>
        <v>27.36</v>
      </c>
      <c r="J2055" s="118">
        <v>2</v>
      </c>
      <c r="K2055" s="78">
        <f>SUMIFS(VENTAS[Cantidad],VENTAS[Código del producto Vendido],STOCK[[#This Row],[Code]])</f>
        <v>0</v>
      </c>
      <c r="L2055" s="78">
        <f>STOCK[[#This Row],[Entradas]]-STOCK[[#This Row],[Salidas]]</f>
        <v>2</v>
      </c>
      <c r="M2055" s="76">
        <f>STOCK[[#This Row],[Precio Final]]*10%</f>
        <v>0</v>
      </c>
      <c r="N2055" s="54">
        <v>0</v>
      </c>
      <c r="O2055" s="76">
        <v>0</v>
      </c>
      <c r="P2055" s="54">
        <v>15.99</v>
      </c>
      <c r="Q2055" s="76">
        <v>0</v>
      </c>
      <c r="R2055" s="78">
        <v>0</v>
      </c>
      <c r="S2055" s="76">
        <v>2.25</v>
      </c>
      <c r="T2055" s="76">
        <f>STOCK[[#This Row],[Costo Unitario (USD)]]+STOCK[[#This Row],[Costo Envío (USD)]]+STOCK[[#This Row],[Comisión 10%]]</f>
        <v>18.24</v>
      </c>
      <c r="U2055" s="53">
        <f>STOCK[[#This Row],[Costo total]]*1.5</f>
        <v>27.36</v>
      </c>
      <c r="V2055" s="54"/>
      <c r="W2055" s="76">
        <f>STOCK[[#This Row],[Precio Final]]-STOCK[[#This Row],[Costo total]]</f>
        <v>-18.24</v>
      </c>
      <c r="X2055" s="76">
        <f>STOCK[[#This Row],[Ganancia Unitaria]]*STOCK[[#This Row],[Salidas]]</f>
        <v>0</v>
      </c>
      <c r="Y2055" s="54"/>
      <c r="Z2055" s="119"/>
      <c r="AA2055" s="54"/>
      <c r="AB2055" s="54"/>
      <c r="AC2055" s="54"/>
      <c r="AD2055" s="94"/>
    </row>
    <row r="2056" s="53" customFormat="1" ht="50" customHeight="1" spans="1:30">
      <c r="A2056" s="95" t="s">
        <v>3997</v>
      </c>
      <c r="B2056" s="112"/>
      <c r="C2056" s="54"/>
      <c r="D2056" s="113" t="s">
        <v>44</v>
      </c>
      <c r="E2056" s="117" t="s">
        <v>3996</v>
      </c>
      <c r="F2056" s="115" t="s">
        <v>62</v>
      </c>
      <c r="G2056" s="54"/>
      <c r="H2056" s="76">
        <f>STOCK[[#This Row],[Precio Final]]</f>
        <v>0</v>
      </c>
      <c r="I2056" s="80">
        <f>STOCK[[#This Row],[Precio Venta Ideal (x1.5)]]</f>
        <v>27.36</v>
      </c>
      <c r="J2056" s="118">
        <v>2</v>
      </c>
      <c r="K2056" s="78">
        <f>SUMIFS(VENTAS[Cantidad],VENTAS[Código del producto Vendido],STOCK[[#This Row],[Code]])</f>
        <v>0</v>
      </c>
      <c r="L2056" s="78">
        <f>STOCK[[#This Row],[Entradas]]-STOCK[[#This Row],[Salidas]]</f>
        <v>2</v>
      </c>
      <c r="M2056" s="76">
        <f>STOCK[[#This Row],[Precio Final]]*10%</f>
        <v>0</v>
      </c>
      <c r="N2056" s="54">
        <v>0</v>
      </c>
      <c r="O2056" s="76">
        <v>0</v>
      </c>
      <c r="P2056" s="54">
        <v>15.99</v>
      </c>
      <c r="Q2056" s="76">
        <v>0</v>
      </c>
      <c r="R2056" s="78">
        <v>0</v>
      </c>
      <c r="S2056" s="76">
        <v>2.25</v>
      </c>
      <c r="T2056" s="76">
        <f>STOCK[[#This Row],[Costo Unitario (USD)]]+STOCK[[#This Row],[Costo Envío (USD)]]+STOCK[[#This Row],[Comisión 10%]]</f>
        <v>18.24</v>
      </c>
      <c r="U2056" s="53">
        <f>STOCK[[#This Row],[Costo total]]*1.5</f>
        <v>27.36</v>
      </c>
      <c r="V2056" s="54"/>
      <c r="W2056" s="76">
        <f>STOCK[[#This Row],[Precio Final]]-STOCK[[#This Row],[Costo total]]</f>
        <v>-18.24</v>
      </c>
      <c r="X2056" s="76">
        <f>STOCK[[#This Row],[Ganancia Unitaria]]*STOCK[[#This Row],[Salidas]]</f>
        <v>0</v>
      </c>
      <c r="Y2056" s="54"/>
      <c r="Z2056" s="119"/>
      <c r="AA2056" s="54"/>
      <c r="AB2056" s="54"/>
      <c r="AC2056" s="54"/>
      <c r="AD2056" s="94"/>
    </row>
    <row r="2057" s="53" customFormat="1" ht="50" customHeight="1" spans="1:30">
      <c r="A2057" s="95" t="s">
        <v>3998</v>
      </c>
      <c r="B2057" s="112"/>
      <c r="C2057" s="54"/>
      <c r="D2057" s="113" t="s">
        <v>44</v>
      </c>
      <c r="E2057" s="117" t="s">
        <v>3996</v>
      </c>
      <c r="F2057" s="115" t="s">
        <v>49</v>
      </c>
      <c r="G2057" s="54"/>
      <c r="H2057" s="76">
        <f>STOCK[[#This Row],[Precio Final]]</f>
        <v>0</v>
      </c>
      <c r="I2057" s="80">
        <f>STOCK[[#This Row],[Precio Venta Ideal (x1.5)]]</f>
        <v>27.36</v>
      </c>
      <c r="J2057" s="118">
        <v>3</v>
      </c>
      <c r="K2057" s="78">
        <f>SUMIFS(VENTAS[Cantidad],VENTAS[Código del producto Vendido],STOCK[[#This Row],[Code]])</f>
        <v>0</v>
      </c>
      <c r="L2057" s="78">
        <f>STOCK[[#This Row],[Entradas]]-STOCK[[#This Row],[Salidas]]</f>
        <v>3</v>
      </c>
      <c r="M2057" s="76">
        <f>STOCK[[#This Row],[Precio Final]]*10%</f>
        <v>0</v>
      </c>
      <c r="N2057" s="54">
        <v>0</v>
      </c>
      <c r="O2057" s="76">
        <v>0</v>
      </c>
      <c r="P2057" s="54">
        <v>15.99</v>
      </c>
      <c r="Q2057" s="76">
        <v>0</v>
      </c>
      <c r="R2057" s="78">
        <v>0</v>
      </c>
      <c r="S2057" s="76">
        <v>2.25</v>
      </c>
      <c r="T2057" s="76">
        <f>STOCK[[#This Row],[Costo Unitario (USD)]]+STOCK[[#This Row],[Costo Envío (USD)]]+STOCK[[#This Row],[Comisión 10%]]</f>
        <v>18.24</v>
      </c>
      <c r="U2057" s="53">
        <f>STOCK[[#This Row],[Costo total]]*1.5</f>
        <v>27.36</v>
      </c>
      <c r="V2057" s="54"/>
      <c r="W2057" s="76">
        <f>STOCK[[#This Row],[Precio Final]]-STOCK[[#This Row],[Costo total]]</f>
        <v>-18.24</v>
      </c>
      <c r="X2057" s="76">
        <f>STOCK[[#This Row],[Ganancia Unitaria]]*STOCK[[#This Row],[Salidas]]</f>
        <v>0</v>
      </c>
      <c r="Y2057" s="54"/>
      <c r="Z2057" s="119"/>
      <c r="AA2057" s="54"/>
      <c r="AB2057" s="54"/>
      <c r="AC2057" s="54"/>
      <c r="AD2057" s="94"/>
    </row>
    <row r="2058" s="53" customFormat="1" ht="50" customHeight="1" spans="1:30">
      <c r="A2058" s="95" t="s">
        <v>3999</v>
      </c>
      <c r="B2058" s="112"/>
      <c r="C2058" s="54"/>
      <c r="D2058" s="113" t="s">
        <v>44</v>
      </c>
      <c r="E2058" s="117" t="s">
        <v>3996</v>
      </c>
      <c r="F2058" s="115" t="s">
        <v>46</v>
      </c>
      <c r="G2058" s="54"/>
      <c r="H2058" s="76">
        <f>STOCK[[#This Row],[Precio Final]]</f>
        <v>0</v>
      </c>
      <c r="I2058" s="80">
        <f>STOCK[[#This Row],[Precio Venta Ideal (x1.5)]]</f>
        <v>27.36</v>
      </c>
      <c r="J2058" s="118">
        <v>3</v>
      </c>
      <c r="K2058" s="78">
        <f>SUMIFS(VENTAS[Cantidad],VENTAS[Código del producto Vendido],STOCK[[#This Row],[Code]])</f>
        <v>0</v>
      </c>
      <c r="L2058" s="78">
        <f>STOCK[[#This Row],[Entradas]]-STOCK[[#This Row],[Salidas]]</f>
        <v>3</v>
      </c>
      <c r="M2058" s="76">
        <f>STOCK[[#This Row],[Precio Final]]*10%</f>
        <v>0</v>
      </c>
      <c r="N2058" s="54">
        <v>0</v>
      </c>
      <c r="O2058" s="76">
        <v>0</v>
      </c>
      <c r="P2058" s="54">
        <v>15.99</v>
      </c>
      <c r="Q2058" s="76">
        <v>0</v>
      </c>
      <c r="R2058" s="78">
        <v>0</v>
      </c>
      <c r="S2058" s="76">
        <v>2.25</v>
      </c>
      <c r="T2058" s="76">
        <f>STOCK[[#This Row],[Costo Unitario (USD)]]+STOCK[[#This Row],[Costo Envío (USD)]]+STOCK[[#This Row],[Comisión 10%]]</f>
        <v>18.24</v>
      </c>
      <c r="U2058" s="53">
        <f>STOCK[[#This Row],[Costo total]]*1.5</f>
        <v>27.36</v>
      </c>
      <c r="V2058" s="54"/>
      <c r="W2058" s="76">
        <f>STOCK[[#This Row],[Precio Final]]-STOCK[[#This Row],[Costo total]]</f>
        <v>-18.24</v>
      </c>
      <c r="X2058" s="76">
        <f>STOCK[[#This Row],[Ganancia Unitaria]]*STOCK[[#This Row],[Salidas]]</f>
        <v>0</v>
      </c>
      <c r="Y2058" s="54"/>
      <c r="Z2058" s="119"/>
      <c r="AA2058" s="54"/>
      <c r="AB2058" s="54"/>
      <c r="AC2058" s="54"/>
      <c r="AD2058" s="94"/>
    </row>
    <row r="2059" s="53" customFormat="1" ht="50" customHeight="1" spans="1:30">
      <c r="A2059" s="95" t="s">
        <v>4000</v>
      </c>
      <c r="B2059" s="112"/>
      <c r="C2059" s="54"/>
      <c r="D2059" s="113" t="s">
        <v>44</v>
      </c>
      <c r="E2059" s="117" t="s">
        <v>3996</v>
      </c>
      <c r="F2059" s="115" t="s">
        <v>42</v>
      </c>
      <c r="G2059" s="54"/>
      <c r="H2059" s="76">
        <f>STOCK[[#This Row],[Precio Final]]</f>
        <v>0</v>
      </c>
      <c r="I2059" s="80">
        <f>STOCK[[#This Row],[Precio Venta Ideal (x1.5)]]</f>
        <v>27.36</v>
      </c>
      <c r="J2059" s="118">
        <v>3</v>
      </c>
      <c r="K2059" s="78">
        <f>SUMIFS(VENTAS[Cantidad],VENTAS[Código del producto Vendido],STOCK[[#This Row],[Code]])</f>
        <v>0</v>
      </c>
      <c r="L2059" s="78">
        <f>STOCK[[#This Row],[Entradas]]-STOCK[[#This Row],[Salidas]]</f>
        <v>3</v>
      </c>
      <c r="M2059" s="76">
        <f>STOCK[[#This Row],[Precio Final]]*10%</f>
        <v>0</v>
      </c>
      <c r="N2059" s="54">
        <v>0</v>
      </c>
      <c r="O2059" s="76">
        <v>0</v>
      </c>
      <c r="P2059" s="54">
        <v>15.99</v>
      </c>
      <c r="Q2059" s="76">
        <v>0</v>
      </c>
      <c r="R2059" s="78">
        <v>0</v>
      </c>
      <c r="S2059" s="76">
        <v>2.25</v>
      </c>
      <c r="T2059" s="76">
        <f>STOCK[[#This Row],[Costo Unitario (USD)]]+STOCK[[#This Row],[Costo Envío (USD)]]+STOCK[[#This Row],[Comisión 10%]]</f>
        <v>18.24</v>
      </c>
      <c r="U2059" s="53">
        <f>STOCK[[#This Row],[Costo total]]*1.5</f>
        <v>27.36</v>
      </c>
      <c r="V2059" s="54"/>
      <c r="W2059" s="76">
        <f>STOCK[[#This Row],[Precio Final]]-STOCK[[#This Row],[Costo total]]</f>
        <v>-18.24</v>
      </c>
      <c r="X2059" s="76">
        <f>STOCK[[#This Row],[Ganancia Unitaria]]*STOCK[[#This Row],[Salidas]]</f>
        <v>0</v>
      </c>
      <c r="Y2059" s="54"/>
      <c r="Z2059" s="119"/>
      <c r="AA2059" s="54"/>
      <c r="AB2059" s="54"/>
      <c r="AC2059" s="54"/>
      <c r="AD2059" s="94"/>
    </row>
    <row r="2060" s="53" customFormat="1" ht="50" customHeight="1" spans="1:30">
      <c r="A2060" s="95" t="s">
        <v>4001</v>
      </c>
      <c r="B2060" s="112"/>
      <c r="C2060" s="54"/>
      <c r="D2060" s="113" t="s">
        <v>2897</v>
      </c>
      <c r="E2060" s="117" t="s">
        <v>4002</v>
      </c>
      <c r="F2060" s="115" t="s">
        <v>62</v>
      </c>
      <c r="G2060" s="54"/>
      <c r="H2060" s="76">
        <f>STOCK[[#This Row],[Precio Final]]</f>
        <v>0</v>
      </c>
      <c r="I2060" s="80">
        <f>STOCK[[#This Row],[Precio Venta Ideal (x1.5)]]</f>
        <v>24.48</v>
      </c>
      <c r="J2060" s="118">
        <v>1</v>
      </c>
      <c r="K2060" s="78">
        <f>SUMIFS(VENTAS[Cantidad],VENTAS[Código del producto Vendido],STOCK[[#This Row],[Code]])</f>
        <v>0</v>
      </c>
      <c r="L2060" s="78">
        <f>STOCK[[#This Row],[Entradas]]-STOCK[[#This Row],[Salidas]]</f>
        <v>1</v>
      </c>
      <c r="M2060" s="76">
        <f>STOCK[[#This Row],[Precio Final]]*10%</f>
        <v>0</v>
      </c>
      <c r="N2060" s="54">
        <v>0</v>
      </c>
      <c r="O2060" s="76">
        <v>0</v>
      </c>
      <c r="P2060" s="54">
        <v>14.07</v>
      </c>
      <c r="Q2060" s="76">
        <v>0</v>
      </c>
      <c r="R2060" s="78">
        <v>0</v>
      </c>
      <c r="S2060" s="76">
        <v>2.25</v>
      </c>
      <c r="T2060" s="76">
        <f>STOCK[[#This Row],[Costo Unitario (USD)]]+STOCK[[#This Row],[Costo Envío (USD)]]+STOCK[[#This Row],[Comisión 10%]]</f>
        <v>16.32</v>
      </c>
      <c r="U2060" s="53">
        <f>STOCK[[#This Row],[Costo total]]*1.5</f>
        <v>24.48</v>
      </c>
      <c r="V2060" s="54"/>
      <c r="W2060" s="76">
        <f>STOCK[[#This Row],[Precio Final]]-STOCK[[#This Row],[Costo total]]</f>
        <v>-16.32</v>
      </c>
      <c r="X2060" s="76">
        <f>STOCK[[#This Row],[Ganancia Unitaria]]*STOCK[[#This Row],[Salidas]]</f>
        <v>0</v>
      </c>
      <c r="Y2060" s="54"/>
      <c r="Z2060" s="119"/>
      <c r="AA2060" s="54"/>
      <c r="AB2060" s="54"/>
      <c r="AC2060" s="54"/>
      <c r="AD2060" s="94"/>
    </row>
    <row r="2061" s="53" customFormat="1" ht="50" customHeight="1" spans="1:30">
      <c r="A2061" s="95" t="s">
        <v>4003</v>
      </c>
      <c r="B2061" s="112"/>
      <c r="C2061" s="54"/>
      <c r="D2061" s="113" t="s">
        <v>2897</v>
      </c>
      <c r="E2061" s="117" t="s">
        <v>4002</v>
      </c>
      <c r="F2061" s="115" t="s">
        <v>49</v>
      </c>
      <c r="G2061" s="54"/>
      <c r="H2061" s="76">
        <f>STOCK[[#This Row],[Precio Final]]</f>
        <v>0</v>
      </c>
      <c r="I2061" s="80">
        <f>STOCK[[#This Row],[Precio Venta Ideal (x1.5)]]</f>
        <v>24.48</v>
      </c>
      <c r="J2061" s="118">
        <v>1</v>
      </c>
      <c r="K2061" s="78">
        <f>SUMIFS(VENTAS[Cantidad],VENTAS[Código del producto Vendido],STOCK[[#This Row],[Code]])</f>
        <v>0</v>
      </c>
      <c r="L2061" s="78">
        <f>STOCK[[#This Row],[Entradas]]-STOCK[[#This Row],[Salidas]]</f>
        <v>1</v>
      </c>
      <c r="M2061" s="76">
        <f>STOCK[[#This Row],[Precio Final]]*10%</f>
        <v>0</v>
      </c>
      <c r="N2061" s="54">
        <v>0</v>
      </c>
      <c r="O2061" s="76">
        <v>0</v>
      </c>
      <c r="P2061" s="54">
        <v>14.07</v>
      </c>
      <c r="Q2061" s="76">
        <v>0</v>
      </c>
      <c r="R2061" s="78">
        <v>0</v>
      </c>
      <c r="S2061" s="76">
        <v>2.25</v>
      </c>
      <c r="T2061" s="76">
        <f>STOCK[[#This Row],[Costo Unitario (USD)]]+STOCK[[#This Row],[Costo Envío (USD)]]+STOCK[[#This Row],[Comisión 10%]]</f>
        <v>16.32</v>
      </c>
      <c r="U2061" s="53">
        <f>STOCK[[#This Row],[Costo total]]*1.5</f>
        <v>24.48</v>
      </c>
      <c r="V2061" s="54"/>
      <c r="W2061" s="76">
        <f>STOCK[[#This Row],[Precio Final]]-STOCK[[#This Row],[Costo total]]</f>
        <v>-16.32</v>
      </c>
      <c r="X2061" s="76">
        <f>STOCK[[#This Row],[Ganancia Unitaria]]*STOCK[[#This Row],[Salidas]]</f>
        <v>0</v>
      </c>
      <c r="Y2061" s="54"/>
      <c r="Z2061" s="119"/>
      <c r="AA2061" s="54"/>
      <c r="AB2061" s="54"/>
      <c r="AC2061" s="54"/>
      <c r="AD2061" s="94"/>
    </row>
    <row r="2062" s="53" customFormat="1" ht="50" customHeight="1" spans="1:30">
      <c r="A2062" s="95" t="s">
        <v>4004</v>
      </c>
      <c r="B2062" s="112"/>
      <c r="C2062" s="54"/>
      <c r="D2062" s="113" t="s">
        <v>2897</v>
      </c>
      <c r="E2062" s="117" t="s">
        <v>4002</v>
      </c>
      <c r="F2062" s="115" t="s">
        <v>46</v>
      </c>
      <c r="G2062" s="54"/>
      <c r="H2062" s="76">
        <f>STOCK[[#This Row],[Precio Final]]</f>
        <v>0</v>
      </c>
      <c r="I2062" s="80">
        <f>STOCK[[#This Row],[Precio Venta Ideal (x1.5)]]</f>
        <v>24.48</v>
      </c>
      <c r="J2062" s="118">
        <v>2</v>
      </c>
      <c r="K2062" s="78">
        <f>SUMIFS(VENTAS[Cantidad],VENTAS[Código del producto Vendido],STOCK[[#This Row],[Code]])</f>
        <v>0</v>
      </c>
      <c r="L2062" s="78">
        <f>STOCK[[#This Row],[Entradas]]-STOCK[[#This Row],[Salidas]]</f>
        <v>2</v>
      </c>
      <c r="M2062" s="76">
        <f>STOCK[[#This Row],[Precio Final]]*10%</f>
        <v>0</v>
      </c>
      <c r="N2062" s="54">
        <v>0</v>
      </c>
      <c r="O2062" s="76">
        <v>0</v>
      </c>
      <c r="P2062" s="54">
        <v>14.07</v>
      </c>
      <c r="Q2062" s="76">
        <v>0</v>
      </c>
      <c r="R2062" s="78">
        <v>0</v>
      </c>
      <c r="S2062" s="76">
        <v>2.25</v>
      </c>
      <c r="T2062" s="76">
        <f>STOCK[[#This Row],[Costo Unitario (USD)]]+STOCK[[#This Row],[Costo Envío (USD)]]+STOCK[[#This Row],[Comisión 10%]]</f>
        <v>16.32</v>
      </c>
      <c r="U2062" s="53">
        <f>STOCK[[#This Row],[Costo total]]*1.5</f>
        <v>24.48</v>
      </c>
      <c r="V2062" s="54"/>
      <c r="W2062" s="76">
        <f>STOCK[[#This Row],[Precio Final]]-STOCK[[#This Row],[Costo total]]</f>
        <v>-16.32</v>
      </c>
      <c r="X2062" s="76">
        <f>STOCK[[#This Row],[Ganancia Unitaria]]*STOCK[[#This Row],[Salidas]]</f>
        <v>0</v>
      </c>
      <c r="Y2062" s="54"/>
      <c r="Z2062" s="119"/>
      <c r="AA2062" s="54"/>
      <c r="AB2062" s="54"/>
      <c r="AC2062" s="54"/>
      <c r="AD2062" s="94"/>
    </row>
    <row r="2063" s="53" customFormat="1" ht="50" customHeight="1" spans="1:30">
      <c r="A2063" s="95" t="s">
        <v>4005</v>
      </c>
      <c r="B2063" s="112"/>
      <c r="C2063" s="54"/>
      <c r="D2063" s="113" t="s">
        <v>2897</v>
      </c>
      <c r="E2063" s="117" t="s">
        <v>4002</v>
      </c>
      <c r="F2063" s="115" t="s">
        <v>42</v>
      </c>
      <c r="G2063" s="54"/>
      <c r="H2063" s="76">
        <f>STOCK[[#This Row],[Precio Final]]</f>
        <v>0</v>
      </c>
      <c r="I2063" s="80">
        <f>STOCK[[#This Row],[Precio Venta Ideal (x1.5)]]</f>
        <v>24.48</v>
      </c>
      <c r="J2063" s="118">
        <v>1</v>
      </c>
      <c r="K2063" s="78">
        <f>SUMIFS(VENTAS[Cantidad],VENTAS[Código del producto Vendido],STOCK[[#This Row],[Code]])</f>
        <v>0</v>
      </c>
      <c r="L2063" s="78">
        <f>STOCK[[#This Row],[Entradas]]-STOCK[[#This Row],[Salidas]]</f>
        <v>1</v>
      </c>
      <c r="M2063" s="76">
        <f>STOCK[[#This Row],[Precio Final]]*10%</f>
        <v>0</v>
      </c>
      <c r="N2063" s="54">
        <v>0</v>
      </c>
      <c r="O2063" s="76">
        <v>0</v>
      </c>
      <c r="P2063" s="54">
        <v>14.07</v>
      </c>
      <c r="Q2063" s="76">
        <v>0</v>
      </c>
      <c r="R2063" s="78">
        <v>0</v>
      </c>
      <c r="S2063" s="76">
        <v>2.25</v>
      </c>
      <c r="T2063" s="76">
        <f>STOCK[[#This Row],[Costo Unitario (USD)]]+STOCK[[#This Row],[Costo Envío (USD)]]+STOCK[[#This Row],[Comisión 10%]]</f>
        <v>16.32</v>
      </c>
      <c r="U2063" s="53">
        <f>STOCK[[#This Row],[Costo total]]*1.5</f>
        <v>24.48</v>
      </c>
      <c r="V2063" s="54"/>
      <c r="W2063" s="76">
        <f>STOCK[[#This Row],[Precio Final]]-STOCK[[#This Row],[Costo total]]</f>
        <v>-16.32</v>
      </c>
      <c r="X2063" s="76">
        <f>STOCK[[#This Row],[Ganancia Unitaria]]*STOCK[[#This Row],[Salidas]]</f>
        <v>0</v>
      </c>
      <c r="Y2063" s="54"/>
      <c r="Z2063" s="119"/>
      <c r="AA2063" s="54"/>
      <c r="AB2063" s="54"/>
      <c r="AC2063" s="54"/>
      <c r="AD2063" s="94"/>
    </row>
    <row r="2064" s="53" customFormat="1" ht="50" customHeight="1" spans="1:30">
      <c r="A2064" s="95" t="s">
        <v>4006</v>
      </c>
      <c r="B2064" s="112"/>
      <c r="C2064" s="54"/>
      <c r="D2064" s="113" t="s">
        <v>2897</v>
      </c>
      <c r="E2064" s="117" t="s">
        <v>4007</v>
      </c>
      <c r="F2064" s="115" t="s">
        <v>46</v>
      </c>
      <c r="G2064" s="54"/>
      <c r="H2064" s="76">
        <f>STOCK[[#This Row],[Precio Final]]</f>
        <v>0</v>
      </c>
      <c r="I2064" s="80">
        <f>STOCK[[#This Row],[Precio Venta Ideal (x1.5)]]</f>
        <v>24.48</v>
      </c>
      <c r="J2064" s="118">
        <v>1</v>
      </c>
      <c r="K2064" s="78">
        <f>SUMIFS(VENTAS[Cantidad],VENTAS[Código del producto Vendido],STOCK[[#This Row],[Code]])</f>
        <v>0</v>
      </c>
      <c r="L2064" s="78">
        <f>STOCK[[#This Row],[Entradas]]-STOCK[[#This Row],[Salidas]]</f>
        <v>1</v>
      </c>
      <c r="M2064" s="76">
        <f>STOCK[[#This Row],[Precio Final]]*10%</f>
        <v>0</v>
      </c>
      <c r="N2064" s="54">
        <v>0</v>
      </c>
      <c r="O2064" s="76">
        <v>0</v>
      </c>
      <c r="P2064" s="54">
        <v>14.07</v>
      </c>
      <c r="Q2064" s="76">
        <v>0</v>
      </c>
      <c r="R2064" s="78">
        <v>0</v>
      </c>
      <c r="S2064" s="76">
        <v>2.25</v>
      </c>
      <c r="T2064" s="76">
        <f>STOCK[[#This Row],[Costo Unitario (USD)]]+STOCK[[#This Row],[Costo Envío (USD)]]+STOCK[[#This Row],[Comisión 10%]]</f>
        <v>16.32</v>
      </c>
      <c r="U2064" s="53">
        <f>STOCK[[#This Row],[Costo total]]*1.5</f>
        <v>24.48</v>
      </c>
      <c r="V2064" s="54"/>
      <c r="W2064" s="76">
        <f>STOCK[[#This Row],[Precio Final]]-STOCK[[#This Row],[Costo total]]</f>
        <v>-16.32</v>
      </c>
      <c r="X2064" s="76">
        <f>STOCK[[#This Row],[Ganancia Unitaria]]*STOCK[[#This Row],[Salidas]]</f>
        <v>0</v>
      </c>
      <c r="Y2064" s="54"/>
      <c r="Z2064" s="119"/>
      <c r="AA2064" s="54"/>
      <c r="AB2064" s="54"/>
      <c r="AC2064" s="54"/>
      <c r="AD2064" s="94"/>
    </row>
    <row r="2065" s="53" customFormat="1" ht="50" customHeight="1" spans="1:30">
      <c r="A2065" s="95" t="s">
        <v>4008</v>
      </c>
      <c r="B2065" s="112"/>
      <c r="C2065" s="54"/>
      <c r="D2065" s="113" t="s">
        <v>2897</v>
      </c>
      <c r="E2065" s="117" t="s">
        <v>4007</v>
      </c>
      <c r="F2065" s="115" t="s">
        <v>42</v>
      </c>
      <c r="G2065" s="54"/>
      <c r="H2065" s="76">
        <f>STOCK[[#This Row],[Precio Final]]</f>
        <v>0</v>
      </c>
      <c r="I2065" s="80">
        <f>STOCK[[#This Row],[Precio Venta Ideal (x1.5)]]</f>
        <v>24.48</v>
      </c>
      <c r="J2065" s="118">
        <v>1</v>
      </c>
      <c r="K2065" s="78">
        <f>SUMIFS(VENTAS[Cantidad],VENTAS[Código del producto Vendido],STOCK[[#This Row],[Code]])</f>
        <v>0</v>
      </c>
      <c r="L2065" s="78">
        <f>STOCK[[#This Row],[Entradas]]-STOCK[[#This Row],[Salidas]]</f>
        <v>1</v>
      </c>
      <c r="M2065" s="76">
        <f>STOCK[[#This Row],[Precio Final]]*10%</f>
        <v>0</v>
      </c>
      <c r="N2065" s="54">
        <v>0</v>
      </c>
      <c r="O2065" s="76">
        <v>0</v>
      </c>
      <c r="P2065" s="54">
        <v>14.07</v>
      </c>
      <c r="Q2065" s="76">
        <v>0</v>
      </c>
      <c r="R2065" s="78">
        <v>0</v>
      </c>
      <c r="S2065" s="76">
        <v>2.25</v>
      </c>
      <c r="T2065" s="76">
        <f>STOCK[[#This Row],[Costo Unitario (USD)]]+STOCK[[#This Row],[Costo Envío (USD)]]+STOCK[[#This Row],[Comisión 10%]]</f>
        <v>16.32</v>
      </c>
      <c r="U2065" s="53">
        <f>STOCK[[#This Row],[Costo total]]*1.5</f>
        <v>24.48</v>
      </c>
      <c r="V2065" s="54"/>
      <c r="W2065" s="76">
        <f>STOCK[[#This Row],[Precio Final]]-STOCK[[#This Row],[Costo total]]</f>
        <v>-16.32</v>
      </c>
      <c r="X2065" s="76">
        <f>STOCK[[#This Row],[Ganancia Unitaria]]*STOCK[[#This Row],[Salidas]]</f>
        <v>0</v>
      </c>
      <c r="Y2065" s="54"/>
      <c r="Z2065" s="119"/>
      <c r="AA2065" s="54"/>
      <c r="AB2065" s="54"/>
      <c r="AC2065" s="54"/>
      <c r="AD2065" s="94"/>
    </row>
    <row r="2066" s="53" customFormat="1" ht="50" customHeight="1" spans="1:30">
      <c r="A2066" s="95" t="s">
        <v>4009</v>
      </c>
      <c r="B2066" s="112"/>
      <c r="C2066" s="54"/>
      <c r="D2066" s="113" t="s">
        <v>2897</v>
      </c>
      <c r="E2066" s="117" t="s">
        <v>4010</v>
      </c>
      <c r="F2066" s="115" t="s">
        <v>40</v>
      </c>
      <c r="G2066" s="54"/>
      <c r="H2066" s="76">
        <f>STOCK[[#This Row],[Precio Final]]</f>
        <v>0</v>
      </c>
      <c r="I2066" s="80">
        <f>STOCK[[#This Row],[Precio Venta Ideal (x1.5)]]</f>
        <v>24.48</v>
      </c>
      <c r="J2066" s="118">
        <v>1</v>
      </c>
      <c r="K2066" s="78">
        <f>SUMIFS(VENTAS[Cantidad],VENTAS[Código del producto Vendido],STOCK[[#This Row],[Code]])</f>
        <v>0</v>
      </c>
      <c r="L2066" s="78">
        <f>STOCK[[#This Row],[Entradas]]-STOCK[[#This Row],[Salidas]]</f>
        <v>1</v>
      </c>
      <c r="M2066" s="76">
        <f>STOCK[[#This Row],[Precio Final]]*10%</f>
        <v>0</v>
      </c>
      <c r="N2066" s="54">
        <v>0</v>
      </c>
      <c r="O2066" s="76">
        <v>0</v>
      </c>
      <c r="P2066" s="54">
        <v>14.07</v>
      </c>
      <c r="Q2066" s="76">
        <v>0</v>
      </c>
      <c r="R2066" s="78">
        <v>0</v>
      </c>
      <c r="S2066" s="76">
        <v>2.25</v>
      </c>
      <c r="T2066" s="76">
        <f>STOCK[[#This Row],[Costo Unitario (USD)]]+STOCK[[#This Row],[Costo Envío (USD)]]+STOCK[[#This Row],[Comisión 10%]]</f>
        <v>16.32</v>
      </c>
      <c r="U2066" s="53">
        <f>STOCK[[#This Row],[Costo total]]*1.5</f>
        <v>24.48</v>
      </c>
      <c r="V2066" s="54"/>
      <c r="W2066" s="76">
        <f>STOCK[[#This Row],[Precio Final]]-STOCK[[#This Row],[Costo total]]</f>
        <v>-16.32</v>
      </c>
      <c r="X2066" s="76">
        <f>STOCK[[#This Row],[Ganancia Unitaria]]*STOCK[[#This Row],[Salidas]]</f>
        <v>0</v>
      </c>
      <c r="Y2066" s="54"/>
      <c r="Z2066" s="119"/>
      <c r="AA2066" s="54"/>
      <c r="AB2066" s="54"/>
      <c r="AC2066" s="54"/>
      <c r="AD2066" s="94"/>
    </row>
    <row r="2067" s="53" customFormat="1" ht="50" customHeight="1" spans="1:30">
      <c r="A2067" s="95" t="s">
        <v>4011</v>
      </c>
      <c r="B2067" s="112"/>
      <c r="C2067" s="54"/>
      <c r="D2067" s="113" t="s">
        <v>2897</v>
      </c>
      <c r="E2067" s="117" t="s">
        <v>4010</v>
      </c>
      <c r="F2067" s="115" t="s">
        <v>62</v>
      </c>
      <c r="G2067" s="54"/>
      <c r="H2067" s="76">
        <f>STOCK[[#This Row],[Precio Final]]</f>
        <v>0</v>
      </c>
      <c r="I2067" s="80">
        <f>STOCK[[#This Row],[Precio Venta Ideal (x1.5)]]</f>
        <v>24.48</v>
      </c>
      <c r="J2067" s="118">
        <v>1</v>
      </c>
      <c r="K2067" s="78">
        <f>SUMIFS(VENTAS[Cantidad],VENTAS[Código del producto Vendido],STOCK[[#This Row],[Code]])</f>
        <v>0</v>
      </c>
      <c r="L2067" s="78">
        <f>STOCK[[#This Row],[Entradas]]-STOCK[[#This Row],[Salidas]]</f>
        <v>1</v>
      </c>
      <c r="M2067" s="76">
        <f>STOCK[[#This Row],[Precio Final]]*10%</f>
        <v>0</v>
      </c>
      <c r="N2067" s="54">
        <v>0</v>
      </c>
      <c r="O2067" s="76">
        <v>0</v>
      </c>
      <c r="P2067" s="54">
        <v>14.07</v>
      </c>
      <c r="Q2067" s="76">
        <v>0</v>
      </c>
      <c r="R2067" s="78">
        <v>0</v>
      </c>
      <c r="S2067" s="76">
        <v>2.25</v>
      </c>
      <c r="T2067" s="76">
        <f>STOCK[[#This Row],[Costo Unitario (USD)]]+STOCK[[#This Row],[Costo Envío (USD)]]+STOCK[[#This Row],[Comisión 10%]]</f>
        <v>16.32</v>
      </c>
      <c r="U2067" s="53">
        <f>STOCK[[#This Row],[Costo total]]*1.5</f>
        <v>24.48</v>
      </c>
      <c r="V2067" s="54"/>
      <c r="W2067" s="76">
        <f>STOCK[[#This Row],[Precio Final]]-STOCK[[#This Row],[Costo total]]</f>
        <v>-16.32</v>
      </c>
      <c r="X2067" s="76">
        <f>STOCK[[#This Row],[Ganancia Unitaria]]*STOCK[[#This Row],[Salidas]]</f>
        <v>0</v>
      </c>
      <c r="Y2067" s="54"/>
      <c r="Z2067" s="119"/>
      <c r="AA2067" s="54"/>
      <c r="AB2067" s="54"/>
      <c r="AC2067" s="54"/>
      <c r="AD2067" s="94"/>
    </row>
    <row r="2068" s="53" customFormat="1" ht="50" customHeight="1" spans="1:30">
      <c r="A2068" s="95" t="s">
        <v>4012</v>
      </c>
      <c r="B2068" s="112"/>
      <c r="C2068" s="54"/>
      <c r="D2068" s="113" t="s">
        <v>2897</v>
      </c>
      <c r="E2068" s="117" t="s">
        <v>4010</v>
      </c>
      <c r="F2068" s="115" t="s">
        <v>49</v>
      </c>
      <c r="G2068" s="54"/>
      <c r="H2068" s="76">
        <f>STOCK[[#This Row],[Precio Final]]</f>
        <v>0</v>
      </c>
      <c r="I2068" s="80">
        <f>STOCK[[#This Row],[Precio Venta Ideal (x1.5)]]</f>
        <v>24.48</v>
      </c>
      <c r="J2068" s="118">
        <v>2</v>
      </c>
      <c r="K2068" s="78">
        <f>SUMIFS(VENTAS[Cantidad],VENTAS[Código del producto Vendido],STOCK[[#This Row],[Code]])</f>
        <v>0</v>
      </c>
      <c r="L2068" s="78">
        <f>STOCK[[#This Row],[Entradas]]-STOCK[[#This Row],[Salidas]]</f>
        <v>2</v>
      </c>
      <c r="M2068" s="76">
        <f>STOCK[[#This Row],[Precio Final]]*10%</f>
        <v>0</v>
      </c>
      <c r="N2068" s="54">
        <v>0</v>
      </c>
      <c r="O2068" s="76">
        <v>0</v>
      </c>
      <c r="P2068" s="54">
        <v>14.07</v>
      </c>
      <c r="Q2068" s="76">
        <v>0</v>
      </c>
      <c r="R2068" s="78">
        <v>0</v>
      </c>
      <c r="S2068" s="76">
        <v>2.25</v>
      </c>
      <c r="T2068" s="76">
        <f>STOCK[[#This Row],[Costo Unitario (USD)]]+STOCK[[#This Row],[Costo Envío (USD)]]+STOCK[[#This Row],[Comisión 10%]]</f>
        <v>16.32</v>
      </c>
      <c r="U2068" s="53">
        <f>STOCK[[#This Row],[Costo total]]*1.5</f>
        <v>24.48</v>
      </c>
      <c r="V2068" s="54"/>
      <c r="W2068" s="76">
        <f>STOCK[[#This Row],[Precio Final]]-STOCK[[#This Row],[Costo total]]</f>
        <v>-16.32</v>
      </c>
      <c r="X2068" s="76">
        <f>STOCK[[#This Row],[Ganancia Unitaria]]*STOCK[[#This Row],[Salidas]]</f>
        <v>0</v>
      </c>
      <c r="Y2068" s="54"/>
      <c r="Z2068" s="119"/>
      <c r="AA2068" s="54"/>
      <c r="AB2068" s="54"/>
      <c r="AC2068" s="54"/>
      <c r="AD2068" s="94"/>
    </row>
    <row r="2069" s="53" customFormat="1" ht="50" customHeight="1" spans="1:30">
      <c r="A2069" s="95" t="s">
        <v>4013</v>
      </c>
      <c r="B2069" s="112"/>
      <c r="C2069" s="54"/>
      <c r="D2069" s="113" t="s">
        <v>2897</v>
      </c>
      <c r="E2069" s="117" t="s">
        <v>4010</v>
      </c>
      <c r="F2069" s="115" t="s">
        <v>46</v>
      </c>
      <c r="G2069" s="54"/>
      <c r="H2069" s="76">
        <f>STOCK[[#This Row],[Precio Final]]</f>
        <v>0</v>
      </c>
      <c r="I2069" s="80">
        <f>STOCK[[#This Row],[Precio Venta Ideal (x1.5)]]</f>
        <v>24.48</v>
      </c>
      <c r="J2069" s="118">
        <v>1</v>
      </c>
      <c r="K2069" s="78">
        <f>SUMIFS(VENTAS[Cantidad],VENTAS[Código del producto Vendido],STOCK[[#This Row],[Code]])</f>
        <v>0</v>
      </c>
      <c r="L2069" s="78">
        <f>STOCK[[#This Row],[Entradas]]-STOCK[[#This Row],[Salidas]]</f>
        <v>1</v>
      </c>
      <c r="M2069" s="76">
        <f>STOCK[[#This Row],[Precio Final]]*10%</f>
        <v>0</v>
      </c>
      <c r="N2069" s="54">
        <v>0</v>
      </c>
      <c r="O2069" s="76">
        <v>0</v>
      </c>
      <c r="P2069" s="54">
        <v>14.07</v>
      </c>
      <c r="Q2069" s="76">
        <v>0</v>
      </c>
      <c r="R2069" s="78">
        <v>0</v>
      </c>
      <c r="S2069" s="76">
        <v>2.25</v>
      </c>
      <c r="T2069" s="76">
        <f>STOCK[[#This Row],[Costo Unitario (USD)]]+STOCK[[#This Row],[Costo Envío (USD)]]+STOCK[[#This Row],[Comisión 10%]]</f>
        <v>16.32</v>
      </c>
      <c r="U2069" s="53">
        <f>STOCK[[#This Row],[Costo total]]*1.5</f>
        <v>24.48</v>
      </c>
      <c r="V2069" s="54"/>
      <c r="W2069" s="76">
        <f>STOCK[[#This Row],[Precio Final]]-STOCK[[#This Row],[Costo total]]</f>
        <v>-16.32</v>
      </c>
      <c r="X2069" s="76">
        <f>STOCK[[#This Row],[Ganancia Unitaria]]*STOCK[[#This Row],[Salidas]]</f>
        <v>0</v>
      </c>
      <c r="Y2069" s="54"/>
      <c r="Z2069" s="119"/>
      <c r="AA2069" s="54"/>
      <c r="AB2069" s="54"/>
      <c r="AC2069" s="54"/>
      <c r="AD2069" s="94"/>
    </row>
    <row r="2070" s="53" customFormat="1" ht="50" customHeight="1" spans="1:30">
      <c r="A2070" s="95" t="s">
        <v>4014</v>
      </c>
      <c r="B2070" s="112"/>
      <c r="C2070" s="54"/>
      <c r="D2070" s="113" t="s">
        <v>2897</v>
      </c>
      <c r="E2070" s="117" t="s">
        <v>4010</v>
      </c>
      <c r="F2070" s="115" t="s">
        <v>42</v>
      </c>
      <c r="G2070" s="54"/>
      <c r="H2070" s="76">
        <f>STOCK[[#This Row],[Precio Final]]</f>
        <v>0</v>
      </c>
      <c r="I2070" s="80">
        <f>STOCK[[#This Row],[Precio Venta Ideal (x1.5)]]</f>
        <v>24.48</v>
      </c>
      <c r="J2070" s="118">
        <v>1</v>
      </c>
      <c r="K2070" s="78">
        <f>SUMIFS(VENTAS[Cantidad],VENTAS[Código del producto Vendido],STOCK[[#This Row],[Code]])</f>
        <v>0</v>
      </c>
      <c r="L2070" s="78">
        <f>STOCK[[#This Row],[Entradas]]-STOCK[[#This Row],[Salidas]]</f>
        <v>1</v>
      </c>
      <c r="M2070" s="76">
        <f>STOCK[[#This Row],[Precio Final]]*10%</f>
        <v>0</v>
      </c>
      <c r="N2070" s="54">
        <v>0</v>
      </c>
      <c r="O2070" s="76">
        <v>0</v>
      </c>
      <c r="P2070" s="54">
        <v>14.07</v>
      </c>
      <c r="Q2070" s="76">
        <v>0</v>
      </c>
      <c r="R2070" s="78">
        <v>0</v>
      </c>
      <c r="S2070" s="76">
        <v>2.25</v>
      </c>
      <c r="T2070" s="76">
        <f>STOCK[[#This Row],[Costo Unitario (USD)]]+STOCK[[#This Row],[Costo Envío (USD)]]+STOCK[[#This Row],[Comisión 10%]]</f>
        <v>16.32</v>
      </c>
      <c r="U2070" s="53">
        <f>STOCK[[#This Row],[Costo total]]*1.5</f>
        <v>24.48</v>
      </c>
      <c r="V2070" s="54"/>
      <c r="W2070" s="76">
        <f>STOCK[[#This Row],[Precio Final]]-STOCK[[#This Row],[Costo total]]</f>
        <v>-16.32</v>
      </c>
      <c r="X2070" s="76">
        <f>STOCK[[#This Row],[Ganancia Unitaria]]*STOCK[[#This Row],[Salidas]]</f>
        <v>0</v>
      </c>
      <c r="Y2070" s="54"/>
      <c r="Z2070" s="119"/>
      <c r="AA2070" s="54"/>
      <c r="AB2070" s="54"/>
      <c r="AC2070" s="54"/>
      <c r="AD2070" s="94"/>
    </row>
    <row r="2071" s="53" customFormat="1" ht="50" customHeight="1" spans="1:30">
      <c r="A2071" s="95" t="s">
        <v>4015</v>
      </c>
      <c r="B2071" s="112"/>
      <c r="C2071" s="54"/>
      <c r="D2071" s="113" t="s">
        <v>835</v>
      </c>
      <c r="E2071" s="117" t="s">
        <v>4016</v>
      </c>
      <c r="F2071" s="117"/>
      <c r="G2071" s="54"/>
      <c r="H2071" s="76">
        <f>STOCK[[#This Row],[Precio Final]]</f>
        <v>0</v>
      </c>
      <c r="I2071" s="80">
        <f>STOCK[[#This Row],[Precio Venta Ideal (x1.5)]]</f>
        <v>3.375</v>
      </c>
      <c r="J2071" s="118">
        <v>13</v>
      </c>
      <c r="K2071" s="78">
        <f>SUMIFS(VENTAS[Cantidad],VENTAS[Código del producto Vendido],STOCK[[#This Row],[Code]])</f>
        <v>0</v>
      </c>
      <c r="L2071" s="78">
        <f>STOCK[[#This Row],[Entradas]]-STOCK[[#This Row],[Salidas]]</f>
        <v>13</v>
      </c>
      <c r="M2071" s="76">
        <f>STOCK[[#This Row],[Precio Final]]*10%</f>
        <v>0</v>
      </c>
      <c r="N2071" s="54">
        <v>0</v>
      </c>
      <c r="O2071" s="76">
        <v>0</v>
      </c>
      <c r="P2071" s="54"/>
      <c r="Q2071" s="76">
        <v>0</v>
      </c>
      <c r="R2071" s="78">
        <v>0</v>
      </c>
      <c r="S2071" s="76">
        <v>2.25</v>
      </c>
      <c r="T2071" s="76">
        <f>STOCK[[#This Row],[Costo Unitario (USD)]]+STOCK[[#This Row],[Costo Envío (USD)]]+STOCK[[#This Row],[Comisión 10%]]</f>
        <v>2.25</v>
      </c>
      <c r="U2071" s="53">
        <f>STOCK[[#This Row],[Costo total]]*1.5</f>
        <v>3.375</v>
      </c>
      <c r="V2071" s="54"/>
      <c r="W2071" s="76">
        <f>STOCK[[#This Row],[Precio Final]]-STOCK[[#This Row],[Costo total]]</f>
        <v>-2.25</v>
      </c>
      <c r="X2071" s="76">
        <f>STOCK[[#This Row],[Ganancia Unitaria]]*STOCK[[#This Row],[Salidas]]</f>
        <v>0</v>
      </c>
      <c r="Y2071" s="54"/>
      <c r="Z2071" s="119"/>
      <c r="AA2071" s="54"/>
      <c r="AB2071" s="54"/>
      <c r="AC2071" s="54"/>
      <c r="AD2071" s="94"/>
    </row>
    <row r="2072" s="53" customFormat="1" ht="50" customHeight="1" spans="1:30">
      <c r="A2072" s="95" t="s">
        <v>4017</v>
      </c>
      <c r="B2072" s="112"/>
      <c r="C2072" s="54"/>
      <c r="D2072" s="113" t="s">
        <v>835</v>
      </c>
      <c r="E2072" s="117" t="s">
        <v>4018</v>
      </c>
      <c r="F2072" s="117" t="s">
        <v>4019</v>
      </c>
      <c r="G2072" s="54"/>
      <c r="H2072" s="76">
        <f>STOCK[[#This Row],[Precio Final]]</f>
        <v>40</v>
      </c>
      <c r="I2072" s="80">
        <f>STOCK[[#This Row],[Precio Venta Ideal (x1.5)]]</f>
        <v>41.04</v>
      </c>
      <c r="J2072" s="118">
        <v>1</v>
      </c>
      <c r="K2072" s="78">
        <f>SUMIFS(VENTAS[Cantidad],VENTAS[Código del producto Vendido],STOCK[[#This Row],[Code]])</f>
        <v>0</v>
      </c>
      <c r="L2072" s="78">
        <f>STOCK[[#This Row],[Entradas]]-STOCK[[#This Row],[Salidas]]</f>
        <v>1</v>
      </c>
      <c r="M2072" s="76">
        <f>STOCK[[#This Row],[Precio Final]]*10%</f>
        <v>4</v>
      </c>
      <c r="N2072" s="54">
        <v>0</v>
      </c>
      <c r="O2072" s="76">
        <v>0</v>
      </c>
      <c r="P2072" s="54">
        <v>21.11</v>
      </c>
      <c r="Q2072" s="76">
        <v>0</v>
      </c>
      <c r="R2072" s="78">
        <v>0</v>
      </c>
      <c r="S2072" s="76">
        <v>2.25</v>
      </c>
      <c r="T2072" s="76">
        <f>STOCK[[#This Row],[Costo Unitario (USD)]]+STOCK[[#This Row],[Costo Envío (USD)]]+STOCK[[#This Row],[Comisión 10%]]</f>
        <v>27.36</v>
      </c>
      <c r="U2072" s="53">
        <f>STOCK[[#This Row],[Costo total]]*1.5</f>
        <v>41.04</v>
      </c>
      <c r="V2072" s="54">
        <v>40</v>
      </c>
      <c r="W2072" s="76">
        <f>STOCK[[#This Row],[Precio Final]]-STOCK[[#This Row],[Costo total]]</f>
        <v>12.64</v>
      </c>
      <c r="X2072" s="76">
        <f>STOCK[[#This Row],[Ganancia Unitaria]]*STOCK[[#This Row],[Salidas]]</f>
        <v>0</v>
      </c>
      <c r="Y2072" s="54"/>
      <c r="Z2072" s="119"/>
      <c r="AA2072" s="54"/>
      <c r="AB2072" s="54"/>
      <c r="AC2072" s="54"/>
      <c r="AD2072" s="94"/>
    </row>
    <row r="2073" s="53" customFormat="1" ht="50" customHeight="1" spans="1:30">
      <c r="A2073" s="95" t="s">
        <v>4020</v>
      </c>
      <c r="B2073" s="112"/>
      <c r="C2073" s="54"/>
      <c r="D2073" s="113" t="s">
        <v>488</v>
      </c>
      <c r="E2073" s="116" t="s">
        <v>4021</v>
      </c>
      <c r="F2073" s="117" t="s">
        <v>2108</v>
      </c>
      <c r="G2073" s="54"/>
      <c r="H2073" s="76">
        <f>STOCK[[#This Row],[Precio Final]]</f>
        <v>40</v>
      </c>
      <c r="I2073" s="80">
        <f>STOCK[[#This Row],[Precio Venta Ideal (x1.5)]]</f>
        <v>25.725</v>
      </c>
      <c r="J2073" s="118">
        <v>5</v>
      </c>
      <c r="K2073" s="78">
        <f>SUMIFS(VENTAS[Cantidad],VENTAS[Código del producto Vendido],STOCK[[#This Row],[Code]])</f>
        <v>0</v>
      </c>
      <c r="L2073" s="78">
        <f>STOCK[[#This Row],[Entradas]]-STOCK[[#This Row],[Salidas]]</f>
        <v>5</v>
      </c>
      <c r="M2073" s="76">
        <f>STOCK[[#This Row],[Precio Final]]*10%</f>
        <v>4</v>
      </c>
      <c r="N2073" s="54">
        <v>0</v>
      </c>
      <c r="O2073" s="76">
        <v>0</v>
      </c>
      <c r="P2073" s="54">
        <v>10.9</v>
      </c>
      <c r="Q2073" s="76">
        <v>0</v>
      </c>
      <c r="R2073" s="78">
        <v>0</v>
      </c>
      <c r="S2073" s="76">
        <v>2.25</v>
      </c>
      <c r="T2073" s="76">
        <f>STOCK[[#This Row],[Costo Unitario (USD)]]+STOCK[[#This Row],[Costo Envío (USD)]]+STOCK[[#This Row],[Comisión 10%]]</f>
        <v>17.15</v>
      </c>
      <c r="U2073" s="53">
        <f>STOCK[[#This Row],[Costo total]]*1.5</f>
        <v>25.725</v>
      </c>
      <c r="V2073" s="54">
        <v>40</v>
      </c>
      <c r="W2073" s="76">
        <f>STOCK[[#This Row],[Precio Final]]-STOCK[[#This Row],[Costo total]]</f>
        <v>22.85</v>
      </c>
      <c r="X2073" s="76">
        <f>STOCK[[#This Row],[Ganancia Unitaria]]*STOCK[[#This Row],[Salidas]]</f>
        <v>0</v>
      </c>
      <c r="Y2073" s="54"/>
      <c r="Z2073" s="119"/>
      <c r="AA2073" s="54"/>
      <c r="AB2073" s="54"/>
      <c r="AC2073" s="54"/>
      <c r="AD2073" s="94"/>
    </row>
    <row r="2074" s="53" customFormat="1" ht="50" customHeight="1" spans="1:30">
      <c r="A2074" s="95" t="s">
        <v>4022</v>
      </c>
      <c r="B2074" s="112"/>
      <c r="C2074" s="54"/>
      <c r="D2074" s="113" t="s">
        <v>488</v>
      </c>
      <c r="E2074" s="116" t="s">
        <v>4023</v>
      </c>
      <c r="F2074" s="117" t="s">
        <v>2108</v>
      </c>
      <c r="G2074" s="54"/>
      <c r="H2074" s="76">
        <f>STOCK[[#This Row],[Precio Final]]</f>
        <v>40</v>
      </c>
      <c r="I2074" s="80">
        <f>STOCK[[#This Row],[Precio Venta Ideal (x1.5)]]</f>
        <v>25.725</v>
      </c>
      <c r="J2074" s="118">
        <v>2</v>
      </c>
      <c r="K2074" s="78">
        <f>SUMIFS(VENTAS[Cantidad],VENTAS[Código del producto Vendido],STOCK[[#This Row],[Code]])</f>
        <v>0</v>
      </c>
      <c r="L2074" s="78">
        <f>STOCK[[#This Row],[Entradas]]-STOCK[[#This Row],[Salidas]]</f>
        <v>2</v>
      </c>
      <c r="M2074" s="76">
        <f>STOCK[[#This Row],[Precio Final]]*10%</f>
        <v>4</v>
      </c>
      <c r="N2074" s="54">
        <v>0</v>
      </c>
      <c r="O2074" s="76">
        <v>0</v>
      </c>
      <c r="P2074" s="54">
        <v>10.9</v>
      </c>
      <c r="Q2074" s="76">
        <v>0</v>
      </c>
      <c r="R2074" s="78">
        <v>0</v>
      </c>
      <c r="S2074" s="76">
        <v>2.25</v>
      </c>
      <c r="T2074" s="76">
        <f>STOCK[[#This Row],[Costo Unitario (USD)]]+STOCK[[#This Row],[Costo Envío (USD)]]+STOCK[[#This Row],[Comisión 10%]]</f>
        <v>17.15</v>
      </c>
      <c r="U2074" s="53">
        <f>STOCK[[#This Row],[Costo total]]*1.5</f>
        <v>25.725</v>
      </c>
      <c r="V2074" s="54">
        <v>40</v>
      </c>
      <c r="W2074" s="76">
        <f>STOCK[[#This Row],[Precio Final]]-STOCK[[#This Row],[Costo total]]</f>
        <v>22.85</v>
      </c>
      <c r="X2074" s="76">
        <f>STOCK[[#This Row],[Ganancia Unitaria]]*STOCK[[#This Row],[Salidas]]</f>
        <v>0</v>
      </c>
      <c r="Y2074" s="54"/>
      <c r="Z2074" s="119"/>
      <c r="AA2074" s="54"/>
      <c r="AB2074" s="54"/>
      <c r="AC2074" s="54"/>
      <c r="AD2074" s="94"/>
    </row>
    <row r="2075" s="53" customFormat="1" ht="50" customHeight="1" spans="1:30">
      <c r="A2075" s="95" t="s">
        <v>4024</v>
      </c>
      <c r="B2075" s="112"/>
      <c r="C2075" s="54"/>
      <c r="D2075" s="113" t="s">
        <v>488</v>
      </c>
      <c r="E2075" s="116" t="s">
        <v>4025</v>
      </c>
      <c r="F2075" s="117" t="s">
        <v>2108</v>
      </c>
      <c r="G2075" s="54"/>
      <c r="H2075" s="76">
        <f>STOCK[[#This Row],[Precio Final]]</f>
        <v>40</v>
      </c>
      <c r="I2075" s="80">
        <f>STOCK[[#This Row],[Precio Venta Ideal (x1.5)]]</f>
        <v>25.725</v>
      </c>
      <c r="J2075" s="118">
        <v>4</v>
      </c>
      <c r="K2075" s="78">
        <f>SUMIFS(VENTAS[Cantidad],VENTAS[Código del producto Vendido],STOCK[[#This Row],[Code]])</f>
        <v>0</v>
      </c>
      <c r="L2075" s="78">
        <f>STOCK[[#This Row],[Entradas]]-STOCK[[#This Row],[Salidas]]</f>
        <v>4</v>
      </c>
      <c r="M2075" s="76">
        <f>STOCK[[#This Row],[Precio Final]]*10%</f>
        <v>4</v>
      </c>
      <c r="N2075" s="54">
        <v>0</v>
      </c>
      <c r="O2075" s="76">
        <v>0</v>
      </c>
      <c r="P2075" s="54">
        <v>10.9</v>
      </c>
      <c r="Q2075" s="76">
        <v>0</v>
      </c>
      <c r="R2075" s="78">
        <v>0</v>
      </c>
      <c r="S2075" s="76">
        <v>2.25</v>
      </c>
      <c r="T2075" s="76">
        <f>STOCK[[#This Row],[Costo Unitario (USD)]]+STOCK[[#This Row],[Costo Envío (USD)]]+STOCK[[#This Row],[Comisión 10%]]</f>
        <v>17.15</v>
      </c>
      <c r="U2075" s="53">
        <f>STOCK[[#This Row],[Costo total]]*1.5</f>
        <v>25.725</v>
      </c>
      <c r="V2075" s="54">
        <v>40</v>
      </c>
      <c r="W2075" s="76">
        <f>STOCK[[#This Row],[Precio Final]]-STOCK[[#This Row],[Costo total]]</f>
        <v>22.85</v>
      </c>
      <c r="X2075" s="76">
        <f>STOCK[[#This Row],[Ganancia Unitaria]]*STOCK[[#This Row],[Salidas]]</f>
        <v>0</v>
      </c>
      <c r="Y2075" s="54"/>
      <c r="Z2075" s="119"/>
      <c r="AA2075" s="54"/>
      <c r="AB2075" s="54"/>
      <c r="AC2075" s="54"/>
      <c r="AD2075" s="94"/>
    </row>
    <row r="2076" s="53" customFormat="1" ht="50" customHeight="1" spans="1:30">
      <c r="A2076" s="95" t="s">
        <v>4026</v>
      </c>
      <c r="B2076" s="112"/>
      <c r="C2076" s="54"/>
      <c r="D2076" s="113" t="s">
        <v>488</v>
      </c>
      <c r="E2076" s="116" t="s">
        <v>4027</v>
      </c>
      <c r="F2076" s="117" t="s">
        <v>2108</v>
      </c>
      <c r="G2076" s="54"/>
      <c r="H2076" s="76">
        <f>STOCK[[#This Row],[Precio Final]]</f>
        <v>40</v>
      </c>
      <c r="I2076" s="80">
        <f>STOCK[[#This Row],[Precio Venta Ideal (x1.5)]]</f>
        <v>25.725</v>
      </c>
      <c r="J2076" s="118">
        <v>3</v>
      </c>
      <c r="K2076" s="78">
        <f>SUMIFS(VENTAS[Cantidad],VENTAS[Código del producto Vendido],STOCK[[#This Row],[Code]])</f>
        <v>0</v>
      </c>
      <c r="L2076" s="78">
        <f>STOCK[[#This Row],[Entradas]]-STOCK[[#This Row],[Salidas]]</f>
        <v>3</v>
      </c>
      <c r="M2076" s="76">
        <f>STOCK[[#This Row],[Precio Final]]*10%</f>
        <v>4</v>
      </c>
      <c r="N2076" s="54">
        <v>0</v>
      </c>
      <c r="O2076" s="76">
        <v>0</v>
      </c>
      <c r="P2076" s="54">
        <v>10.9</v>
      </c>
      <c r="Q2076" s="76">
        <v>0</v>
      </c>
      <c r="R2076" s="78">
        <v>0</v>
      </c>
      <c r="S2076" s="76">
        <v>2.25</v>
      </c>
      <c r="T2076" s="76">
        <f>STOCK[[#This Row],[Costo Unitario (USD)]]+STOCK[[#This Row],[Costo Envío (USD)]]+STOCK[[#This Row],[Comisión 10%]]</f>
        <v>17.15</v>
      </c>
      <c r="U2076" s="53">
        <f>STOCK[[#This Row],[Costo total]]*1.5</f>
        <v>25.725</v>
      </c>
      <c r="V2076" s="54">
        <v>40</v>
      </c>
      <c r="W2076" s="76">
        <f>STOCK[[#This Row],[Precio Final]]-STOCK[[#This Row],[Costo total]]</f>
        <v>22.85</v>
      </c>
      <c r="X2076" s="76">
        <f>STOCK[[#This Row],[Ganancia Unitaria]]*STOCK[[#This Row],[Salidas]]</f>
        <v>0</v>
      </c>
      <c r="Y2076" s="54"/>
      <c r="Z2076" s="119"/>
      <c r="AA2076" s="54"/>
      <c r="AB2076" s="54"/>
      <c r="AC2076" s="54"/>
      <c r="AD2076" s="94"/>
    </row>
    <row r="2077" s="53" customFormat="1" ht="50" customHeight="1" spans="1:30">
      <c r="A2077" s="95" t="s">
        <v>4028</v>
      </c>
      <c r="B2077" s="112"/>
      <c r="C2077" s="54"/>
      <c r="D2077" s="113" t="s">
        <v>392</v>
      </c>
      <c r="E2077" s="117" t="s">
        <v>4029</v>
      </c>
      <c r="F2077" s="117" t="s">
        <v>4019</v>
      </c>
      <c r="G2077" s="54"/>
      <c r="H2077" s="76">
        <f>STOCK[[#This Row],[Precio Final]]</f>
        <v>40</v>
      </c>
      <c r="I2077" s="80">
        <f>STOCK[[#This Row],[Precio Venta Ideal (x1.5)]]</f>
        <v>41.04</v>
      </c>
      <c r="J2077" s="118">
        <v>1</v>
      </c>
      <c r="K2077" s="78">
        <f>SUMIFS(VENTAS[Cantidad],VENTAS[Código del producto Vendido],STOCK[[#This Row],[Code]])</f>
        <v>0</v>
      </c>
      <c r="L2077" s="78">
        <f>STOCK[[#This Row],[Entradas]]-STOCK[[#This Row],[Salidas]]</f>
        <v>1</v>
      </c>
      <c r="M2077" s="76">
        <f>STOCK[[#This Row],[Precio Final]]*10%</f>
        <v>4</v>
      </c>
      <c r="N2077" s="54">
        <v>0</v>
      </c>
      <c r="O2077" s="76">
        <v>0</v>
      </c>
      <c r="P2077" s="54">
        <v>21.11</v>
      </c>
      <c r="Q2077" s="76">
        <v>0</v>
      </c>
      <c r="R2077" s="78">
        <v>0</v>
      </c>
      <c r="S2077" s="76">
        <v>2.25</v>
      </c>
      <c r="T2077" s="76">
        <f>STOCK[[#This Row],[Costo Unitario (USD)]]+STOCK[[#This Row],[Costo Envío (USD)]]+STOCK[[#This Row],[Comisión 10%]]</f>
        <v>27.36</v>
      </c>
      <c r="U2077" s="53">
        <f>STOCK[[#This Row],[Costo total]]*1.5</f>
        <v>41.04</v>
      </c>
      <c r="V2077" s="54">
        <v>40</v>
      </c>
      <c r="W2077" s="76">
        <f>STOCK[[#This Row],[Precio Final]]-STOCK[[#This Row],[Costo total]]</f>
        <v>12.64</v>
      </c>
      <c r="X2077" s="76">
        <f>STOCK[[#This Row],[Ganancia Unitaria]]*STOCK[[#This Row],[Salidas]]</f>
        <v>0</v>
      </c>
      <c r="Y2077" s="54"/>
      <c r="Z2077" s="119"/>
      <c r="AA2077" s="54"/>
      <c r="AB2077" s="54"/>
      <c r="AC2077" s="54"/>
      <c r="AD2077" s="94"/>
    </row>
    <row r="2078" s="53" customFormat="1" ht="50" customHeight="1" spans="1:30">
      <c r="A2078" s="54"/>
      <c r="B2078" s="112"/>
      <c r="C2078" s="54"/>
      <c r="D2078" s="113"/>
      <c r="E2078" s="117"/>
      <c r="F2078" s="117"/>
      <c r="G2078" s="54"/>
      <c r="H2078" s="54"/>
      <c r="I2078" s="124"/>
      <c r="J2078" s="118"/>
      <c r="K2078" s="78">
        <f>SUMIFS(VENTAS[Cantidad],VENTAS[Código del producto Vendido],STOCK[[#This Row],[Code]])</f>
        <v>0</v>
      </c>
      <c r="L2078" s="78">
        <f>STOCK[[#This Row],[Entradas]]-STOCK[[#This Row],[Salidas]]</f>
        <v>0</v>
      </c>
      <c r="M2078" s="76">
        <f>STOCK[[#This Row],[Precio Final]]*10%</f>
        <v>0</v>
      </c>
      <c r="N2078" s="54">
        <v>0</v>
      </c>
      <c r="O2078" s="76">
        <v>0</v>
      </c>
      <c r="P2078" s="54"/>
      <c r="Q2078" s="76">
        <v>0</v>
      </c>
      <c r="R2078" s="78">
        <v>0</v>
      </c>
      <c r="S2078" s="54"/>
      <c r="T2078" s="76">
        <f>STOCK[[#This Row],[Costo Unitario (USD)]]+STOCK[[#This Row],[Costo Envío (USD)]]+STOCK[[#This Row],[Comisión 10%]]</f>
        <v>0</v>
      </c>
      <c r="U2078" s="53">
        <f>STOCK[[#This Row],[Costo total]]*1.5</f>
        <v>0</v>
      </c>
      <c r="V2078" s="54"/>
      <c r="W2078" s="76">
        <f>STOCK[[#This Row],[Precio Final]]-STOCK[[#This Row],[Costo total]]</f>
        <v>0</v>
      </c>
      <c r="X2078" s="76">
        <f>STOCK[[#This Row],[Ganancia Unitaria]]*STOCK[[#This Row],[Salidas]]</f>
        <v>0</v>
      </c>
      <c r="Y2078" s="54"/>
      <c r="Z2078" s="119"/>
      <c r="AA2078" s="54"/>
      <c r="AB2078" s="54"/>
      <c r="AC2078" s="54"/>
      <c r="AD2078" s="94"/>
    </row>
    <row r="2079" s="53" customFormat="1" ht="50" customHeight="1" spans="1:30">
      <c r="A2079" s="54"/>
      <c r="B2079" s="112"/>
      <c r="C2079" s="54"/>
      <c r="D2079" s="113"/>
      <c r="E2079" s="117"/>
      <c r="F2079" s="117"/>
      <c r="G2079" s="54"/>
      <c r="H2079" s="54"/>
      <c r="I2079" s="124"/>
      <c r="J2079" s="118"/>
      <c r="K2079" s="78">
        <f>SUMIFS(VENTAS[Cantidad],VENTAS[Código del producto Vendido],STOCK[[#This Row],[Code]])</f>
        <v>0</v>
      </c>
      <c r="L2079" s="78">
        <f>STOCK[[#This Row],[Entradas]]-STOCK[[#This Row],[Salidas]]</f>
        <v>0</v>
      </c>
      <c r="M2079" s="54"/>
      <c r="N2079" s="54">
        <v>0</v>
      </c>
      <c r="O2079" s="76">
        <v>0</v>
      </c>
      <c r="P2079" s="54"/>
      <c r="Q2079" s="76">
        <v>0</v>
      </c>
      <c r="R2079" s="78">
        <v>0</v>
      </c>
      <c r="S2079" s="54"/>
      <c r="T2079" s="54"/>
      <c r="U2079" s="54"/>
      <c r="V2079" s="54"/>
      <c r="W2079" s="54"/>
      <c r="X2079" s="54"/>
      <c r="Y2079" s="54"/>
      <c r="Z2079" s="119"/>
      <c r="AA2079" s="54"/>
      <c r="AB2079" s="54"/>
      <c r="AC2079" s="54"/>
      <c r="AD2079" s="94"/>
    </row>
    <row r="2080" s="53" customFormat="1" ht="50" customHeight="1" spans="1:30">
      <c r="A2080" s="54"/>
      <c r="B2080" s="112"/>
      <c r="C2080" s="54"/>
      <c r="D2080" s="113"/>
      <c r="E2080" s="117"/>
      <c r="F2080" s="117"/>
      <c r="G2080" s="54"/>
      <c r="H2080" s="54"/>
      <c r="I2080" s="124"/>
      <c r="J2080" s="118"/>
      <c r="K2080" s="78">
        <f>SUMIFS(VENTAS[Cantidad],VENTAS[Código del producto Vendido],STOCK[[#This Row],[Code]])</f>
        <v>0</v>
      </c>
      <c r="L2080" s="78">
        <f>STOCK[[#This Row],[Entradas]]-STOCK[[#This Row],[Salidas]]</f>
        <v>0</v>
      </c>
      <c r="M2080" s="54"/>
      <c r="N2080" s="54">
        <v>0</v>
      </c>
      <c r="O2080" s="76">
        <v>0</v>
      </c>
      <c r="P2080" s="54"/>
      <c r="Q2080" s="76">
        <v>0</v>
      </c>
      <c r="R2080" s="78">
        <v>0</v>
      </c>
      <c r="S2080" s="54"/>
      <c r="T2080" s="54"/>
      <c r="U2080" s="54"/>
      <c r="V2080" s="54"/>
      <c r="W2080" s="54"/>
      <c r="X2080" s="54"/>
      <c r="Y2080" s="54"/>
      <c r="Z2080" s="119"/>
      <c r="AA2080" s="54"/>
      <c r="AB2080" s="54"/>
      <c r="AC2080" s="54"/>
      <c r="AD2080" s="94"/>
    </row>
    <row r="2081" s="53" customFormat="1" ht="50" customHeight="1" spans="1:30">
      <c r="A2081" s="54"/>
      <c r="B2081" s="112"/>
      <c r="C2081" s="54"/>
      <c r="D2081" s="113"/>
      <c r="E2081" s="117"/>
      <c r="F2081" s="117"/>
      <c r="G2081" s="54"/>
      <c r="H2081" s="54"/>
      <c r="I2081" s="124"/>
      <c r="J2081" s="118"/>
      <c r="K2081" s="78">
        <f>SUMIFS(VENTAS[Cantidad],VENTAS[Código del producto Vendido],STOCK[[#This Row],[Code]])</f>
        <v>0</v>
      </c>
      <c r="L2081" s="78">
        <f>STOCK[[#This Row],[Entradas]]-STOCK[[#This Row],[Salidas]]</f>
        <v>0</v>
      </c>
      <c r="M2081" s="54"/>
      <c r="N2081" s="54">
        <v>0</v>
      </c>
      <c r="O2081" s="76">
        <v>0</v>
      </c>
      <c r="P2081" s="54"/>
      <c r="Q2081" s="54"/>
      <c r="R2081" s="71"/>
      <c r="S2081" s="54"/>
      <c r="T2081" s="54"/>
      <c r="U2081" s="54"/>
      <c r="V2081" s="54"/>
      <c r="W2081" s="54"/>
      <c r="X2081" s="54"/>
      <c r="Y2081" s="54"/>
      <c r="Z2081" s="119"/>
      <c r="AA2081" s="54"/>
      <c r="AB2081" s="54"/>
      <c r="AC2081" s="54"/>
      <c r="AD2081" s="94"/>
    </row>
    <row r="2082" s="53" customFormat="1" ht="50" customHeight="1" spans="1:30">
      <c r="A2082" s="54"/>
      <c r="B2082" s="112"/>
      <c r="C2082" s="54"/>
      <c r="D2082" s="113"/>
      <c r="E2082" s="117"/>
      <c r="F2082" s="117"/>
      <c r="G2082" s="54"/>
      <c r="H2082" s="54"/>
      <c r="I2082" s="124"/>
      <c r="J2082" s="118"/>
      <c r="K2082" s="78">
        <f>SUMIFS(VENTAS[Cantidad],VENTAS[Código del producto Vendido],STOCK[[#This Row],[Code]])</f>
        <v>0</v>
      </c>
      <c r="L2082" s="78">
        <f>STOCK[[#This Row],[Entradas]]-STOCK[[#This Row],[Salidas]]</f>
        <v>0</v>
      </c>
      <c r="M2082" s="54"/>
      <c r="N2082" s="54">
        <v>0</v>
      </c>
      <c r="O2082" s="76">
        <v>0</v>
      </c>
      <c r="P2082" s="54"/>
      <c r="Q2082" s="54"/>
      <c r="R2082" s="71"/>
      <c r="S2082" s="54"/>
      <c r="T2082" s="54"/>
      <c r="U2082" s="54"/>
      <c r="V2082" s="54"/>
      <c r="W2082" s="54"/>
      <c r="X2082" s="54"/>
      <c r="Y2082" s="54"/>
      <c r="Z2082" s="119"/>
      <c r="AA2082" s="54"/>
      <c r="AB2082" s="54"/>
      <c r="AC2082" s="54"/>
      <c r="AD2082" s="94"/>
    </row>
    <row r="2083" s="53" customFormat="1" ht="50" customHeight="1" spans="1:30">
      <c r="A2083" s="54"/>
      <c r="B2083" s="112"/>
      <c r="C2083" s="54"/>
      <c r="D2083" s="113"/>
      <c r="E2083" s="117"/>
      <c r="F2083" s="117"/>
      <c r="G2083" s="54"/>
      <c r="H2083" s="54"/>
      <c r="I2083" s="124"/>
      <c r="J2083" s="118"/>
      <c r="K2083" s="78">
        <f>SUMIFS(VENTAS[Cantidad],VENTAS[Código del producto Vendido],STOCK[[#This Row],[Code]])</f>
        <v>0</v>
      </c>
      <c r="L2083" s="78">
        <f>STOCK[[#This Row],[Entradas]]-STOCK[[#This Row],[Salidas]]</f>
        <v>0</v>
      </c>
      <c r="M2083" s="54"/>
      <c r="N2083" s="54">
        <v>0</v>
      </c>
      <c r="O2083" s="76">
        <v>0</v>
      </c>
      <c r="P2083" s="54"/>
      <c r="Q2083" s="54"/>
      <c r="R2083" s="71"/>
      <c r="S2083" s="54"/>
      <c r="T2083" s="54"/>
      <c r="U2083" s="54"/>
      <c r="V2083" s="54"/>
      <c r="W2083" s="54"/>
      <c r="X2083" s="54"/>
      <c r="Y2083" s="54"/>
      <c r="Z2083" s="119"/>
      <c r="AA2083" s="54"/>
      <c r="AB2083" s="54"/>
      <c r="AC2083" s="54"/>
      <c r="AD2083" s="94"/>
    </row>
    <row r="2084" s="53" customFormat="1" ht="50" customHeight="1" spans="1:30">
      <c r="A2084" s="54"/>
      <c r="B2084" s="112"/>
      <c r="C2084" s="54"/>
      <c r="D2084" s="113"/>
      <c r="E2084" s="117"/>
      <c r="F2084" s="117"/>
      <c r="G2084" s="54"/>
      <c r="H2084" s="54"/>
      <c r="I2084" s="124"/>
      <c r="J2084" s="118"/>
      <c r="K2084" s="78">
        <f>SUMIFS(VENTAS[Cantidad],VENTAS[Código del producto Vendido],STOCK[[#This Row],[Code]])</f>
        <v>0</v>
      </c>
      <c r="L2084" s="78">
        <f>STOCK[[#This Row],[Entradas]]-STOCK[[#This Row],[Salidas]]</f>
        <v>0</v>
      </c>
      <c r="M2084" s="54"/>
      <c r="N2084" s="54">
        <v>0</v>
      </c>
      <c r="O2084" s="76">
        <v>0</v>
      </c>
      <c r="P2084" s="54"/>
      <c r="Q2084" s="54"/>
      <c r="R2084" s="71"/>
      <c r="S2084" s="54"/>
      <c r="T2084" s="54"/>
      <c r="U2084" s="54"/>
      <c r="V2084" s="54"/>
      <c r="W2084" s="54"/>
      <c r="X2084" s="54"/>
      <c r="Y2084" s="54"/>
      <c r="Z2084" s="119"/>
      <c r="AA2084" s="54"/>
      <c r="AB2084" s="54"/>
      <c r="AC2084" s="54"/>
      <c r="AD2084" s="94"/>
    </row>
    <row r="2085" s="53" customFormat="1" ht="50" customHeight="1" spans="1:30">
      <c r="A2085" s="54"/>
      <c r="B2085" s="112"/>
      <c r="C2085" s="54"/>
      <c r="D2085" s="113"/>
      <c r="E2085" s="117"/>
      <c r="F2085" s="117"/>
      <c r="G2085" s="54"/>
      <c r="H2085" s="54"/>
      <c r="I2085" s="124"/>
      <c r="J2085" s="118"/>
      <c r="K2085" s="78">
        <f>SUMIFS(VENTAS[Cantidad],VENTAS[Código del producto Vendido],STOCK[[#This Row],[Code]])</f>
        <v>0</v>
      </c>
      <c r="L2085" s="78">
        <f>STOCK[[#This Row],[Entradas]]-STOCK[[#This Row],[Salidas]]</f>
        <v>0</v>
      </c>
      <c r="M2085" s="54"/>
      <c r="N2085" s="54">
        <v>0</v>
      </c>
      <c r="O2085" s="76">
        <v>0</v>
      </c>
      <c r="P2085" s="54"/>
      <c r="Q2085" s="54"/>
      <c r="R2085" s="71"/>
      <c r="S2085" s="54"/>
      <c r="T2085" s="54"/>
      <c r="U2085" s="54"/>
      <c r="V2085" s="54"/>
      <c r="W2085" s="54"/>
      <c r="X2085" s="54"/>
      <c r="Y2085" s="54"/>
      <c r="Z2085" s="119"/>
      <c r="AA2085" s="54"/>
      <c r="AB2085" s="54"/>
      <c r="AC2085" s="54"/>
      <c r="AD2085" s="94"/>
    </row>
    <row r="2086" s="53" customFormat="1" ht="50" customHeight="1" spans="1:30">
      <c r="A2086" s="54"/>
      <c r="B2086" s="112"/>
      <c r="C2086" s="54"/>
      <c r="D2086" s="113"/>
      <c r="E2086" s="117"/>
      <c r="F2086" s="117"/>
      <c r="G2086" s="54"/>
      <c r="H2086" s="54"/>
      <c r="I2086" s="124"/>
      <c r="J2086" s="118"/>
      <c r="K2086" s="78">
        <f>SUMIFS(VENTAS[Cantidad],VENTAS[Código del producto Vendido],STOCK[[#This Row],[Code]])</f>
        <v>0</v>
      </c>
      <c r="L2086" s="78">
        <f>STOCK[[#This Row],[Entradas]]-STOCK[[#This Row],[Salidas]]</f>
        <v>0</v>
      </c>
      <c r="M2086" s="54"/>
      <c r="N2086" s="54">
        <v>0</v>
      </c>
      <c r="O2086" s="76">
        <v>0</v>
      </c>
      <c r="P2086" s="54"/>
      <c r="Q2086" s="54"/>
      <c r="R2086" s="71"/>
      <c r="S2086" s="54"/>
      <c r="T2086" s="54"/>
      <c r="U2086" s="54"/>
      <c r="V2086" s="54"/>
      <c r="W2086" s="54"/>
      <c r="X2086" s="54"/>
      <c r="Y2086" s="54"/>
      <c r="Z2086" s="119"/>
      <c r="AA2086" s="54"/>
      <c r="AB2086" s="54"/>
      <c r="AC2086" s="54"/>
      <c r="AD2086" s="94"/>
    </row>
    <row r="2087" s="53" customFormat="1" ht="50" customHeight="1" spans="1:30">
      <c r="A2087" s="54"/>
      <c r="B2087" s="112"/>
      <c r="C2087" s="54"/>
      <c r="D2087" s="113"/>
      <c r="E2087" s="117"/>
      <c r="F2087" s="117"/>
      <c r="G2087" s="54"/>
      <c r="H2087" s="54"/>
      <c r="I2087" s="124"/>
      <c r="J2087" s="118"/>
      <c r="K2087" s="78">
        <f>SUMIFS(VENTAS[Cantidad],VENTAS[Código del producto Vendido],STOCK[[#This Row],[Code]])</f>
        <v>0</v>
      </c>
      <c r="L2087" s="78">
        <f>STOCK[[#This Row],[Entradas]]-STOCK[[#This Row],[Salidas]]</f>
        <v>0</v>
      </c>
      <c r="M2087" s="54"/>
      <c r="N2087" s="54"/>
      <c r="O2087" s="54"/>
      <c r="P2087" s="54"/>
      <c r="Q2087" s="54"/>
      <c r="R2087" s="71"/>
      <c r="S2087" s="54"/>
      <c r="T2087" s="54"/>
      <c r="U2087" s="54"/>
      <c r="V2087" s="54"/>
      <c r="W2087" s="54"/>
      <c r="X2087" s="54"/>
      <c r="Y2087" s="54"/>
      <c r="Z2087" s="119"/>
      <c r="AA2087" s="54"/>
      <c r="AB2087" s="54"/>
      <c r="AC2087" s="54"/>
      <c r="AD2087" s="94"/>
    </row>
    <row r="2088" s="53" customFormat="1" ht="50" customHeight="1" spans="1:30">
      <c r="A2088" s="54"/>
      <c r="B2088" s="112"/>
      <c r="C2088" s="54"/>
      <c r="D2088" s="113"/>
      <c r="E2088" s="117"/>
      <c r="F2088" s="117"/>
      <c r="G2088" s="54"/>
      <c r="H2088" s="54"/>
      <c r="I2088" s="124"/>
      <c r="J2088" s="118"/>
      <c r="K2088" s="78">
        <f>SUMIFS(VENTAS[Cantidad],VENTAS[Código del producto Vendido],STOCK[[#This Row],[Code]])</f>
        <v>0</v>
      </c>
      <c r="L2088" s="78">
        <f>STOCK[[#This Row],[Entradas]]-STOCK[[#This Row],[Salidas]]</f>
        <v>0</v>
      </c>
      <c r="M2088" s="54"/>
      <c r="N2088" s="54"/>
      <c r="O2088" s="54"/>
      <c r="P2088" s="54"/>
      <c r="Q2088" s="54"/>
      <c r="R2088" s="71"/>
      <c r="S2088" s="54"/>
      <c r="T2088" s="54"/>
      <c r="U2088" s="54"/>
      <c r="V2088" s="54"/>
      <c r="W2088" s="54"/>
      <c r="X2088" s="54"/>
      <c r="Y2088" s="54"/>
      <c r="Z2088" s="119"/>
      <c r="AA2088" s="54"/>
      <c r="AB2088" s="54"/>
      <c r="AC2088" s="54"/>
      <c r="AD2088" s="94"/>
    </row>
    <row r="2089" s="53" customFormat="1" ht="50" customHeight="1" spans="1:30">
      <c r="A2089" s="54"/>
      <c r="B2089" s="112"/>
      <c r="C2089" s="54"/>
      <c r="D2089" s="113"/>
      <c r="E2089" s="117"/>
      <c r="F2089" s="117"/>
      <c r="G2089" s="54"/>
      <c r="H2089" s="54"/>
      <c r="I2089" s="124"/>
      <c r="J2089" s="118"/>
      <c r="K2089" s="78">
        <f>SUMIFS(VENTAS[Cantidad],VENTAS[Código del producto Vendido],STOCK[[#This Row],[Code]])</f>
        <v>0</v>
      </c>
      <c r="L2089" s="78">
        <f>STOCK[[#This Row],[Entradas]]-STOCK[[#This Row],[Salidas]]</f>
        <v>0</v>
      </c>
      <c r="M2089" s="54"/>
      <c r="N2089" s="54"/>
      <c r="O2089" s="54"/>
      <c r="P2089" s="54"/>
      <c r="Q2089" s="54"/>
      <c r="R2089" s="71"/>
      <c r="S2089" s="54"/>
      <c r="T2089" s="54"/>
      <c r="U2089" s="54"/>
      <c r="V2089" s="54"/>
      <c r="W2089" s="54"/>
      <c r="X2089" s="54"/>
      <c r="Y2089" s="54"/>
      <c r="Z2089" s="119"/>
      <c r="AA2089" s="54"/>
      <c r="AB2089" s="54"/>
      <c r="AC2089" s="54"/>
      <c r="AD2089" s="94"/>
    </row>
    <row r="2090" s="53" customFormat="1" ht="50" customHeight="1" spans="1:30">
      <c r="A2090" s="54"/>
      <c r="B2090" s="112"/>
      <c r="C2090" s="54"/>
      <c r="D2090" s="113"/>
      <c r="E2090" s="117"/>
      <c r="F2090" s="117"/>
      <c r="G2090" s="54"/>
      <c r="H2090" s="54"/>
      <c r="I2090" s="124"/>
      <c r="J2090" s="118"/>
      <c r="K2090" s="71"/>
      <c r="L2090" s="71"/>
      <c r="M2090" s="54"/>
      <c r="N2090" s="54"/>
      <c r="O2090" s="54"/>
      <c r="P2090" s="54"/>
      <c r="Q2090" s="54"/>
      <c r="R2090" s="71"/>
      <c r="S2090" s="54"/>
      <c r="T2090" s="54"/>
      <c r="U2090" s="54"/>
      <c r="V2090" s="54"/>
      <c r="W2090" s="54"/>
      <c r="X2090" s="54"/>
      <c r="Y2090" s="54"/>
      <c r="Z2090" s="119"/>
      <c r="AA2090" s="54"/>
      <c r="AB2090" s="54"/>
      <c r="AC2090" s="54"/>
      <c r="AD2090" s="94"/>
    </row>
    <row r="2091" s="53" customFormat="1" ht="50" customHeight="1" spans="1:30">
      <c r="A2091" s="54"/>
      <c r="B2091" s="112"/>
      <c r="C2091" s="54"/>
      <c r="D2091" s="113"/>
      <c r="E2091" s="117"/>
      <c r="F2091" s="117"/>
      <c r="G2091" s="54"/>
      <c r="H2091" s="54"/>
      <c r="I2091" s="124"/>
      <c r="J2091" s="118"/>
      <c r="K2091" s="71"/>
      <c r="L2091" s="71"/>
      <c r="M2091" s="54"/>
      <c r="N2091" s="54"/>
      <c r="O2091" s="54"/>
      <c r="P2091" s="54"/>
      <c r="Q2091" s="54"/>
      <c r="R2091" s="71"/>
      <c r="S2091" s="54"/>
      <c r="T2091" s="54"/>
      <c r="U2091" s="54"/>
      <c r="V2091" s="54"/>
      <c r="W2091" s="54"/>
      <c r="X2091" s="54"/>
      <c r="Y2091" s="54"/>
      <c r="Z2091" s="119"/>
      <c r="AA2091" s="54"/>
      <c r="AB2091" s="54"/>
      <c r="AC2091" s="54"/>
      <c r="AD2091" s="94"/>
    </row>
    <row r="2092" s="53" customFormat="1" ht="50" customHeight="1" spans="1:30">
      <c r="A2092" s="54"/>
      <c r="B2092" s="112"/>
      <c r="C2092" s="54"/>
      <c r="D2092" s="113"/>
      <c r="E2092" s="117"/>
      <c r="F2092" s="117"/>
      <c r="G2092" s="54"/>
      <c r="H2092" s="54"/>
      <c r="I2092" s="124"/>
      <c r="J2092" s="118"/>
      <c r="K2092" s="71"/>
      <c r="L2092" s="71"/>
      <c r="M2092" s="54"/>
      <c r="N2092" s="54"/>
      <c r="O2092" s="54"/>
      <c r="P2092" s="54"/>
      <c r="Q2092" s="54"/>
      <c r="R2092" s="71"/>
      <c r="S2092" s="54"/>
      <c r="T2092" s="54"/>
      <c r="U2092" s="54"/>
      <c r="V2092" s="54"/>
      <c r="W2092" s="54"/>
      <c r="X2092" s="54"/>
      <c r="Y2092" s="54"/>
      <c r="Z2092" s="119"/>
      <c r="AA2092" s="54"/>
      <c r="AB2092" s="54"/>
      <c r="AC2092" s="54"/>
      <c r="AD2092" s="94"/>
    </row>
    <row r="2093" s="53" customFormat="1" ht="50" customHeight="1" spans="1:30">
      <c r="A2093" s="54"/>
      <c r="B2093" s="112"/>
      <c r="C2093" s="54"/>
      <c r="D2093" s="113"/>
      <c r="E2093" s="117"/>
      <c r="F2093" s="117"/>
      <c r="G2093" s="54"/>
      <c r="H2093" s="54"/>
      <c r="I2093" s="124"/>
      <c r="J2093" s="118"/>
      <c r="K2093" s="71"/>
      <c r="L2093" s="71"/>
      <c r="M2093" s="54"/>
      <c r="N2093" s="54"/>
      <c r="O2093" s="54"/>
      <c r="P2093" s="54"/>
      <c r="Q2093" s="54"/>
      <c r="R2093" s="71"/>
      <c r="S2093" s="54"/>
      <c r="T2093" s="54"/>
      <c r="U2093" s="54"/>
      <c r="V2093" s="54"/>
      <c r="W2093" s="54"/>
      <c r="X2093" s="54"/>
      <c r="Y2093" s="54"/>
      <c r="Z2093" s="119"/>
      <c r="AA2093" s="54"/>
      <c r="AB2093" s="54"/>
      <c r="AC2093" s="54"/>
      <c r="AD2093" s="94"/>
    </row>
    <row r="2094" s="53" customFormat="1" ht="50" customHeight="1" spans="1:30">
      <c r="A2094" s="54"/>
      <c r="B2094" s="112"/>
      <c r="C2094" s="54"/>
      <c r="D2094" s="113"/>
      <c r="E2094" s="117"/>
      <c r="F2094" s="117"/>
      <c r="G2094" s="54"/>
      <c r="H2094" s="54"/>
      <c r="I2094" s="124"/>
      <c r="J2094" s="118"/>
      <c r="K2094" s="71"/>
      <c r="L2094" s="71"/>
      <c r="M2094" s="54"/>
      <c r="N2094" s="54"/>
      <c r="O2094" s="54"/>
      <c r="P2094" s="54"/>
      <c r="Q2094" s="54"/>
      <c r="R2094" s="71"/>
      <c r="S2094" s="54"/>
      <c r="T2094" s="54"/>
      <c r="U2094" s="54"/>
      <c r="V2094" s="54"/>
      <c r="W2094" s="54"/>
      <c r="X2094" s="54"/>
      <c r="Y2094" s="54"/>
      <c r="Z2094" s="119"/>
      <c r="AA2094" s="54"/>
      <c r="AB2094" s="54"/>
      <c r="AC2094" s="54"/>
      <c r="AD2094" s="94"/>
    </row>
    <row r="2095" s="53" customFormat="1" ht="50" customHeight="1" spans="1:30">
      <c r="A2095" s="54"/>
      <c r="B2095" s="112"/>
      <c r="C2095" s="54"/>
      <c r="D2095" s="113"/>
      <c r="E2095" s="117"/>
      <c r="F2095" s="117"/>
      <c r="G2095" s="54"/>
      <c r="H2095" s="54"/>
      <c r="I2095" s="124"/>
      <c r="J2095" s="118"/>
      <c r="K2095" s="71"/>
      <c r="L2095" s="71"/>
      <c r="M2095" s="54"/>
      <c r="N2095" s="54"/>
      <c r="O2095" s="54"/>
      <c r="P2095" s="54"/>
      <c r="Q2095" s="54"/>
      <c r="R2095" s="71"/>
      <c r="S2095" s="54"/>
      <c r="T2095" s="54"/>
      <c r="U2095" s="54"/>
      <c r="V2095" s="54"/>
      <c r="W2095" s="54"/>
      <c r="X2095" s="54"/>
      <c r="Y2095" s="54"/>
      <c r="Z2095" s="119"/>
      <c r="AA2095" s="54"/>
      <c r="AB2095" s="54"/>
      <c r="AC2095" s="54"/>
      <c r="AD2095" s="94"/>
    </row>
    <row r="2096" s="53" customFormat="1" ht="50" customHeight="1" spans="1:30">
      <c r="A2096" s="54"/>
      <c r="B2096" s="112"/>
      <c r="C2096" s="54"/>
      <c r="D2096" s="113"/>
      <c r="E2096" s="117"/>
      <c r="F2096" s="117"/>
      <c r="G2096" s="54"/>
      <c r="H2096" s="54"/>
      <c r="I2096" s="124"/>
      <c r="J2096" s="118"/>
      <c r="K2096" s="71"/>
      <c r="L2096" s="71"/>
      <c r="M2096" s="54"/>
      <c r="N2096" s="54"/>
      <c r="O2096" s="54"/>
      <c r="P2096" s="54"/>
      <c r="Q2096" s="54"/>
      <c r="R2096" s="71"/>
      <c r="S2096" s="54"/>
      <c r="T2096" s="54"/>
      <c r="U2096" s="54"/>
      <c r="V2096" s="54"/>
      <c r="W2096" s="54"/>
      <c r="X2096" s="54"/>
      <c r="Y2096" s="54"/>
      <c r="Z2096" s="119"/>
      <c r="AA2096" s="54"/>
      <c r="AB2096" s="54"/>
      <c r="AC2096" s="54"/>
      <c r="AD2096" s="94"/>
    </row>
    <row r="2097" s="53" customFormat="1" ht="50" customHeight="1" spans="1:30">
      <c r="A2097" s="54"/>
      <c r="B2097" s="112"/>
      <c r="C2097" s="54"/>
      <c r="D2097" s="113"/>
      <c r="E2097" s="117"/>
      <c r="F2097" s="117"/>
      <c r="G2097" s="54"/>
      <c r="H2097" s="54"/>
      <c r="I2097" s="124"/>
      <c r="J2097" s="118"/>
      <c r="K2097" s="71"/>
      <c r="L2097" s="71"/>
      <c r="M2097" s="54"/>
      <c r="N2097" s="54"/>
      <c r="O2097" s="54"/>
      <c r="P2097" s="54"/>
      <c r="Q2097" s="54"/>
      <c r="R2097" s="71"/>
      <c r="S2097" s="54"/>
      <c r="T2097" s="54"/>
      <c r="U2097" s="54"/>
      <c r="V2097" s="54"/>
      <c r="W2097" s="54"/>
      <c r="X2097" s="54"/>
      <c r="Y2097" s="54"/>
      <c r="Z2097" s="119"/>
      <c r="AA2097" s="54"/>
      <c r="AB2097" s="54"/>
      <c r="AC2097" s="54"/>
      <c r="AD2097" s="94"/>
    </row>
    <row r="2098" s="53" customFormat="1" ht="50" customHeight="1" spans="1:30">
      <c r="A2098" s="54"/>
      <c r="B2098" s="112"/>
      <c r="C2098" s="54"/>
      <c r="D2098" s="113"/>
      <c r="E2098" s="117"/>
      <c r="F2098" s="117"/>
      <c r="G2098" s="54"/>
      <c r="H2098" s="54"/>
      <c r="I2098" s="124"/>
      <c r="J2098" s="118"/>
      <c r="K2098" s="71"/>
      <c r="L2098" s="71"/>
      <c r="M2098" s="54"/>
      <c r="N2098" s="54"/>
      <c r="O2098" s="54"/>
      <c r="P2098" s="54"/>
      <c r="Q2098" s="54"/>
      <c r="R2098" s="71"/>
      <c r="S2098" s="54"/>
      <c r="T2098" s="54"/>
      <c r="U2098" s="54"/>
      <c r="V2098" s="54"/>
      <c r="W2098" s="54"/>
      <c r="X2098" s="54"/>
      <c r="Y2098" s="54"/>
      <c r="Z2098" s="119"/>
      <c r="AA2098" s="54"/>
      <c r="AB2098" s="54"/>
      <c r="AC2098" s="54"/>
      <c r="AD2098" s="94"/>
    </row>
    <row r="2099" s="53" customFormat="1" ht="50" customHeight="1" spans="1:30">
      <c r="A2099" s="54"/>
      <c r="B2099" s="112"/>
      <c r="C2099" s="54"/>
      <c r="D2099" s="113"/>
      <c r="E2099" s="117"/>
      <c r="F2099" s="117"/>
      <c r="G2099" s="54"/>
      <c r="H2099" s="54"/>
      <c r="I2099" s="124"/>
      <c r="J2099" s="118"/>
      <c r="K2099" s="71"/>
      <c r="L2099" s="71"/>
      <c r="M2099" s="54"/>
      <c r="N2099" s="54"/>
      <c r="O2099" s="54"/>
      <c r="P2099" s="54"/>
      <c r="Q2099" s="54"/>
      <c r="R2099" s="71"/>
      <c r="S2099" s="54"/>
      <c r="T2099" s="54"/>
      <c r="U2099" s="54"/>
      <c r="V2099" s="54"/>
      <c r="W2099" s="54"/>
      <c r="X2099" s="54"/>
      <c r="Y2099" s="54"/>
      <c r="Z2099" s="119"/>
      <c r="AA2099" s="54"/>
      <c r="AB2099" s="54"/>
      <c r="AC2099" s="54"/>
      <c r="AD2099" s="94"/>
    </row>
    <row r="2100" s="53" customFormat="1" ht="50" customHeight="1" spans="1:30">
      <c r="A2100" s="54"/>
      <c r="B2100" s="112"/>
      <c r="C2100" s="54"/>
      <c r="D2100" s="113"/>
      <c r="E2100" s="117"/>
      <c r="F2100" s="117"/>
      <c r="G2100" s="54"/>
      <c r="H2100" s="54"/>
      <c r="I2100" s="124"/>
      <c r="J2100" s="118"/>
      <c r="K2100" s="71"/>
      <c r="L2100" s="71"/>
      <c r="M2100" s="54"/>
      <c r="N2100" s="54"/>
      <c r="O2100" s="54"/>
      <c r="P2100" s="54"/>
      <c r="Q2100" s="54"/>
      <c r="R2100" s="71"/>
      <c r="S2100" s="54"/>
      <c r="T2100" s="54"/>
      <c r="U2100" s="54"/>
      <c r="V2100" s="54"/>
      <c r="W2100" s="54"/>
      <c r="X2100" s="54"/>
      <c r="Y2100" s="54"/>
      <c r="Z2100" s="119"/>
      <c r="AA2100" s="54"/>
      <c r="AB2100" s="54"/>
      <c r="AC2100" s="54"/>
      <c r="AD2100" s="94"/>
    </row>
    <row r="2101" s="53" customFormat="1" ht="50" customHeight="1" spans="1:30">
      <c r="A2101" s="54"/>
      <c r="B2101" s="112"/>
      <c r="C2101" s="54"/>
      <c r="D2101" s="113"/>
      <c r="E2101" s="117"/>
      <c r="F2101" s="117"/>
      <c r="G2101" s="54"/>
      <c r="H2101" s="54"/>
      <c r="I2101" s="124"/>
      <c r="J2101" s="118"/>
      <c r="K2101" s="71"/>
      <c r="L2101" s="71"/>
      <c r="M2101" s="54"/>
      <c r="N2101" s="54"/>
      <c r="O2101" s="54"/>
      <c r="P2101" s="54"/>
      <c r="Q2101" s="54"/>
      <c r="R2101" s="71"/>
      <c r="S2101" s="54"/>
      <c r="T2101" s="54"/>
      <c r="U2101" s="54"/>
      <c r="V2101" s="54"/>
      <c r="W2101" s="54"/>
      <c r="X2101" s="54"/>
      <c r="Y2101" s="54"/>
      <c r="Z2101" s="119"/>
      <c r="AA2101" s="54"/>
      <c r="AB2101" s="54"/>
      <c r="AC2101" s="54"/>
      <c r="AD2101" s="94"/>
    </row>
    <row r="2102" s="53" customFormat="1" ht="50" customHeight="1" spans="1:30">
      <c r="A2102" s="54"/>
      <c r="B2102" s="112"/>
      <c r="C2102" s="54"/>
      <c r="D2102" s="113"/>
      <c r="E2102" s="117"/>
      <c r="F2102" s="117"/>
      <c r="G2102" s="54"/>
      <c r="H2102" s="54"/>
      <c r="I2102" s="124"/>
      <c r="J2102" s="118"/>
      <c r="K2102" s="71"/>
      <c r="L2102" s="71"/>
      <c r="M2102" s="54"/>
      <c r="N2102" s="54"/>
      <c r="O2102" s="54"/>
      <c r="P2102" s="54"/>
      <c r="Q2102" s="54"/>
      <c r="R2102" s="71"/>
      <c r="S2102" s="54"/>
      <c r="T2102" s="54"/>
      <c r="U2102" s="54"/>
      <c r="V2102" s="54"/>
      <c r="W2102" s="54"/>
      <c r="X2102" s="54"/>
      <c r="Y2102" s="54"/>
      <c r="Z2102" s="119"/>
      <c r="AA2102" s="54"/>
      <c r="AB2102" s="54"/>
      <c r="AC2102" s="54"/>
      <c r="AD2102" s="94"/>
    </row>
    <row r="2103" s="53" customFormat="1" ht="50" customHeight="1" spans="1:30">
      <c r="A2103" s="54"/>
      <c r="B2103" s="112"/>
      <c r="C2103" s="54"/>
      <c r="D2103" s="113"/>
      <c r="E2103" s="117"/>
      <c r="F2103" s="117"/>
      <c r="G2103" s="54"/>
      <c r="H2103" s="54"/>
      <c r="I2103" s="124"/>
      <c r="J2103" s="118"/>
      <c r="K2103" s="71"/>
      <c r="L2103" s="71"/>
      <c r="M2103" s="54"/>
      <c r="N2103" s="54"/>
      <c r="O2103" s="54"/>
      <c r="P2103" s="54"/>
      <c r="Q2103" s="54"/>
      <c r="R2103" s="71"/>
      <c r="S2103" s="54"/>
      <c r="T2103" s="54"/>
      <c r="U2103" s="54"/>
      <c r="V2103" s="54"/>
      <c r="W2103" s="54"/>
      <c r="X2103" s="54"/>
      <c r="Y2103" s="54"/>
      <c r="Z2103" s="119"/>
      <c r="AA2103" s="54"/>
      <c r="AB2103" s="54"/>
      <c r="AC2103" s="54"/>
      <c r="AD2103" s="94"/>
    </row>
    <row r="2104" s="53" customFormat="1" ht="50" customHeight="1" spans="1:30">
      <c r="A2104" s="54"/>
      <c r="B2104" s="112"/>
      <c r="C2104" s="54"/>
      <c r="D2104" s="113"/>
      <c r="E2104" s="117"/>
      <c r="F2104" s="117"/>
      <c r="G2104" s="54"/>
      <c r="H2104" s="54"/>
      <c r="I2104" s="124"/>
      <c r="J2104" s="118"/>
      <c r="K2104" s="71"/>
      <c r="L2104" s="71"/>
      <c r="M2104" s="54"/>
      <c r="N2104" s="54"/>
      <c r="O2104" s="54"/>
      <c r="P2104" s="54"/>
      <c r="Q2104" s="54"/>
      <c r="R2104" s="71"/>
      <c r="S2104" s="54"/>
      <c r="T2104" s="54"/>
      <c r="U2104" s="54"/>
      <c r="V2104" s="54"/>
      <c r="W2104" s="54"/>
      <c r="X2104" s="54"/>
      <c r="Y2104" s="54"/>
      <c r="Z2104" s="119"/>
      <c r="AA2104" s="54"/>
      <c r="AB2104" s="54"/>
      <c r="AC2104" s="54"/>
      <c r="AD2104" s="94"/>
    </row>
    <row r="2105" s="53" customFormat="1" ht="50" customHeight="1" spans="1:30">
      <c r="A2105" s="54"/>
      <c r="B2105" s="54"/>
      <c r="C2105" s="54"/>
      <c r="D2105" s="54"/>
      <c r="E2105" s="54"/>
      <c r="F2105" s="54"/>
      <c r="G2105" s="54"/>
      <c r="H2105" s="54"/>
      <c r="I2105" s="124"/>
      <c r="J2105" s="71"/>
      <c r="K2105" s="71"/>
      <c r="L2105" s="71"/>
      <c r="M2105" s="54"/>
      <c r="N2105" s="54"/>
      <c r="O2105" s="54"/>
      <c r="P2105" s="54"/>
      <c r="Q2105" s="71"/>
      <c r="R2105" s="54"/>
      <c r="S2105" s="54"/>
      <c r="T2105" s="54"/>
      <c r="U2105" s="54"/>
      <c r="V2105" s="54"/>
      <c r="W2105" s="54"/>
      <c r="X2105" s="54"/>
      <c r="Y2105" s="54"/>
      <c r="Z2105" s="54"/>
      <c r="AA2105" s="54"/>
      <c r="AB2105" s="54"/>
      <c r="AC2105" s="54"/>
      <c r="AD2105" s="82"/>
    </row>
    <row r="2106" s="53" customFormat="1" ht="204" customHeight="1" spans="1:30">
      <c r="A2106" s="120" t="s">
        <v>4030</v>
      </c>
      <c r="B2106" s="121" t="s">
        <v>4031</v>
      </c>
      <c r="C2106" s="121" t="s">
        <v>4031</v>
      </c>
      <c r="D2106" s="120" t="s">
        <v>4030</v>
      </c>
      <c r="E2106" s="122" t="s">
        <v>4030</v>
      </c>
      <c r="F2106" s="120" t="s">
        <v>4030</v>
      </c>
      <c r="G2106" s="123"/>
      <c r="H2106" s="121" t="s">
        <v>4031</v>
      </c>
      <c r="I2106" s="121" t="s">
        <v>4031</v>
      </c>
      <c r="J2106" s="120">
        <v>2</v>
      </c>
      <c r="K2106" s="121" t="s">
        <v>4031</v>
      </c>
      <c r="L2106" s="121" t="s">
        <v>4031</v>
      </c>
      <c r="M2106" s="121" t="s">
        <v>4031</v>
      </c>
      <c r="N2106" s="123"/>
      <c r="O2106" s="123"/>
      <c r="P2106" s="120" t="s">
        <v>4030</v>
      </c>
      <c r="Q2106" s="123"/>
      <c r="R2106" s="123"/>
      <c r="S2106" s="120" t="s">
        <v>4030</v>
      </c>
      <c r="T2106" s="121" t="s">
        <v>4031</v>
      </c>
      <c r="U2106" s="121" t="s">
        <v>4031</v>
      </c>
      <c r="V2106" s="120" t="s">
        <v>4030</v>
      </c>
      <c r="W2106" s="121" t="s">
        <v>4031</v>
      </c>
      <c r="X2106" s="121" t="s">
        <v>4031</v>
      </c>
      <c r="Y2106" s="125"/>
      <c r="Z2106" s="123"/>
      <c r="AA2106" s="121" t="s">
        <v>4031</v>
      </c>
      <c r="AB2106" s="121" t="s">
        <v>4031</v>
      </c>
      <c r="AC2106" s="123"/>
      <c r="AD2106" s="82"/>
    </row>
    <row r="2107" s="55" customFormat="1" ht="50" customHeight="1" spans="1:29">
      <c r="A2107" s="56"/>
      <c r="B2107" s="56"/>
      <c r="C2107" s="56"/>
      <c r="D2107" s="57"/>
      <c r="E2107" s="56"/>
      <c r="F2107" s="59"/>
      <c r="G2107" s="56"/>
      <c r="H2107" s="56"/>
      <c r="I2107" s="56"/>
      <c r="J2107" s="56"/>
      <c r="K2107" s="56"/>
      <c r="L2107" s="56"/>
      <c r="M2107" s="56"/>
      <c r="N2107" s="56"/>
      <c r="O2107" s="60"/>
      <c r="P2107" s="60"/>
      <c r="Q2107" s="56"/>
      <c r="R2107" s="56"/>
      <c r="S2107" s="60"/>
      <c r="T2107" s="60"/>
      <c r="U2107" s="61"/>
      <c r="V2107" s="60"/>
      <c r="W2107" s="60"/>
      <c r="X2107" s="60"/>
      <c r="Y2107" s="62"/>
      <c r="Z2107" s="56"/>
      <c r="AA2107" s="56"/>
      <c r="AB2107" s="56"/>
      <c r="AC2107" s="56"/>
    </row>
    <row r="2108" s="55" customFormat="1" ht="50" customHeight="1" spans="1:29">
      <c r="A2108" s="56"/>
      <c r="B2108" s="56"/>
      <c r="C2108" s="56"/>
      <c r="D2108" s="57"/>
      <c r="E2108" s="56"/>
      <c r="F2108" s="59"/>
      <c r="G2108" s="56"/>
      <c r="H2108" s="56"/>
      <c r="I2108" s="56"/>
      <c r="J2108" s="56"/>
      <c r="K2108" s="56"/>
      <c r="L2108" s="56"/>
      <c r="M2108" s="56"/>
      <c r="N2108" s="56"/>
      <c r="O2108" s="60"/>
      <c r="P2108" s="60"/>
      <c r="Q2108" s="56"/>
      <c r="R2108" s="56"/>
      <c r="S2108" s="60"/>
      <c r="T2108" s="60"/>
      <c r="U2108" s="61"/>
      <c r="V2108" s="60"/>
      <c r="W2108" s="60"/>
      <c r="X2108" s="60"/>
      <c r="Y2108" s="62"/>
      <c r="Z2108" s="56"/>
      <c r="AA2108" s="56"/>
      <c r="AB2108" s="56"/>
      <c r="AC2108" s="56"/>
    </row>
    <row r="2109" s="55" customFormat="1" ht="50" customHeight="1" spans="1:29">
      <c r="A2109" s="56"/>
      <c r="B2109" s="56"/>
      <c r="C2109" s="56"/>
      <c r="D2109" s="57"/>
      <c r="E2109" s="56"/>
      <c r="F2109" s="59"/>
      <c r="G2109" s="56"/>
      <c r="H2109" s="56"/>
      <c r="I2109" s="56"/>
      <c r="J2109" s="56"/>
      <c r="K2109" s="56"/>
      <c r="L2109" s="56"/>
      <c r="M2109" s="56"/>
      <c r="N2109" s="56"/>
      <c r="O2109" s="60"/>
      <c r="P2109" s="60"/>
      <c r="Q2109" s="56"/>
      <c r="R2109" s="56"/>
      <c r="S2109" s="60"/>
      <c r="T2109" s="60"/>
      <c r="U2109" s="61"/>
      <c r="V2109" s="60"/>
      <c r="W2109" s="60"/>
      <c r="X2109" s="60"/>
      <c r="Y2109" s="62"/>
      <c r="Z2109" s="56"/>
      <c r="AA2109" s="56"/>
      <c r="AB2109" s="56"/>
      <c r="AC2109" s="56"/>
    </row>
    <row r="2110" s="56" customFormat="1" ht="13" customHeight="1" spans="4:25">
      <c r="D2110" s="57"/>
      <c r="F2110" s="59"/>
      <c r="O2110" s="60"/>
      <c r="P2110" s="60"/>
      <c r="S2110" s="60"/>
      <c r="T2110" s="60"/>
      <c r="U2110" s="61"/>
      <c r="V2110" s="60"/>
      <c r="W2110" s="60"/>
      <c r="X2110" s="60"/>
      <c r="Y2110" s="62"/>
    </row>
    <row r="2111" s="56" customFormat="1" customHeight="1" spans="4:25">
      <c r="D2111" s="57"/>
      <c r="F2111" s="59"/>
      <c r="O2111" s="60"/>
      <c r="P2111" s="60"/>
      <c r="S2111" s="60"/>
      <c r="T2111" s="60"/>
      <c r="U2111" s="61"/>
      <c r="V2111" s="60"/>
      <c r="W2111" s="60"/>
      <c r="X2111" s="60"/>
      <c r="Y2111"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30:S2015">
    <cfRule type="expression" dxfId="30" priority="2">
      <formula>$L1930=0</formula>
    </cfRule>
    <cfRule type="containsBlanks" dxfId="32" priority="1">
      <formula>LEN(TRIM(S1930))=0</formula>
    </cfRule>
  </conditionalFormatting>
  <conditionalFormatting sqref="A1161:C1161 A1315:J1431 A1432:T1529 E1161:G1161 H2:M1311 H1312:J1314 H1530:I2077 K1312:K1431 K1530:M2022 L1312:M1314 L1315:Z1346 L1347:T1431 N1161:R1161 O1530:O2086 S2:T1314 T1530:T1541 T1542:U2078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78 M2023:M2078 H2105:I2105 K2105:M2105 O2105 T2105:U2105 W2105:AC2105 K2023:L2089">
    <cfRule type="expression" dxfId="30" priority="218">
      <formula>$L2=0</formula>
    </cfRule>
  </conditionalFormatting>
  <conditionalFormatting sqref="L2:M2022 L2023:L2089 M2023:M2078 L2105:M2105">
    <cfRule type="cellIs" dxfId="32" priority="220" operator="lessThan">
      <formula>0</formula>
    </cfRule>
    <cfRule type="cellIs" dxfId="33" priority="221" operator="lessThan">
      <formula>0</formula>
    </cfRule>
  </conditionalFormatting>
  <conditionalFormatting sqref="N2:R2 N1315:R1529 O1530:O2086 O2105">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2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5:B2105">
    <cfRule type="expression" dxfId="30" priority="17">
      <formula>$L1530=0</formula>
    </cfRule>
    <cfRule type="duplicateValues" dxfId="31" priority="18"/>
  </conditionalFormatting>
  <conditionalFormatting sqref="C1530:C1650 C2105">
    <cfRule type="expression" dxfId="30" priority="13">
      <formula>$L1530=0</formula>
    </cfRule>
  </conditionalFormatting>
  <conditionalFormatting sqref="D1530:G1650 D2105:G2105">
    <cfRule type="expression" dxfId="30" priority="14">
      <formula>$L1530=0</formula>
    </cfRule>
  </conditionalFormatting>
  <conditionalFormatting sqref="J1530:J1650 S1530:S1650 V1530:V1650 J2105 S2105 V2105">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5:R2105">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86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5">
    <cfRule type="expression" dxfId="30" priority="10">
      <formula>$L1530=0</formula>
    </cfRule>
    <cfRule type="containsBlanks" dxfId="32" priority="11">
      <formula>LEN(TRIM(N1530))=0</formula>
    </cfRule>
  </conditionalFormatting>
  <conditionalFormatting sqref="A1651:B2104">
    <cfRule type="duplicateValues" dxfId="31" priority="7"/>
  </conditionalFormatting>
  <conditionalFormatting sqref="A1651:G2077 J1651:J2077 P1651:S1929 P1930:R2080 V1651:V2078 Y1651:Z2042 AC1651:AD2042 S2016:S2078 M2079:M2086 Y2043:AD2078 S2079:AD2080 P2081:AD2086 M2087:AD2089 A2078:J2089 A2090:AD2104">
    <cfRule type="expression" dxfId="30" priority="4">
      <formula>$L1651=0</formula>
    </cfRule>
  </conditionalFormatting>
  <conditionalFormatting sqref="P1651:S1929 P1930:R2015 P2016:S2086 N2087:S2104">
    <cfRule type="containsBlanks" dxfId="32" priority="3">
      <formula>LEN(TRIM(N1651))=0</formula>
    </cfRule>
  </conditionalFormatting>
  <conditionalFormatting sqref="M2079:M2089 L2090:M2104">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$A$2:$A$1001489</formula1>
    </dataValidation>
    <dataValidation type="list" showInputMessage="1" showErrorMessage="1" sqref="B1662 B1930 B2030 B1651:B1661 B1663:B1677 B1678:B1689 B1690:B1694 B1695:B1758 B1759:B1845 B1846:B1929 B1931:B2022 B2023:B2029 B2031:B2042 B2043:B2104">
      <formula1>$A$2:$A$999839</formula1>
    </dataValidation>
  </dataValidations>
  <hyperlinks>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Negro"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 ref="E1937"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4032</v>
      </c>
      <c r="B1" s="8"/>
      <c r="C1" s="8"/>
      <c r="D1" s="8"/>
      <c r="E1" s="12"/>
      <c r="G1" s="7" t="s">
        <v>4033</v>
      </c>
      <c r="H1" s="12"/>
      <c r="I1" s="7"/>
      <c r="J1" s="15"/>
      <c r="K1" s="16"/>
    </row>
    <row r="2" s="1" customFormat="1" ht="35" customHeight="1" spans="1:13">
      <c r="A2" s="9" t="s">
        <v>4034</v>
      </c>
      <c r="B2" s="9" t="s">
        <v>4035</v>
      </c>
      <c r="C2" s="9" t="s">
        <v>4036</v>
      </c>
      <c r="D2" s="9" t="s">
        <v>4037</v>
      </c>
      <c r="E2" s="9" t="s">
        <v>4038</v>
      </c>
      <c r="F2" s="9" t="s">
        <v>4039</v>
      </c>
      <c r="G2" s="9" t="s">
        <v>4040</v>
      </c>
      <c r="H2" s="13" t="s">
        <v>4041</v>
      </c>
      <c r="I2" s="13" t="s">
        <v>4042</v>
      </c>
      <c r="J2" s="13" t="s">
        <v>12</v>
      </c>
      <c r="K2" s="13" t="s">
        <v>4043</v>
      </c>
      <c r="L2" s="13" t="s">
        <v>4044</v>
      </c>
      <c r="M2" s="9" t="s">
        <v>4045</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4046</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4047</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4047</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4047</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4047</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4047</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4047</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4047</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4047</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4048</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4047</v>
      </c>
      <c r="C60" s="11"/>
      <c r="D60" s="11"/>
      <c r="E60" s="11" t="s">
        <v>4049</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4047</v>
      </c>
      <c r="C61" s="11"/>
      <c r="D61" s="11"/>
      <c r="E61" s="11" t="s">
        <v>4049</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4047</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4047</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4047</v>
      </c>
      <c r="C64" s="11"/>
      <c r="D64" s="11"/>
      <c r="E64" s="11" t="s">
        <v>4050</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4047</v>
      </c>
      <c r="C65" s="11"/>
      <c r="D65" s="11"/>
      <c r="E65" s="11" t="s">
        <v>4051</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4047</v>
      </c>
      <c r="C66" s="11"/>
      <c r="D66" s="11"/>
      <c r="E66" s="11" t="s">
        <v>4052</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4047</v>
      </c>
      <c r="C67" s="11"/>
      <c r="D67" s="11"/>
      <c r="E67" s="11" t="s">
        <v>4053</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4047</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4047</v>
      </c>
      <c r="C69" s="11"/>
      <c r="D69" s="11"/>
      <c r="E69" s="11" t="s">
        <v>4054</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4047</v>
      </c>
      <c r="C70" s="11"/>
      <c r="D70" s="11"/>
      <c r="E70" s="11" t="s">
        <v>4055</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4047</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4047</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4047</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4047</v>
      </c>
      <c r="C74" s="11"/>
      <c r="D74" s="11"/>
      <c r="E74" s="11" t="s">
        <v>4056</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4047</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4047</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4047</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4047</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4047</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4047</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4047</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4047</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4047</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4047</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4047</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4047</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4047</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4047</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4047</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4047</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4047</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4047</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4047</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4047</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4047</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4047</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4047</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4047</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4047</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4047</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4047</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4047</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4047</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4047</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4047</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4047</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4047</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4047</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4047</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4047</v>
      </c>
      <c r="C111" s="11"/>
      <c r="D111" s="11"/>
      <c r="E111" s="11" t="s">
        <v>4057</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4047</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4047</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4047</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4047</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4047</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4047</v>
      </c>
      <c r="C117" s="11"/>
      <c r="D117" s="11"/>
      <c r="E117" s="11" t="s">
        <v>4058</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4047</v>
      </c>
      <c r="C118" s="11"/>
      <c r="D118" s="11"/>
      <c r="E118" s="11" t="s">
        <v>4059</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4047</v>
      </c>
      <c r="C119" s="11"/>
      <c r="D119" s="11"/>
      <c r="E119" s="11" t="s">
        <v>4060</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4047</v>
      </c>
      <c r="C120" s="11"/>
      <c r="D120" s="11"/>
      <c r="E120" s="11" t="s">
        <v>4061</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4047</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4047</v>
      </c>
      <c r="C122" s="11"/>
      <c r="D122" s="11"/>
      <c r="E122" s="11" t="s">
        <v>4062</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4047</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4047</v>
      </c>
      <c r="C124" s="11"/>
      <c r="D124" s="11"/>
      <c r="E124" s="11" t="s">
        <v>4063</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4047</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4047</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4064</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4065</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4066</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4067</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4068</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4047</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4047</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4069</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4069</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4070</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4071</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4072</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4072</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4073</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4074</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4075</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4076</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4075</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4076</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4076</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4076</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4076</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4076</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4076</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4077</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4077</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4077</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4077</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4077</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4077</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4078</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4078</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4064</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4079</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4079</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4080</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4080</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4071</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4071</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4081</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4082</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4083</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4084</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4085</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4085</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4085</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4085</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4075</v>
      </c>
      <c r="C178" s="11" t="s">
        <v>4076</v>
      </c>
      <c r="D178" s="11"/>
      <c r="E178" s="11" t="s">
        <v>4086</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4087</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4088</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4088</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4088</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4089</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4089</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4089</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4090</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4090</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4091</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4091</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4072</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4092</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4092</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4093</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4094</v>
      </c>
      <c r="C194" s="24" t="s">
        <v>4095</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4096</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4096</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4096</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4096</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4093</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4097</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4098</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4099</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4098</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4098</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4097</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4100</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4101</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4102</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4095</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4103</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4104</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4104</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4105</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4106</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4107</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4108</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4104</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4109</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4109</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4109</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4110</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4110</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4110</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4110</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4111</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4111</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4101</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4112</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4113</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4113</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4113</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4113</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4114</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4115</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4115</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4116</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4116</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4117</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4117</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4118</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4118</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4119</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4119</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4120</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4095</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4095</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4121</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4122</v>
      </c>
      <c r="C304" s="20" t="s">
        <v>4123</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4124</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4125</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4126</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4127</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4127</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4127</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4127</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4127</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4127</v>
      </c>
      <c r="B403" s="11"/>
      <c r="C403" s="11" t="s">
        <v>4128</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4127</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4127</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4127</v>
      </c>
      <c r="B406" s="11"/>
      <c r="C406" s="11" t="s">
        <v>4129</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4127</v>
      </c>
      <c r="B407" s="11"/>
      <c r="C407" s="11" t="s">
        <v>4129</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4127</v>
      </c>
      <c r="B408" s="11"/>
      <c r="C408" s="11" t="s">
        <v>4129</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4127</v>
      </c>
      <c r="B409" s="11"/>
      <c r="C409" s="11" t="s">
        <v>4129</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4127</v>
      </c>
      <c r="B410" s="11"/>
      <c r="C410" s="11" t="s">
        <v>4130</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4127</v>
      </c>
      <c r="B411" s="11"/>
      <c r="C411" s="11" t="s">
        <v>4130</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4127</v>
      </c>
      <c r="B412" s="11"/>
      <c r="C412" s="11" t="s">
        <v>4130</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4127</v>
      </c>
      <c r="B413" s="11"/>
      <c r="C413" s="11" t="s">
        <v>4130</v>
      </c>
      <c r="D413" s="11"/>
      <c r="E413" s="11" t="s">
        <v>4131</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4127</v>
      </c>
      <c r="B414" s="11"/>
      <c r="C414" s="11" t="s">
        <v>4130</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4127</v>
      </c>
      <c r="B415" s="11"/>
      <c r="C415" s="11" t="s">
        <v>4130</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4127</v>
      </c>
      <c r="B416" s="11"/>
      <c r="C416" s="11" t="s">
        <v>4132</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4133</v>
      </c>
      <c r="B417" s="11"/>
      <c r="C417" s="11" t="s">
        <v>4132</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4133</v>
      </c>
      <c r="B418" s="11"/>
      <c r="C418" s="11" t="s">
        <v>4130</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4133</v>
      </c>
      <c r="B419" s="11"/>
      <c r="C419" s="11" t="s">
        <v>4094</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4133</v>
      </c>
      <c r="B420" s="11"/>
      <c r="C420" s="11" t="s">
        <v>4094</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4133</v>
      </c>
      <c r="B421" s="11"/>
      <c r="C421" s="11" t="s">
        <v>4130</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4133</v>
      </c>
      <c r="B422" s="11"/>
      <c r="C422" s="11" t="s">
        <v>4094</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4133</v>
      </c>
      <c r="B423" s="11"/>
      <c r="C423" s="11" t="s">
        <v>4095</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4133</v>
      </c>
      <c r="B424" s="11"/>
      <c r="C424" s="11" t="s">
        <v>4130</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4133</v>
      </c>
      <c r="B425" s="11"/>
      <c r="C425" s="11" t="s">
        <v>4130</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4133</v>
      </c>
      <c r="B426" s="11"/>
      <c r="C426" s="11" t="s">
        <v>4130</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4133</v>
      </c>
      <c r="B427" s="11"/>
      <c r="C427" s="11" t="s">
        <v>4130</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4134</v>
      </c>
      <c r="B428" s="11"/>
      <c r="C428" s="11" t="s">
        <v>4135</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4134</v>
      </c>
      <c r="B429" s="11"/>
      <c r="C429" s="11" t="s">
        <v>4135</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4136</v>
      </c>
      <c r="B430" s="11"/>
      <c r="C430" s="11" t="s">
        <v>4094</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4137</v>
      </c>
      <c r="B431" s="11"/>
      <c r="C431" s="11" t="s">
        <v>4138</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4137</v>
      </c>
      <c r="B432" s="11"/>
      <c r="C432" s="11" t="s">
        <v>4139</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4137</v>
      </c>
      <c r="B433" s="11"/>
      <c r="C433" s="11" t="s">
        <v>4140</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4137</v>
      </c>
      <c r="B434" s="11"/>
      <c r="C434" s="11" t="s">
        <v>4140</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4137</v>
      </c>
      <c r="B435" s="11"/>
      <c r="C435" s="11" t="s">
        <v>4140</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4137</v>
      </c>
      <c r="B436" s="11"/>
      <c r="C436" s="11" t="s">
        <v>4140</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4137</v>
      </c>
      <c r="B437" s="11"/>
      <c r="C437" s="11" t="s">
        <v>4094</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4137</v>
      </c>
      <c r="B438" s="11"/>
      <c r="C438" s="11" t="s">
        <v>4094</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4137</v>
      </c>
      <c r="B439" s="11"/>
      <c r="C439" s="11" t="s">
        <v>4094</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4137</v>
      </c>
      <c r="B440" s="11"/>
      <c r="C440" s="11" t="s">
        <v>4094</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4137</v>
      </c>
      <c r="B441" s="11"/>
      <c r="C441" s="11" t="s">
        <v>4094</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4137</v>
      </c>
      <c r="B442" s="11"/>
      <c r="C442" s="11" t="s">
        <v>4094</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4137</v>
      </c>
      <c r="B443" s="11"/>
      <c r="C443" s="11" t="s">
        <v>4094</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4137</v>
      </c>
      <c r="B444" s="11"/>
      <c r="C444" s="11" t="s">
        <v>4094</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4137</v>
      </c>
      <c r="B445" s="11"/>
      <c r="C445" s="11" t="s">
        <v>4094</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4137</v>
      </c>
      <c r="B446" s="11"/>
      <c r="C446" s="11" t="s">
        <v>4141</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4137</v>
      </c>
      <c r="B447" s="11"/>
      <c r="C447" s="11" t="s">
        <v>4142</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4137</v>
      </c>
      <c r="B448" s="11"/>
      <c r="C448" s="11" t="s">
        <v>4142</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4137</v>
      </c>
      <c r="B449" s="11"/>
      <c r="C449" s="11" t="s">
        <v>4139</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4137</v>
      </c>
      <c r="B450" s="11"/>
      <c r="C450" s="11" t="s">
        <v>4143</v>
      </c>
      <c r="D450" s="11"/>
      <c r="E450" s="11" t="s">
        <v>4144</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4137</v>
      </c>
      <c r="B451" s="11"/>
      <c r="C451" s="11" t="s">
        <v>4145</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4137</v>
      </c>
      <c r="B452" s="11"/>
      <c r="C452" s="11" t="s">
        <v>4138</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4137</v>
      </c>
      <c r="B453" s="11"/>
      <c r="C453" s="11" t="s">
        <v>4146</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4137</v>
      </c>
      <c r="B454" s="11"/>
      <c r="C454" s="11" t="s">
        <v>4146</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4139</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4147</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4148</v>
      </c>
      <c r="B458" s="11"/>
      <c r="C458" s="11" t="s">
        <v>4149</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4148</v>
      </c>
      <c r="B459" s="11"/>
      <c r="C459" s="11" t="s">
        <v>4150</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4148</v>
      </c>
      <c r="B460" s="11"/>
      <c r="C460" s="11" t="s">
        <v>4150</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4151</v>
      </c>
      <c r="B461" s="11"/>
      <c r="C461" s="11" t="s">
        <v>4152</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4151</v>
      </c>
      <c r="B462" s="11"/>
      <c r="C462" s="11" t="s">
        <v>4153</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4154</v>
      </c>
      <c r="B463" s="11"/>
      <c r="C463" s="11" t="s">
        <v>4155</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4154</v>
      </c>
      <c r="B464" s="11" t="s">
        <v>4156</v>
      </c>
      <c r="C464" s="11" t="s">
        <v>4077</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4154</v>
      </c>
      <c r="B465" s="11" t="s">
        <v>4156</v>
      </c>
      <c r="C465" s="11" t="s">
        <v>4077</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4154</v>
      </c>
      <c r="B466" s="11"/>
      <c r="C466" s="11" t="s">
        <v>4157</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4154</v>
      </c>
      <c r="B467" s="11" t="s">
        <v>4158</v>
      </c>
      <c r="C467" s="11" t="s">
        <v>4159</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4154</v>
      </c>
      <c r="B468" s="11"/>
      <c r="C468" s="11" t="s">
        <v>4159</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4154</v>
      </c>
      <c r="B469" s="11"/>
      <c r="C469" s="11" t="s">
        <v>4159</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4154</v>
      </c>
      <c r="B470" s="11"/>
      <c r="C470" s="11" t="s">
        <v>4160</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4154</v>
      </c>
      <c r="B471" s="11"/>
      <c r="C471" s="11" t="s">
        <v>4161</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4162</v>
      </c>
      <c r="B472" s="11"/>
      <c r="C472" s="11" t="s">
        <v>4163</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4162</v>
      </c>
      <c r="B473" s="11"/>
      <c r="C473" s="11" t="s">
        <v>4164</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4162</v>
      </c>
      <c r="B474" s="11"/>
      <c r="C474" s="11" t="s">
        <v>4164</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4165</v>
      </c>
      <c r="B475" s="11"/>
      <c r="C475" s="11" t="s">
        <v>4166</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4165</v>
      </c>
      <c r="B476" s="11"/>
      <c r="C476" s="11" t="s">
        <v>4166</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4165</v>
      </c>
      <c r="B477" s="11"/>
      <c r="C477" s="11" t="s">
        <v>4091</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4165</v>
      </c>
      <c r="B478" s="11"/>
      <c r="C478" s="11" t="s">
        <v>4164</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4165</v>
      </c>
      <c r="B479" s="11"/>
      <c r="C479" s="11" t="s">
        <v>4167</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4168</v>
      </c>
      <c r="B480" s="11"/>
      <c r="C480" s="11" t="s">
        <v>4169</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4168</v>
      </c>
      <c r="B481" s="11"/>
      <c r="C481" s="11" t="s">
        <v>4170</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4168</v>
      </c>
      <c r="B482" s="11"/>
      <c r="C482" s="11" t="s">
        <v>4075</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4168</v>
      </c>
      <c r="B483" s="11"/>
      <c r="C483" s="11" t="s">
        <v>4171</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4168</v>
      </c>
      <c r="B484" s="11"/>
      <c r="C484" s="11" t="s">
        <v>4164</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4168</v>
      </c>
      <c r="B485" s="11"/>
      <c r="C485" s="11" t="s">
        <v>4172</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4168</v>
      </c>
      <c r="B486" s="11"/>
      <c r="C486" s="11" t="s">
        <v>4173</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4168</v>
      </c>
      <c r="B487" s="11"/>
      <c r="C487" s="11" t="s">
        <v>4173</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4168</v>
      </c>
      <c r="B488" s="11"/>
      <c r="C488" s="11" t="s">
        <v>4173</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4174</v>
      </c>
      <c r="B489" s="11"/>
      <c r="C489" s="11" t="s">
        <v>4073</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4174</v>
      </c>
      <c r="B490" s="11"/>
      <c r="C490" s="11" t="s">
        <v>4175</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4174</v>
      </c>
      <c r="B491" s="11"/>
      <c r="C491" s="11" t="s">
        <v>4176</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4177</v>
      </c>
      <c r="B492" s="11"/>
      <c r="C492" s="11" t="s">
        <v>4178</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4177</v>
      </c>
      <c r="B493" s="11"/>
      <c r="C493" s="11" t="s">
        <v>4178</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4177</v>
      </c>
      <c r="B494" s="11"/>
      <c r="C494" s="11" t="s">
        <v>4178</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4177</v>
      </c>
      <c r="B495" s="11"/>
      <c r="C495" s="11" t="s">
        <v>4178</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4179</v>
      </c>
      <c r="B496" s="11"/>
      <c r="C496" s="11" t="s">
        <v>4146</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4179</v>
      </c>
      <c r="B497" s="11"/>
      <c r="C497" s="11" t="s">
        <v>4146</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4179</v>
      </c>
      <c r="B498" s="11"/>
      <c r="C498" s="11" t="s">
        <v>4180</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4179</v>
      </c>
      <c r="B499" s="11"/>
      <c r="C499" s="11" t="s">
        <v>4180</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4181</v>
      </c>
      <c r="B500" s="11"/>
      <c r="C500" s="11" t="s">
        <v>4182</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4183</v>
      </c>
      <c r="B501" s="11"/>
      <c r="C501" s="11" t="s">
        <v>4184</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4183</v>
      </c>
      <c r="B502" s="11"/>
      <c r="C502" s="11" t="s">
        <v>4185</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4183</v>
      </c>
      <c r="B503" s="11"/>
      <c r="C503" s="11" t="s">
        <v>4186</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4187</v>
      </c>
      <c r="B504" s="11"/>
      <c r="C504" s="11" t="s">
        <v>4164</v>
      </c>
      <c r="D504" s="11"/>
      <c r="E504" s="11" t="s">
        <v>4188</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4187</v>
      </c>
      <c r="B505" s="11"/>
      <c r="C505" s="11" t="s">
        <v>4164</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4187</v>
      </c>
      <c r="B506" s="11"/>
      <c r="C506" s="11" t="s">
        <v>4102</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4187</v>
      </c>
      <c r="B507" s="11"/>
      <c r="C507" s="11" t="s">
        <v>4102</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4187</v>
      </c>
      <c r="B508" s="11"/>
      <c r="C508" s="11" t="s">
        <v>4102</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4189</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4189</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4189</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4190</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4150</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4191</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4100</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4192</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4164</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4141</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4095</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4095</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4193</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4193</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4194</v>
      </c>
      <c r="C523" s="11" t="s">
        <v>4193</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4193</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4195</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4196</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4196</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4197</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4198</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4198</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4198</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4198</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4198</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4198</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4198</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4198</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4199</v>
      </c>
      <c r="D537" s="11" t="s">
        <v>4200</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4198</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4198</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4198</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4198</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4198</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4198</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4198</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4198</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4198</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4198</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4198</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4198</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4198</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4198</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4198</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4198</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4198</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4198</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4198</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4198</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4198</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4198</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4198</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4198</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4198</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4198</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4198</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4198</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4198</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4198</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4198</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4198</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4198</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4198</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4198</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4198</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4198</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4198</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4198</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4201</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4202</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4203</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4203</v>
      </c>
      <c r="B612" s="11">
        <f>IFERROR(VLOOKUP(VENTAS[[#This Row],[Código del producto Vendido]],STOCK[],25,FALSE),"-")</f>
        <v>0</v>
      </c>
      <c r="C612" s="11"/>
      <c r="D612" s="11" t="s">
        <v>4204</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4203</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4203</v>
      </c>
      <c r="B614" s="11" t="str">
        <f>IFERROR(VLOOKUP(VENTAS[[#This Row],[Código del producto Vendido]],STOCK[],25,FALSE),"-")</f>
        <v>Yenma 19 Mayo</v>
      </c>
      <c r="C614" s="11"/>
      <c r="D614" s="11" t="s">
        <v>4204</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4203</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4203</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4203</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4203</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4203</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4203</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4203</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4203</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4203</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4203</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4203</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4203</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4203</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4203</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4203</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4203</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4203</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4203</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4203</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4203</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4203</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4203</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4203</v>
      </c>
      <c r="B637" s="11" t="str">
        <f>IFERROR(VLOOKUP(VENTAS[[#This Row],[Código del producto Vendido]],STOCK[],25,FALSE),"-")</f>
        <v>Compra 7/12/2023</v>
      </c>
      <c r="C637" s="11" t="s">
        <v>4205</v>
      </c>
      <c r="D637" s="11" t="s">
        <v>4206</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4203</v>
      </c>
      <c r="B638" s="11" t="str">
        <f>IFERROR(VLOOKUP(VENTAS[[#This Row],[Código del producto Vendido]],STOCK[],25,FALSE),"-")</f>
        <v>Compra 7/12/2023</v>
      </c>
      <c r="C638" s="11"/>
      <c r="D638" s="11" t="s">
        <v>4207</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4203</v>
      </c>
      <c r="B639" s="11" t="str">
        <f>IFERROR(VLOOKUP(VENTAS[[#This Row],[Código del producto Vendido]],STOCK[],25,FALSE),"-")</f>
        <v>Compra 7/12/2023</v>
      </c>
      <c r="C639" s="11"/>
      <c r="D639" s="11" t="s">
        <v>4208</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4203</v>
      </c>
      <c r="B640" s="11" t="str">
        <f>IFERROR(VLOOKUP(VENTAS[[#This Row],[Código del producto Vendido]],STOCK[],25,FALSE),"-")</f>
        <v>Compra 7/12/2023</v>
      </c>
      <c r="C640" s="11"/>
      <c r="D640" s="11" t="s">
        <v>4204</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4203</v>
      </c>
      <c r="B641" s="11" t="str">
        <f>IFERROR(VLOOKUP(VENTAS[[#This Row],[Código del producto Vendido]],STOCK[],25,FALSE),"-")</f>
        <v>-</v>
      </c>
      <c r="C641" s="11"/>
      <c r="D641" s="11" t="s">
        <v>4208</v>
      </c>
      <c r="E641" s="11" t="s">
        <v>4209</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4203</v>
      </c>
      <c r="B642" s="11" t="str">
        <f>IFERROR(VLOOKUP(VENTAS[[#This Row],[Código del producto Vendido]],STOCK[],25,FALSE),"-")</f>
        <v>Compra 7/12/2023</v>
      </c>
      <c r="C642" s="11"/>
      <c r="D642" s="11" t="s">
        <v>4208</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4203</v>
      </c>
      <c r="B643" s="11" t="str">
        <f>IFERROR(VLOOKUP(VENTAS[[#This Row],[Código del producto Vendido]],STOCK[],25,FALSE),"-")</f>
        <v>Recibido Freddy 24Mayo</v>
      </c>
      <c r="C643" s="11"/>
      <c r="D643" s="11" t="s">
        <v>4208</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4203</v>
      </c>
      <c r="B644" s="11" t="str">
        <f>IFERROR(VLOOKUP(VENTAS[[#This Row],[Código del producto Vendido]],STOCK[],25,FALSE),"-")</f>
        <v>Viaje Agosto</v>
      </c>
      <c r="C644" s="11"/>
      <c r="D644" s="11" t="s">
        <v>4208</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4203</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4203</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4203</v>
      </c>
      <c r="B647" s="11" t="str">
        <f>IFERROR(VLOOKUP(VENTAS[[#This Row],[Código del producto Vendido]],STOCK[],25,FALSE),"-")</f>
        <v>Compra 7/12/2023</v>
      </c>
      <c r="C647" s="11"/>
      <c r="D647" s="11" t="s">
        <v>4210</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4203</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4203</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4203</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4203</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4203</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4203</v>
      </c>
      <c r="B653" s="11" t="str">
        <f>IFERROR(VLOOKUP(VENTAS[[#This Row],[Código del producto Vendido]],STOCK[],25,FALSE),"-")</f>
        <v>Compra 7/12/2023</v>
      </c>
      <c r="C653" s="11"/>
      <c r="D653" s="11" t="s">
        <v>4208</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4203</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4203</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4203</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4203</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4203</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4203</v>
      </c>
      <c r="B659" s="11">
        <f>IFERROR(VLOOKUP(VENTAS[[#This Row],[Código del producto Vendido]],STOCK[],25,FALSE),"-")</f>
        <v>0</v>
      </c>
      <c r="C659" s="11"/>
      <c r="D659" s="11" t="s">
        <v>4204</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4203</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4182</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4208</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4117</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4117</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4117</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4117</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4117</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4203</v>
      </c>
      <c r="B672" s="11">
        <f>IFERROR(VLOOKUP(VENTAS[[#This Row],[Código del producto Vendido]],STOCK[],25,FALSE),"-")</f>
        <v>0</v>
      </c>
      <c r="C672" s="11" t="s">
        <v>4211</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4212</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4213</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4213</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4213</v>
      </c>
      <c r="B676" s="11" t="str">
        <f>IFERROR(VLOOKUP(VENTAS[[#This Row],[Código del producto Vendido]],STOCK[],25,FALSE),"-")</f>
        <v>-</v>
      </c>
      <c r="C676" s="11"/>
      <c r="D676" s="11"/>
      <c r="E676" s="11" t="s">
        <v>4214</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4208</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4215</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4198</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4213</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4198</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4213</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4213</v>
      </c>
      <c r="B690" s="11" t="str">
        <f>IFERROR(VLOOKUP(VENTAS[[#This Row],[Código del producto Vendido]],STOCK[],25,FALSE),"-")</f>
        <v>-</v>
      </c>
      <c r="C690" s="11"/>
      <c r="D690" s="11"/>
      <c r="E690" s="11" t="s">
        <v>4202</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4188</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4213</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4213</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4216</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4210</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4182</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4213</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4213</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4213</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4213</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4213</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4213</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4213</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4213</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4216</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4217</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4216</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4210</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4216</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4182</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4217</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4218</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4216</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4208</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4219</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4219</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4217</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4213</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4220</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4070</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4217</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4217</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4210</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4213</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4117</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4117</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4089</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4213</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4221</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4222</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4222</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4222</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4217</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4207</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4223</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4073</v>
      </c>
      <c r="D761" s="11" t="s">
        <v>4182</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4189</v>
      </c>
      <c r="D762" s="11" t="s">
        <v>4182</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4220</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4220</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4117</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4224</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4225</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4217</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4226</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4227</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4226</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4226</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4117</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4117</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4198</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4228</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4228</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4229</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4229</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4229</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4230</v>
      </c>
    </row>
    <row r="790" ht="20" hidden="1" customHeight="1" spans="1:13">
      <c r="A790" s="11"/>
      <c r="B790" s="11"/>
      <c r="C790" s="11" t="s">
        <v>4070</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4229</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4229</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4231</v>
      </c>
    </row>
    <row r="797" ht="20" hidden="1" customHeight="1" spans="1:13">
      <c r="A797" s="10">
        <v>45367</v>
      </c>
      <c r="B797" s="11"/>
      <c r="C797" s="11"/>
      <c r="D797" s="11" t="s">
        <v>4210</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4232</v>
      </c>
      <c r="D798" s="11" t="s">
        <v>4117</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4233</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4228</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4233</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4229</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4229</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4228</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4229</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4229</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4117</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4229</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4229</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4229</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4228</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4229</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4229</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4229</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4213</v>
      </c>
      <c r="B826" s="11"/>
      <c r="C826" s="11" t="s">
        <v>4234</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4213</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4213</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4235</v>
      </c>
      <c r="D830" s="11" t="s">
        <v>4229</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4213</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4213</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4235</v>
      </c>
      <c r="D833" s="11" t="s">
        <v>4229</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4235</v>
      </c>
      <c r="D834" s="11" t="s">
        <v>4229</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4235</v>
      </c>
      <c r="D835" s="11" t="s">
        <v>4229</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4235</v>
      </c>
      <c r="D836" s="11" t="s">
        <v>4229</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4229</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4229</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4213</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4229</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4229</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4229</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4229</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4231</v>
      </c>
    </row>
    <row r="845" ht="20" hidden="1" customHeight="1" spans="1:13">
      <c r="A845" s="10">
        <v>45391</v>
      </c>
      <c r="B845" s="11"/>
      <c r="C845" s="11" t="s">
        <v>4164</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4164</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4236</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4217</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4229</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4229</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4213</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4213</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4213</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4229</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4229</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4237</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4229</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4229</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4229</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4229</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4229</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4229</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4229</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4229</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4229</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4238</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4229</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4229</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4229</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4239</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4239</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4229</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4240</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4229</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4241</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4229</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4229</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4229</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4229</v>
      </c>
      <c r="E886" s="11" t="s">
        <v>4242</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4229</v>
      </c>
      <c r="E887" s="11" t="s">
        <v>4243</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4229</v>
      </c>
      <c r="E888" s="11" t="s">
        <v>4244</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4229</v>
      </c>
      <c r="E889" s="11" t="s">
        <v>4245</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4229</v>
      </c>
      <c r="E890" s="11" t="s">
        <v>4246</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4229</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4229</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4229</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4247</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4229</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4229</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4216</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4229</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4229</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4229</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4248</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4229</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4229</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4229</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4229</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4139</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4249</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4229</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4229</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4229</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4229</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4229</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4250</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4229</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4229</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4229</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4229</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4229</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4229</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4229</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4229</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4229</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4229</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4229</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4229</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4229</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4251</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4216</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4229</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4229</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4117</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4117</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4229</v>
      </c>
      <c r="E938" s="11" t="s">
        <v>4252</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4229</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4229</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4229</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4229</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4229</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4229</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4253</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4071</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4071</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4229</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4229</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4229</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4229</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4229</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4254</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4255</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4229</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4255</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4256</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4091</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4229</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4255</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4257</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4210</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4258</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4229</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4229</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4229</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4229</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4229</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4229</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4229</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4259</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4260</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4260</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4261</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4228</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4254</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4091</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4260</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4228</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4228</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4262</v>
      </c>
      <c r="D990" s="11" t="s">
        <v>4260</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4263</v>
      </c>
      <c r="D991" s="11" t="s">
        <v>4210</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4264</v>
      </c>
      <c r="D992" s="11" t="s">
        <v>4258</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4264</v>
      </c>
      <c r="D993" s="11" t="s">
        <v>4258</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4265</v>
      </c>
      <c r="D994" s="11" t="s">
        <v>4229</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4266</v>
      </c>
      <c r="D995" s="11" t="s">
        <v>4260</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4267</v>
      </c>
      <c r="D996" s="11" t="s">
        <v>4229</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4267</v>
      </c>
      <c r="D997" s="11" t="s">
        <v>4229</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4268</v>
      </c>
      <c r="D998" s="11" t="s">
        <v>4229</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4269</v>
      </c>
      <c r="D999" s="11" t="s">
        <v>4229</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4270</v>
      </c>
      <c r="D1000" s="11" t="s">
        <v>4260</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4271</v>
      </c>
      <c r="D1001" s="11" t="s">
        <v>4117</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4103</v>
      </c>
      <c r="D1002" s="11" t="s">
        <v>4272</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4103</v>
      </c>
      <c r="D1003" s="11" t="s">
        <v>4272</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4103</v>
      </c>
      <c r="D1004" s="11" t="s">
        <v>4272</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4070</v>
      </c>
      <c r="D1005" s="11" t="s">
        <v>4272</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4273</v>
      </c>
      <c r="D1006" s="11" t="s">
        <v>4274</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4275</v>
      </c>
      <c r="D1007" s="11" t="s">
        <v>4200</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4275</v>
      </c>
      <c r="D1008" s="11" t="s">
        <v>4200</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4276</v>
      </c>
      <c r="D1009" s="11" t="s">
        <v>4129</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4277</v>
      </c>
      <c r="D1010" s="11" t="s">
        <v>4260</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4278</v>
      </c>
      <c r="D1011" s="11" t="s">
        <v>4260</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4253</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4279</v>
      </c>
      <c r="D1013" s="11" t="s">
        <v>4091</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4279</v>
      </c>
      <c r="D1014" s="11" t="s">
        <v>4091</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4229</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4229</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4229</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4258</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4229</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4229</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4229</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4229</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4229</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4229</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4229</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4229</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4254</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4229</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4258</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4229</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4229</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4229</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4229</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4229</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4229</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4229</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4229</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4229</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4229</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4070</v>
      </c>
      <c r="D1040" s="11" t="s">
        <v>4254</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4280</v>
      </c>
      <c r="D1041" s="11" t="s">
        <v>4254</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4229</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4229</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4229</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4254</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4254</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4254</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4258</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4258</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4258</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4258</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4258</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4258</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4258</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4258</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4258</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4258</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4258</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4260</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4281</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4282</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4229</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4073</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4283</v>
      </c>
    </row>
    <row r="1064" ht="20" hidden="1" customHeight="1" spans="1:13">
      <c r="A1064" s="10">
        <v>45483</v>
      </c>
      <c r="B1064" s="11"/>
      <c r="C1064" s="11"/>
      <c r="D1064" s="11" t="s">
        <v>4229</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4229</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4229</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4229</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4229</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4229</v>
      </c>
      <c r="E1069" s="11"/>
      <c r="F1069" s="11" t="s">
        <v>4284</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4229</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4229</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4229</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4229</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4229</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4229</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4229</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4254</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4254</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4254</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4254</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4254</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4260</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4260</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4260</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4200</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4258</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4258</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4258</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4258</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4258</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4285</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4207</v>
      </c>
      <c r="C1092" s="11" t="s">
        <v>4286</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4073</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4258</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4260</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4213</v>
      </c>
      <c r="B1096" s="11" t="s">
        <v>4207</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4213</v>
      </c>
      <c r="B1097" s="11" t="s">
        <v>4207</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4229</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4229</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4229</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4207</v>
      </c>
      <c r="C1101" s="11" t="s">
        <v>4286</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4207</v>
      </c>
      <c r="C1102" s="11" t="s">
        <v>4286</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4207</v>
      </c>
      <c r="C1103" s="11" t="s">
        <v>4286</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4229</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4260</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4260</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4286</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4213</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4260</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4274</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4260</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4287</v>
      </c>
      <c r="D1112" s="11" t="s">
        <v>4288</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4287</v>
      </c>
      <c r="D1113" s="11" t="s">
        <v>4288</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4287</v>
      </c>
      <c r="D1114" s="11" t="s">
        <v>4288</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4287</v>
      </c>
      <c r="D1115" s="11" t="s">
        <v>4288</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4286</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4216</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4216</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4216</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4260</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4229</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4229</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4229</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4210</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4210</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4229</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4286</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4229</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4229</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4229</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4229</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4286</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4286</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4286</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4286</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4286</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4254</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4254</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4254</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4254</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4254</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4254</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4254</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4254</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4286</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4210</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4260</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4260</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4260</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4198</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4289</v>
      </c>
      <c r="D1151" s="11" t="s">
        <v>4288</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4290</v>
      </c>
      <c r="D1152" s="11" t="s">
        <v>4200</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4198</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4291</v>
      </c>
      <c r="D1154" s="11" t="s">
        <v>4200</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4292</v>
      </c>
      <c r="D1155" s="11" t="s">
        <v>4200</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4292</v>
      </c>
      <c r="D1156" s="11" t="s">
        <v>4200</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4293</v>
      </c>
      <c r="D1157" s="11" t="s">
        <v>4200</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4286</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4254</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4254</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4254</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4254</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4254</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4254</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4254</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4229</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4260</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4272</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4210</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4210</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4294</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4229</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4254</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4254</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4254</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4254</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4254</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4254</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4254</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4254</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4254</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4254</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4229</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4254</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4229</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4229</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4229</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4295</v>
      </c>
      <c r="D1189" s="11" t="s">
        <v>4200</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4296</v>
      </c>
      <c r="D1190" s="11" t="s">
        <v>4200</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4229</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4297</v>
      </c>
      <c r="D1192" s="11" t="s">
        <v>4229</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4229</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4229</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4229</v>
      </c>
      <c r="E1195" s="11" t="s">
        <v>4298</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4229</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4287</v>
      </c>
      <c r="D1197" s="11" t="s">
        <v>4229</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4299</v>
      </c>
      <c r="D1198" s="11" t="s">
        <v>4229</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4300</v>
      </c>
      <c r="D1199" s="11" t="s">
        <v>4229</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4301</v>
      </c>
      <c r="D1200" s="11" t="s">
        <v>4229</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4301</v>
      </c>
      <c r="D1201" s="11" t="s">
        <v>4229</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4302</v>
      </c>
      <c r="D1202" s="11" t="s">
        <v>4229</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4302</v>
      </c>
      <c r="D1203" s="11" t="s">
        <v>4229</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4303</v>
      </c>
      <c r="D1204" s="11" t="s">
        <v>4229</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4304</v>
      </c>
      <c r="D1205" s="11" t="s">
        <v>4229</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4305</v>
      </c>
      <c r="D1206" s="11" t="s">
        <v>4229</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4306</v>
      </c>
      <c r="D1207" s="11" t="s">
        <v>4229</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4306</v>
      </c>
      <c r="D1208" s="11" t="s">
        <v>4229</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4307</v>
      </c>
      <c r="D1209" s="11" t="s">
        <v>4229</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4307</v>
      </c>
      <c r="D1210" s="11" t="s">
        <v>4229</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4308</v>
      </c>
      <c r="D1211" s="11" t="s">
        <v>4229</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4309</v>
      </c>
      <c r="D1212" s="11" t="s">
        <v>4229</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4310</v>
      </c>
      <c r="D1213" s="11" t="s">
        <v>4229</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4311</v>
      </c>
      <c r="D1214" s="11" t="s">
        <v>4229</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4312</v>
      </c>
      <c r="D1215" s="11" t="s">
        <v>4229</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4313</v>
      </c>
      <c r="D1216" s="11" t="s">
        <v>4229</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4313</v>
      </c>
      <c r="D1217" s="11" t="s">
        <v>4229</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4313</v>
      </c>
      <c r="D1218" s="11" t="s">
        <v>4229</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4313</v>
      </c>
      <c r="D1219" s="11" t="s">
        <v>4229</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4313</v>
      </c>
      <c r="D1220" s="11" t="s">
        <v>4229</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4313</v>
      </c>
      <c r="D1221" s="11" t="s">
        <v>4229</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4313</v>
      </c>
      <c r="D1222" s="11" t="s">
        <v>4229</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4314</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4315</v>
      </c>
      <c r="D1224" s="11" t="s">
        <v>4288</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4308</v>
      </c>
      <c r="D1225" s="11" t="s">
        <v>4288</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4316</v>
      </c>
      <c r="D1226" s="11" t="s">
        <v>4288</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4317</v>
      </c>
      <c r="D1227" s="11" t="s">
        <v>4288</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4318</v>
      </c>
      <c r="D1228" s="11" t="s">
        <v>4288</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4303</v>
      </c>
      <c r="D1229" s="11" t="s">
        <v>4288</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4303</v>
      </c>
      <c r="D1230" s="11" t="s">
        <v>4288</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4319</v>
      </c>
      <c r="D1231" s="11" t="s">
        <v>4288</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4319</v>
      </c>
      <c r="D1232" s="11" t="s">
        <v>4288</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4320</v>
      </c>
      <c r="D1233" s="11" t="s">
        <v>4229</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4321</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4226</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4322</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4204</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4286</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4323</v>
      </c>
      <c r="D1239" s="11" t="s">
        <v>4254</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4324</v>
      </c>
      <c r="D1240" s="11" t="s">
        <v>4254</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4325</v>
      </c>
      <c r="D1241" s="11" t="s">
        <v>4254</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4326</v>
      </c>
      <c r="D1242" s="11" t="s">
        <v>4254</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4327</v>
      </c>
      <c r="D1243" s="11" t="s">
        <v>4254</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4327</v>
      </c>
      <c r="D1244" s="11" t="s">
        <v>4254</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4328</v>
      </c>
      <c r="D1245" s="11" t="s">
        <v>4254</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4328</v>
      </c>
      <c r="D1246" s="11" t="s">
        <v>4254</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4329</v>
      </c>
      <c r="D1247" s="11" t="s">
        <v>4254</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4330</v>
      </c>
      <c r="D1248" s="11" t="s">
        <v>4254</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4331</v>
      </c>
      <c r="D1249" s="11" t="s">
        <v>4254</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4332</v>
      </c>
      <c r="D1250" s="11" t="s">
        <v>4254</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4291</v>
      </c>
      <c r="D1251" s="11" t="s">
        <v>4254</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4333</v>
      </c>
      <c r="D1252" s="11" t="s">
        <v>4254</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4334</v>
      </c>
      <c r="D1253" s="11" t="s">
        <v>4254</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4334</v>
      </c>
      <c r="D1254" s="11" t="s">
        <v>4254</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4335</v>
      </c>
      <c r="D1255" s="11" t="s">
        <v>4254</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4336</v>
      </c>
      <c r="D1256" s="11" t="s">
        <v>4260</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4322</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4336</v>
      </c>
      <c r="D1258" s="11" t="s">
        <v>4260</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4337</v>
      </c>
      <c r="D1259" s="11" t="s">
        <v>4260</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4338</v>
      </c>
      <c r="D1260" s="11" t="s">
        <v>4261</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4339</v>
      </c>
      <c r="D1261" s="11" t="s">
        <v>4260</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4340</v>
      </c>
      <c r="D1262" s="11" t="s">
        <v>4260</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4341</v>
      </c>
      <c r="D1263" s="11" t="s">
        <v>4260</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4342</v>
      </c>
      <c r="D1264" s="11" t="s">
        <v>4261</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4343</v>
      </c>
      <c r="D1265" s="11" t="s">
        <v>4200</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4344</v>
      </c>
      <c r="D1266" s="11" t="s">
        <v>4200</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4289</v>
      </c>
      <c r="D1267" s="11" t="s">
        <v>4200</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4289</v>
      </c>
      <c r="D1268" s="11" t="s">
        <v>4200</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4345</v>
      </c>
      <c r="D1269" s="11" t="s">
        <v>4200</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4293</v>
      </c>
      <c r="D1270" s="11" t="s">
        <v>4200</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4346</v>
      </c>
      <c r="D1271" s="11" t="s">
        <v>4200</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4347</v>
      </c>
      <c r="D1272" s="11" t="s">
        <v>4200</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4199</v>
      </c>
      <c r="D1273" s="11" t="s">
        <v>4200</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4348</v>
      </c>
      <c r="D1274" s="11" t="s">
        <v>4200</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4349</v>
      </c>
      <c r="D1275" s="11" t="s">
        <v>4200</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4349</v>
      </c>
      <c r="D1276" s="11" t="s">
        <v>4200</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4350</v>
      </c>
      <c r="D1277" s="11" t="s">
        <v>4351</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4352</v>
      </c>
      <c r="D1278" s="11" t="s">
        <v>4353</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4352</v>
      </c>
      <c r="D1279" s="11" t="s">
        <v>4353</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4354</v>
      </c>
      <c r="D1280" s="11" t="s">
        <v>4353</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4354</v>
      </c>
      <c r="D1281" s="11" t="s">
        <v>4353</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4355</v>
      </c>
      <c r="D1282" s="11" t="s">
        <v>4353</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4356</v>
      </c>
      <c r="D1283" s="11" t="s">
        <v>4353</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4357</v>
      </c>
      <c r="D1284" s="11" t="s">
        <v>4353</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4358</v>
      </c>
      <c r="D1285" s="11" t="s">
        <v>4353</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4359</v>
      </c>
      <c r="D1286" s="11" t="s">
        <v>4353</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4359</v>
      </c>
      <c r="D1287" s="11" t="s">
        <v>4353</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4359</v>
      </c>
      <c r="D1288" s="11" t="s">
        <v>4353</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4360</v>
      </c>
      <c r="D1289" s="11" t="s">
        <v>4353</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4360</v>
      </c>
      <c r="D1290" s="11" t="s">
        <v>4353</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4361</v>
      </c>
      <c r="D1291" s="11" t="s">
        <v>4353</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4361</v>
      </c>
      <c r="D1292" s="11" t="s">
        <v>4353</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4362</v>
      </c>
      <c r="D1293" s="11" t="s">
        <v>4353</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4362</v>
      </c>
      <c r="D1294" s="11" t="s">
        <v>4353</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4363</v>
      </c>
      <c r="D1295" s="11" t="s">
        <v>4364</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4335</v>
      </c>
      <c r="D1296" s="11" t="s">
        <v>4254</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4365</v>
      </c>
      <c r="D1297" s="11" t="s">
        <v>4229</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4366</v>
      </c>
      <c r="D1298" s="11" t="s">
        <v>4229</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4349</v>
      </c>
      <c r="D1299" s="11" t="s">
        <v>4229</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4367</v>
      </c>
      <c r="C1300" s="11" t="s">
        <v>4368</v>
      </c>
      <c r="D1300" s="11" t="s">
        <v>4064</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4369</v>
      </c>
      <c r="D1301" s="11" t="s">
        <v>4260</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4370</v>
      </c>
      <c r="D1302" s="11" t="s">
        <v>4210</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4371</v>
      </c>
      <c r="D1303" s="11" t="s">
        <v>4210</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4372</v>
      </c>
      <c r="D1304" s="11" t="s">
        <v>4210</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4373</v>
      </c>
      <c r="D1305" s="11" t="s">
        <v>4374</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4375</v>
      </c>
      <c r="D1306" s="11" t="s">
        <v>4374</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4375</v>
      </c>
      <c r="D1307" s="11" t="s">
        <v>4210</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4334</v>
      </c>
      <c r="D1308" s="11" t="s">
        <v>4210</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4376</v>
      </c>
      <c r="D1309" s="11" t="s">
        <v>4210</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4290</v>
      </c>
      <c r="D1310" s="11" t="s">
        <v>4210</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4377</v>
      </c>
      <c r="D1311" s="11" t="s">
        <v>4210</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4378</v>
      </c>
      <c r="D1312" s="11" t="s">
        <v>4210</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4379</v>
      </c>
      <c r="D1313" s="11" t="s">
        <v>4258</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4204</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4204</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4380</v>
      </c>
      <c r="D1316" s="11" t="s">
        <v>4064</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4326</v>
      </c>
      <c r="D1317" s="11" t="s">
        <v>4064</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4381</v>
      </c>
      <c r="D1318" s="11" t="s">
        <v>4064</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4382</v>
      </c>
      <c r="D1319" s="11" t="s">
        <v>4064</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4309</v>
      </c>
      <c r="D1320" s="11" t="s">
        <v>4117</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4229</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4383</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4384</v>
      </c>
      <c r="D1324" s="11" t="s">
        <v>4288</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4229</v>
      </c>
      <c r="E1325" s="11" t="s">
        <v>4298</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4385</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4386</v>
      </c>
      <c r="D1329" s="11" t="s">
        <v>4200</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4387</v>
      </c>
      <c r="D1332" s="11" t="s">
        <v>4200</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4385</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4229</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4229</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4254</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4229</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4229</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4229</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4229</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4388</v>
      </c>
      <c r="D1348" s="11" t="s">
        <v>4229</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4299</v>
      </c>
      <c r="D1349" s="11" t="s">
        <v>4229</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4207</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4198</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4198</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4198</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4198</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4198</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4198</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4198</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4198</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4198</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4321</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4229</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4198</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4385</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4389</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4389</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4389</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4198</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4198</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4198</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4198</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4198</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4390</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4207</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4198</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4198</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4198</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4391</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4391</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4391</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4391</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4391</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4391</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4391</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4391</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4254</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4391</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4391</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4391</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4322</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4229</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4198</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4391</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4335</v>
      </c>
      <c r="D1394" s="11" t="s">
        <v>4254</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4392</v>
      </c>
      <c r="D1395" s="11" t="s">
        <v>4254</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4391</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4169</v>
      </c>
      <c r="D1397" s="11" t="s">
        <v>4204</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4391</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4210</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4391</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4391</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4391</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4391</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4391</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4391</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4254</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4322</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4393</v>
      </c>
      <c r="D1409" s="11" t="s">
        <v>4288</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4394</v>
      </c>
      <c r="D1410" s="11" t="s">
        <v>4254</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4198</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4394</v>
      </c>
      <c r="D1412" s="11" t="s">
        <v>4254</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4229</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4064</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4266</v>
      </c>
      <c r="D1415" s="11" t="s">
        <v>4288</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4210</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4260</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4210</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4200</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4198</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4374</v>
      </c>
      <c r="D1421" s="11" t="s">
        <v>4200</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4394</v>
      </c>
      <c r="D1422" s="11" t="s">
        <v>4254</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4260</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4260</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4395</v>
      </c>
      <c r="D1425" s="11" t="s">
        <v>4288</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4396</v>
      </c>
      <c r="D1426" s="11" t="s">
        <v>4288</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4397</v>
      </c>
      <c r="D1427" s="11" t="s">
        <v>4272</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4377</v>
      </c>
      <c r="D1428" s="11" t="s">
        <v>4272</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4398</v>
      </c>
      <c r="D1429" s="11" t="s">
        <v>4288</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4399</v>
      </c>
      <c r="D1430" s="11" t="s">
        <v>4200</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4400</v>
      </c>
      <c r="D1432" s="11" t="s">
        <v>4254</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4400</v>
      </c>
      <c r="D1433" s="11" t="s">
        <v>4254</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4399</v>
      </c>
      <c r="D1434" s="11" t="s">
        <v>4200</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4401</v>
      </c>
      <c r="D1435" s="11" t="s">
        <v>4200</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4402</v>
      </c>
      <c r="D1436" s="11" t="s">
        <v>4229</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4402</v>
      </c>
      <c r="D1437" s="11" t="s">
        <v>4229</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4403</v>
      </c>
      <c r="D1438" s="11" t="s">
        <v>4229</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4404</v>
      </c>
      <c r="D1439" s="11" t="s">
        <v>4229</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4405</v>
      </c>
      <c r="D1440" s="11" t="s">
        <v>4353</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4406</v>
      </c>
      <c r="D1441" s="11" t="s">
        <v>4064</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4406</v>
      </c>
      <c r="D1442" s="11" t="s">
        <v>4064</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4406</v>
      </c>
      <c r="D1443" s="11" t="s">
        <v>4064</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4406</v>
      </c>
      <c r="D1444" s="11" t="s">
        <v>4064</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4406</v>
      </c>
      <c r="D1445" s="11" t="s">
        <v>4064</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4407</v>
      </c>
      <c r="D1446" s="11" t="s">
        <v>4261</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4364</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4408</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4353</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4353</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4353</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4200</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4200</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4234</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4409</v>
      </c>
      <c r="D1455" s="11" t="s">
        <v>4254</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4410</v>
      </c>
      <c r="D1456" s="11" t="s">
        <v>4200</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4067</v>
      </c>
      <c r="D1457" s="11" t="s">
        <v>4064</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4411</v>
      </c>
      <c r="D1458" s="11" t="s">
        <v>4229</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4412</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4413</v>
      </c>
      <c r="D1460" s="11" t="s">
        <v>4210</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4414</v>
      </c>
      <c r="D1461" s="11" t="s">
        <v>4415</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4416</v>
      </c>
      <c r="D1462" s="11" t="s">
        <v>4254</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4417</v>
      </c>
      <c r="D1463" s="11" t="s">
        <v>4229</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4417</v>
      </c>
      <c r="D1464" s="11" t="s">
        <v>4229</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4417</v>
      </c>
      <c r="D1465" s="11" t="s">
        <v>4229</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4418</v>
      </c>
      <c r="D1466" s="11" t="s">
        <v>4229</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4418</v>
      </c>
      <c r="D1467" s="11" t="s">
        <v>4229</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4419</v>
      </c>
      <c r="D1468" s="11" t="s">
        <v>4229</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4420</v>
      </c>
      <c r="D1469" s="11" t="s">
        <v>4229</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4411</v>
      </c>
      <c r="D1470" s="11" t="s">
        <v>4229</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4421</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4421</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4408</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4200</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4200</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4200</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4200</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4200</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4200</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4422</v>
      </c>
      <c r="C1480" s="11" t="s">
        <v>4423</v>
      </c>
      <c r="D1480" s="11" t="s">
        <v>4064</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4423</v>
      </c>
      <c r="D1481" s="11" t="s">
        <v>4064</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4424</v>
      </c>
      <c r="D1482" s="11" t="s">
        <v>4064</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4425</v>
      </c>
      <c r="D1483" s="11" t="s">
        <v>4288</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4420</v>
      </c>
      <c r="D1484" s="11" t="s">
        <v>4288</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4426</v>
      </c>
      <c r="D1485" s="11" t="s">
        <v>4288</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4427</v>
      </c>
      <c r="D1486" s="11" t="s">
        <v>4288</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4428</v>
      </c>
      <c r="D1487" s="11" t="s">
        <v>4288</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4429</v>
      </c>
      <c r="D1488" s="11" t="s">
        <v>4229</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4430</v>
      </c>
      <c r="D1489" s="11" t="s">
        <v>4229</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4431</v>
      </c>
      <c r="D1490" s="11" t="s">
        <v>4229</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4432</v>
      </c>
      <c r="D1491" s="11" t="s">
        <v>4229</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4433</v>
      </c>
      <c r="D1492" s="11" t="s">
        <v>4229</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4434</v>
      </c>
      <c r="D1493" s="11" t="s">
        <v>4229</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4435</v>
      </c>
      <c r="D1494" s="11" t="s">
        <v>4229</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4436</v>
      </c>
      <c r="D1495" s="11" t="s">
        <v>4229</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4437</v>
      </c>
      <c r="D1496" s="11" t="s">
        <v>4229</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4417</v>
      </c>
      <c r="D1497" s="11" t="s">
        <v>4229</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4438</v>
      </c>
      <c r="D1498" s="11" t="s">
        <v>4229</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4349</v>
      </c>
      <c r="D1499" s="11" t="s">
        <v>4254</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4198</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4368</v>
      </c>
      <c r="D1501" s="11" t="s">
        <v>4064</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4439</v>
      </c>
      <c r="D1502" s="11" t="s">
        <v>4254</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4440</v>
      </c>
      <c r="D1503" s="11" t="s">
        <v>4254</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4441</v>
      </c>
      <c r="D1504" s="11" t="s">
        <v>4254</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4441</v>
      </c>
      <c r="D1505" s="11" t="s">
        <v>4254</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4208</v>
      </c>
      <c r="D1506" s="11" t="s">
        <v>4254</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4308</v>
      </c>
      <c r="D1507" s="11" t="s">
        <v>4254</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4442</v>
      </c>
      <c r="D1508" s="11" t="s">
        <v>4254</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4443</v>
      </c>
      <c r="D1509" s="11" t="s">
        <v>4254</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4432</v>
      </c>
      <c r="D1510" s="11" t="s">
        <v>4254</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4444</v>
      </c>
      <c r="D1511" s="11" t="s">
        <v>4254</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4445</v>
      </c>
      <c r="D1512" s="11" t="s">
        <v>4254</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4446</v>
      </c>
      <c r="D1513" s="11" t="s">
        <v>4254</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4447</v>
      </c>
      <c r="D1514" s="11" t="s">
        <v>4254</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4448</v>
      </c>
      <c r="D1515" s="11" t="s">
        <v>4254</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4449</v>
      </c>
      <c r="D1516" s="11" t="s">
        <v>4254</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4449</v>
      </c>
      <c r="D1517" s="11" t="s">
        <v>4254</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4441</v>
      </c>
      <c r="D1518" s="11" t="s">
        <v>4254</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4432</v>
      </c>
      <c r="D1519" s="11" t="s">
        <v>4254</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4416</v>
      </c>
      <c r="D1520" s="11" t="s">
        <v>4254</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4444</v>
      </c>
      <c r="D1521" s="11" t="s">
        <v>4254</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4450</v>
      </c>
      <c r="D1522" s="11" t="s">
        <v>4451</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4291</v>
      </c>
      <c r="D1523" s="11" t="s">
        <v>4451</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4452</v>
      </c>
      <c r="D1524" s="11" t="s">
        <v>4451</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4453</v>
      </c>
      <c r="D1525" s="11" t="s">
        <v>4451</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4454</v>
      </c>
      <c r="D1526" s="11" t="s">
        <v>4451</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4455</v>
      </c>
      <c r="D1527" s="11" t="s">
        <v>4451</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4306</v>
      </c>
      <c r="D1528" s="11" t="s">
        <v>4451</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4456</v>
      </c>
      <c r="D1529" s="11" t="s">
        <v>4451</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4152</v>
      </c>
      <c r="D1530" s="11" t="s">
        <v>4451</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4457</v>
      </c>
      <c r="D1531" s="11" t="s">
        <v>4458</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4459</v>
      </c>
      <c r="D1532" s="11" t="s">
        <v>4458</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4460</v>
      </c>
      <c r="D1533" s="11" t="s">
        <v>4458</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4461</v>
      </c>
      <c r="D1534" s="11" t="s">
        <v>4458</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4462</v>
      </c>
      <c r="D1535" s="11" t="s">
        <v>4458</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4460</v>
      </c>
      <c r="D1536" s="11" t="s">
        <v>4458</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4463</v>
      </c>
      <c r="D1537" s="11" t="s">
        <v>4258</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4464</v>
      </c>
      <c r="D1538" s="11" t="s">
        <v>4258</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4465</v>
      </c>
      <c r="D1539" s="11" t="s">
        <v>4258</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4466</v>
      </c>
      <c r="D1540" s="11" t="s">
        <v>4415</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4467</v>
      </c>
      <c r="D1541" s="11" t="s">
        <v>4261</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4349</v>
      </c>
      <c r="D1542" s="11" t="s">
        <v>4261</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4468</v>
      </c>
      <c r="D1543" s="11" t="s">
        <v>4261</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4469</v>
      </c>
      <c r="D1544" s="11" t="s">
        <v>4261</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4470</v>
      </c>
      <c r="D1545" s="11" t="s">
        <v>4261</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4471</v>
      </c>
      <c r="D1546" s="11" t="s">
        <v>4261</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4472</v>
      </c>
      <c r="D1547" s="11" t="s">
        <v>4261</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4473</v>
      </c>
      <c r="D1548" s="11" t="s">
        <v>4474</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4475</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4475</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4064</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4200</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4254</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4064</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4064</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4210</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4476</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4254</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4353</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4254</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4451</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4258</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4064</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4353</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4477</v>
      </c>
      <c r="D1577" s="11" t="s">
        <v>4353</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4353</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4261</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4353</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4260</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4364</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4415</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4353</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4064</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4064</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4204</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4204</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4258</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4260</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4370</v>
      </c>
      <c r="D1598" s="11" t="s">
        <v>4254</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4370</v>
      </c>
      <c r="D1599" s="11" t="s">
        <v>4254</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4478</v>
      </c>
      <c r="D1601" s="11" t="s">
        <v>4408</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4458</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4064</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4254</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4451</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4200</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4200</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4479</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4480</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4481</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4482</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4483</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4484</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4485</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4486</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4487</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4254</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4488</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4489</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4490</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4491</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4492</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4391</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4391</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4260</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4286</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4412</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4493</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4494</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4495</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4229</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4496</v>
      </c>
    </row>
    <row r="1661" s="4" customFormat="1" ht="20" hidden="1" customHeight="1" spans="1:14">
      <c r="A1661" s="46">
        <v>45486</v>
      </c>
      <c r="B1661" s="47"/>
      <c r="C1661" s="47"/>
      <c r="D1661" s="47" t="s">
        <v>4229</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4497</v>
      </c>
    </row>
    <row r="1662" s="4" customFormat="1" ht="20" hidden="1" customHeight="1" spans="1:14">
      <c r="A1662" s="46">
        <v>45506</v>
      </c>
      <c r="B1662" s="47"/>
      <c r="C1662" s="47"/>
      <c r="D1662" s="47" t="s">
        <v>4498</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4499</v>
      </c>
    </row>
    <row r="1663" s="4" customFormat="1" ht="20" hidden="1" customHeight="1" spans="1:14">
      <c r="A1663" s="46">
        <v>45507</v>
      </c>
      <c r="B1663" s="47"/>
      <c r="C1663" s="47"/>
      <c r="D1663" s="47" t="s">
        <v>4500</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4501</v>
      </c>
    </row>
    <row r="1664" s="4" customFormat="1" ht="20" hidden="1" customHeight="1" spans="1:14">
      <c r="A1664" s="46">
        <v>45507</v>
      </c>
      <c r="B1664" s="47"/>
      <c r="C1664" s="47"/>
      <c r="D1664" s="47" t="s">
        <v>4064</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4502</v>
      </c>
    </row>
    <row r="1665" s="4" customFormat="1" ht="20" hidden="1" customHeight="1" spans="1:14">
      <c r="A1665" s="46">
        <v>45509</v>
      </c>
      <c r="B1665" s="47"/>
      <c r="C1665" s="47"/>
      <c r="D1665" s="47" t="s">
        <v>4229</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4503</v>
      </c>
    </row>
    <row r="1666" s="4" customFormat="1" ht="20" hidden="1" customHeight="1" spans="1:14">
      <c r="A1666" s="46">
        <v>45509</v>
      </c>
      <c r="B1666" s="47"/>
      <c r="C1666" s="47"/>
      <c r="D1666" s="47" t="s">
        <v>4254</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4504</v>
      </c>
    </row>
    <row r="1667" s="4" customFormat="1" ht="20" hidden="1" customHeight="1" spans="1:14">
      <c r="A1667" s="46">
        <v>45509</v>
      </c>
      <c r="B1667" s="47"/>
      <c r="C1667" s="47"/>
      <c r="D1667" s="47"/>
      <c r="E1667" s="47" t="s">
        <v>4505</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4506</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4507</v>
      </c>
    </row>
    <row r="1669" s="4" customFormat="1" ht="20" hidden="1" customHeight="1" spans="1:14">
      <c r="A1669" s="46">
        <v>45509</v>
      </c>
      <c r="B1669" s="47"/>
      <c r="C1669" s="47"/>
      <c r="D1669" s="47"/>
      <c r="E1669" s="47" t="s">
        <v>4508</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4509</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4510</v>
      </c>
    </row>
    <row r="1671" s="4" customFormat="1" ht="20" hidden="1" customHeight="1" spans="1:14">
      <c r="A1671" s="46">
        <v>45531</v>
      </c>
      <c r="B1671" s="47"/>
      <c r="C1671" s="47"/>
      <c r="D1671" s="47" t="s">
        <v>4229</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4511</v>
      </c>
    </row>
    <row r="1672" s="4" customFormat="1" ht="20" hidden="1" customHeight="1" spans="1:14">
      <c r="A1672" s="46">
        <v>45534</v>
      </c>
      <c r="B1672" s="47"/>
      <c r="C1672" s="47"/>
      <c r="D1672" s="47" t="s">
        <v>4200</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4512</v>
      </c>
    </row>
    <row r="1673" s="4" customFormat="1" ht="20" hidden="1" customHeight="1" spans="1:14">
      <c r="A1673" s="46">
        <v>45534</v>
      </c>
      <c r="B1673" s="47"/>
      <c r="C1673" s="47"/>
      <c r="D1673" s="47"/>
      <c r="E1673" s="47" t="s">
        <v>4513</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4514</v>
      </c>
    </row>
    <row r="1674" s="4" customFormat="1" ht="20" hidden="1" customHeight="1" spans="1:14">
      <c r="A1674" s="46">
        <v>45534</v>
      </c>
      <c r="B1674" s="47"/>
      <c r="C1674" s="47"/>
      <c r="D1674" s="47"/>
      <c r="E1674" s="47" t="s">
        <v>4513</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4515</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4516</v>
      </c>
    </row>
    <row r="1676" s="4" customFormat="1" ht="20" hidden="1" customHeight="1" spans="1:14">
      <c r="A1676" s="46">
        <v>45535</v>
      </c>
      <c r="B1676" s="47"/>
      <c r="C1676" s="47"/>
      <c r="D1676" s="47" t="s">
        <v>4210</v>
      </c>
      <c r="E1676" s="47" t="s">
        <v>4517</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4518</v>
      </c>
    </row>
    <row r="1677" s="4" customFormat="1" ht="20" hidden="1" customHeight="1" spans="1:14">
      <c r="A1677" s="46">
        <v>45535</v>
      </c>
      <c r="B1677" s="47"/>
      <c r="C1677" s="47"/>
      <c r="D1677" s="47" t="s">
        <v>4210</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4519</v>
      </c>
    </row>
    <row r="1678" s="4" customFormat="1" ht="20" hidden="1" customHeight="1" spans="1:14">
      <c r="A1678" s="46">
        <v>45535</v>
      </c>
      <c r="B1678" s="47"/>
      <c r="C1678" s="47"/>
      <c r="D1678" s="47" t="s">
        <v>4210</v>
      </c>
      <c r="E1678" s="47" t="s">
        <v>4520</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4521</v>
      </c>
    </row>
    <row r="1679" s="4" customFormat="1" ht="20" hidden="1" customHeight="1" spans="1:14">
      <c r="A1679" s="46">
        <v>45535</v>
      </c>
      <c r="B1679" s="47"/>
      <c r="C1679" s="47"/>
      <c r="D1679" s="47" t="s">
        <v>4210</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4522</v>
      </c>
    </row>
    <row r="1680" s="4" customFormat="1" ht="20" hidden="1" customHeight="1" spans="1:14">
      <c r="A1680" s="46">
        <v>45536</v>
      </c>
      <c r="B1680" s="47"/>
      <c r="C1680" s="47"/>
      <c r="D1680" s="47" t="s">
        <v>4064</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4523</v>
      </c>
    </row>
    <row r="1681" s="4" customFormat="1" ht="20" hidden="1" customHeight="1" spans="1:14">
      <c r="A1681" s="46">
        <v>45536</v>
      </c>
      <c r="B1681" s="47"/>
      <c r="C1681" s="47"/>
      <c r="D1681" s="47" t="s">
        <v>4064</v>
      </c>
      <c r="E1681" s="47" t="s">
        <v>4524</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4525</v>
      </c>
    </row>
    <row r="1682" s="4" customFormat="1" ht="20" hidden="1" customHeight="1" spans="1:14">
      <c r="A1682" s="46">
        <v>45536</v>
      </c>
      <c r="B1682" s="47"/>
      <c r="C1682" s="47"/>
      <c r="D1682" s="47" t="s">
        <v>4229</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4526</v>
      </c>
    </row>
    <row r="1683" s="4" customFormat="1" ht="20" hidden="1" customHeight="1" spans="1:14">
      <c r="A1683" s="46">
        <v>45536</v>
      </c>
      <c r="B1683" s="47"/>
      <c r="C1683" s="47"/>
      <c r="D1683" s="47" t="s">
        <v>4260</v>
      </c>
      <c r="E1683" s="47" t="s">
        <v>4527</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4528</v>
      </c>
    </row>
    <row r="1684" s="4" customFormat="1" ht="20" hidden="1" customHeight="1" spans="1:14">
      <c r="A1684" s="46">
        <v>45536</v>
      </c>
      <c r="B1684" s="47"/>
      <c r="C1684" s="47"/>
      <c r="D1684" s="47" t="s">
        <v>4260</v>
      </c>
      <c r="E1684" s="47" t="s">
        <v>4529</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4530</v>
      </c>
    </row>
    <row r="1685" s="4" customFormat="1" ht="20" hidden="1" customHeight="1" spans="1:14">
      <c r="A1685" s="46">
        <v>45536</v>
      </c>
      <c r="B1685" s="47"/>
      <c r="C1685" s="47"/>
      <c r="D1685" s="47" t="s">
        <v>4200</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4531</v>
      </c>
    </row>
    <row r="1686" s="4" customFormat="1" ht="20" hidden="1" customHeight="1" spans="1:14">
      <c r="A1686" s="46">
        <v>45536</v>
      </c>
      <c r="B1686" s="47"/>
      <c r="C1686" s="47"/>
      <c r="D1686" s="47" t="s">
        <v>4200</v>
      </c>
      <c r="E1686" s="47" t="s">
        <v>4532</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4533</v>
      </c>
    </row>
    <row r="1687" s="4" customFormat="1" ht="20" hidden="1" customHeight="1" spans="1:14">
      <c r="A1687" s="46">
        <v>45537</v>
      </c>
      <c r="B1687" s="47"/>
      <c r="C1687" s="47"/>
      <c r="D1687" s="47" t="s">
        <v>4260</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4534</v>
      </c>
    </row>
    <row r="1688" s="4" customFormat="1" ht="20" hidden="1" customHeight="1" spans="1:14">
      <c r="A1688" s="46">
        <v>45538</v>
      </c>
      <c r="B1688" s="47"/>
      <c r="C1688" s="47"/>
      <c r="D1688" s="47" t="s">
        <v>4260</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4535</v>
      </c>
    </row>
    <row r="1689" s="4" customFormat="1" ht="20" hidden="1" customHeight="1" spans="1:14">
      <c r="A1689" s="46">
        <v>45539</v>
      </c>
      <c r="B1689" s="47"/>
      <c r="C1689" s="47"/>
      <c r="D1689" s="47" t="s">
        <v>4229</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4536</v>
      </c>
    </row>
    <row r="1690" s="4" customFormat="1" ht="20" hidden="1" customHeight="1" spans="1:14">
      <c r="A1690" s="46">
        <v>45539</v>
      </c>
      <c r="B1690" s="47"/>
      <c r="C1690" s="47"/>
      <c r="D1690" s="47" t="s">
        <v>4537</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4538</v>
      </c>
    </row>
    <row r="1691" s="4" customFormat="1" ht="20" hidden="1" customHeight="1" spans="1:14">
      <c r="A1691" s="46">
        <v>45540</v>
      </c>
      <c r="B1691" s="47"/>
      <c r="C1691" s="47"/>
      <c r="D1691" s="47" t="s">
        <v>4288</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4539</v>
      </c>
    </row>
    <row r="1692" s="4" customFormat="1" ht="20" hidden="1" customHeight="1" spans="1:14">
      <c r="A1692" s="46">
        <v>45540</v>
      </c>
      <c r="B1692" s="47"/>
      <c r="C1692" s="47"/>
      <c r="D1692" s="47" t="s">
        <v>4537</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4540</v>
      </c>
    </row>
    <row r="1693" s="4" customFormat="1" ht="20" hidden="1" customHeight="1" spans="1:14">
      <c r="A1693" s="46">
        <v>45541</v>
      </c>
      <c r="B1693" s="47"/>
      <c r="C1693" s="47"/>
      <c r="D1693" s="47" t="s">
        <v>4200</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4541</v>
      </c>
    </row>
    <row r="1694" s="4" customFormat="1" ht="20" hidden="1" customHeight="1" spans="1:14">
      <c r="A1694" s="46">
        <v>45541</v>
      </c>
      <c r="B1694" s="47"/>
      <c r="C1694" s="47"/>
      <c r="D1694" s="47" t="s">
        <v>4064</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4542</v>
      </c>
    </row>
    <row r="1695" s="4" customFormat="1" ht="20" hidden="1" customHeight="1" spans="1:14">
      <c r="A1695" s="46">
        <v>45541</v>
      </c>
      <c r="B1695" s="47"/>
      <c r="C1695" s="47"/>
      <c r="D1695" s="47" t="s">
        <v>4064</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4543</v>
      </c>
    </row>
    <row r="1696" s="4" customFormat="1" ht="20" hidden="1" customHeight="1" spans="1:14">
      <c r="A1696" s="46">
        <v>45541</v>
      </c>
      <c r="B1696" s="47"/>
      <c r="C1696" s="47"/>
      <c r="D1696" s="47" t="s">
        <v>4064</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4544</v>
      </c>
    </row>
    <row r="1697" s="4" customFormat="1" ht="20" hidden="1" customHeight="1" spans="1:14">
      <c r="A1697" s="46">
        <v>45541</v>
      </c>
      <c r="B1697" s="47"/>
      <c r="C1697" s="47"/>
      <c r="D1697" s="47" t="s">
        <v>4064</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4545</v>
      </c>
    </row>
    <row r="1698" s="4" customFormat="1" ht="20" hidden="1" customHeight="1" spans="1:14">
      <c r="A1698" s="46">
        <v>45541</v>
      </c>
      <c r="B1698" s="47"/>
      <c r="C1698" s="47"/>
      <c r="D1698" s="47" t="s">
        <v>4254</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4546</v>
      </c>
    </row>
    <row r="1699" s="4" customFormat="1" ht="20" hidden="1" customHeight="1" spans="1:14">
      <c r="A1699" s="46">
        <v>45541</v>
      </c>
      <c r="B1699" s="47"/>
      <c r="C1699" s="47"/>
      <c r="D1699" s="47" t="s">
        <v>4254</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4547</v>
      </c>
    </row>
    <row r="1700" s="4" customFormat="1" ht="20" hidden="1" customHeight="1" spans="1:14">
      <c r="A1700" s="46">
        <v>45542</v>
      </c>
      <c r="B1700" s="47"/>
      <c r="C1700" s="47"/>
      <c r="D1700" s="47" t="s">
        <v>4353</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4548</v>
      </c>
    </row>
    <row r="1701" s="4" customFormat="1" ht="20" hidden="1" customHeight="1" spans="1:14">
      <c r="A1701" s="46">
        <v>45542</v>
      </c>
      <c r="B1701" s="47"/>
      <c r="C1701" s="47"/>
      <c r="D1701" s="47" t="s">
        <v>4229</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4549</v>
      </c>
    </row>
    <row r="1702" s="4" customFormat="1" ht="20" hidden="1" customHeight="1" spans="1:14">
      <c r="A1702" s="46">
        <v>45542</v>
      </c>
      <c r="B1702" s="47"/>
      <c r="C1702" s="47"/>
      <c r="D1702" s="47" t="s">
        <v>4229</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4550</v>
      </c>
    </row>
    <row r="1703" s="4" customFormat="1" ht="20" hidden="1" customHeight="1" spans="1:14">
      <c r="A1703" s="46">
        <v>45542</v>
      </c>
      <c r="B1703" s="47"/>
      <c r="C1703" s="47"/>
      <c r="D1703" s="47" t="s">
        <v>4200</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4551</v>
      </c>
    </row>
    <row r="1704" s="4" customFormat="1" ht="20" hidden="1" customHeight="1" spans="1:14">
      <c r="A1704" s="46">
        <v>45542</v>
      </c>
      <c r="B1704" s="47"/>
      <c r="C1704" s="47"/>
      <c r="D1704" s="47" t="s">
        <v>4200</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4552</v>
      </c>
    </row>
    <row r="1705" s="4" customFormat="1" ht="20" hidden="1" customHeight="1" spans="1:14">
      <c r="A1705" s="46">
        <v>45542</v>
      </c>
      <c r="B1705" s="47"/>
      <c r="C1705" s="47"/>
      <c r="D1705" s="47" t="s">
        <v>4288</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4553</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4554</v>
      </c>
    </row>
    <row r="1707" s="4" customFormat="1" ht="20" hidden="1" customHeight="1" spans="1:14">
      <c r="A1707" s="46">
        <v>45543</v>
      </c>
      <c r="B1707" s="47"/>
      <c r="C1707" s="47"/>
      <c r="D1707" s="47" t="s">
        <v>4210</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4555</v>
      </c>
    </row>
    <row r="1708" s="4" customFormat="1" ht="20" hidden="1" customHeight="1" spans="1:14">
      <c r="A1708" s="46">
        <v>45543</v>
      </c>
      <c r="B1708" s="47"/>
      <c r="C1708" s="47"/>
      <c r="D1708" s="47" t="s">
        <v>4210</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4556</v>
      </c>
    </row>
    <row r="1709" s="4" customFormat="1" ht="20" hidden="1" customHeight="1" spans="1:14">
      <c r="A1709" s="46">
        <v>45544</v>
      </c>
      <c r="B1709" s="47"/>
      <c r="C1709" s="47"/>
      <c r="D1709" s="47" t="s">
        <v>4200</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4557</v>
      </c>
    </row>
    <row r="1710" s="4" customFormat="1" ht="20" hidden="1" customHeight="1" spans="1:14">
      <c r="A1710" s="46">
        <v>45545</v>
      </c>
      <c r="B1710" s="47"/>
      <c r="C1710" s="47"/>
      <c r="D1710" s="47" t="s">
        <v>4200</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4558</v>
      </c>
    </row>
    <row r="1711" s="4" customFormat="1" ht="20" hidden="1" customHeight="1" spans="1:14">
      <c r="A1711" s="46">
        <v>45545</v>
      </c>
      <c r="B1711" s="47"/>
      <c r="C1711" s="47"/>
      <c r="D1711" s="47" t="s">
        <v>4254</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4559</v>
      </c>
    </row>
    <row r="1712" s="4" customFormat="1" ht="20" hidden="1" customHeight="1" spans="1:14">
      <c r="A1712" s="46">
        <v>45545</v>
      </c>
      <c r="B1712" s="47"/>
      <c r="C1712" s="47"/>
      <c r="D1712" s="47" t="s">
        <v>4229</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4560</v>
      </c>
    </row>
    <row r="1713" s="4" customFormat="1" ht="20" hidden="1" customHeight="1" spans="1:14">
      <c r="A1713" s="46">
        <v>45545</v>
      </c>
      <c r="B1713" s="47"/>
      <c r="C1713" s="47"/>
      <c r="D1713" s="47" t="s">
        <v>4408</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4561</v>
      </c>
    </row>
    <row r="1714" s="4" customFormat="1" ht="20" hidden="1" customHeight="1" spans="1:14">
      <c r="A1714" s="46">
        <v>45546</v>
      </c>
      <c r="B1714" s="47"/>
      <c r="C1714" s="47"/>
      <c r="D1714" s="47" t="s">
        <v>4229</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4562</v>
      </c>
    </row>
    <row r="1715" s="4" customFormat="1" ht="20" hidden="1" customHeight="1" spans="1:14">
      <c r="A1715" s="46">
        <v>45546</v>
      </c>
      <c r="B1715" s="47"/>
      <c r="C1715" s="47"/>
      <c r="D1715" s="47" t="s">
        <v>4353</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4563</v>
      </c>
    </row>
    <row r="1716" s="4" customFormat="1" ht="20" hidden="1" customHeight="1" spans="1:14">
      <c r="A1716" s="46">
        <v>45546</v>
      </c>
      <c r="B1716" s="47"/>
      <c r="C1716" s="47"/>
      <c r="D1716" s="47" t="s">
        <v>4353</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4564</v>
      </c>
    </row>
    <row r="1717" s="4" customFormat="1" ht="20" hidden="1" customHeight="1" spans="1:14">
      <c r="A1717" s="46">
        <v>45546</v>
      </c>
      <c r="B1717" s="47"/>
      <c r="C1717" s="47"/>
      <c r="D1717" s="47" t="s">
        <v>4353</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4565</v>
      </c>
    </row>
    <row r="1718" s="4" customFormat="1" ht="20" hidden="1" customHeight="1" spans="1:14">
      <c r="A1718" s="46">
        <v>45546</v>
      </c>
      <c r="B1718" s="47"/>
      <c r="C1718" s="47"/>
      <c r="D1718" s="47" t="s">
        <v>4064</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4566</v>
      </c>
    </row>
    <row r="1719" s="4" customFormat="1" ht="20" hidden="1" customHeight="1" spans="1:14">
      <c r="A1719" s="46">
        <v>45547</v>
      </c>
      <c r="B1719" s="47"/>
      <c r="C1719" s="47"/>
      <c r="D1719" s="47" t="s">
        <v>4210</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4567</v>
      </c>
    </row>
    <row r="1720" s="4" customFormat="1" ht="20" hidden="1" customHeight="1" spans="1:14">
      <c r="A1720" s="46">
        <v>45547</v>
      </c>
      <c r="B1720" s="47"/>
      <c r="C1720" s="47"/>
      <c r="D1720" s="47" t="s">
        <v>4229</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4568</v>
      </c>
    </row>
    <row r="1721" s="4" customFormat="1" ht="20" hidden="1" customHeight="1" spans="1:14">
      <c r="A1721" s="46">
        <v>45547</v>
      </c>
      <c r="B1721" s="47"/>
      <c r="C1721" s="47"/>
      <c r="D1721" s="47" t="s">
        <v>4569</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4570</v>
      </c>
    </row>
    <row r="1722" s="4" customFormat="1" ht="20" hidden="1" customHeight="1" spans="1:14">
      <c r="A1722" s="46">
        <v>45548</v>
      </c>
      <c r="B1722" s="47"/>
      <c r="C1722" s="47"/>
      <c r="D1722" s="47" t="s">
        <v>4229</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4571</v>
      </c>
    </row>
    <row r="1723" s="4" customFormat="1" ht="20" hidden="1" customHeight="1" spans="1:14">
      <c r="A1723" s="46">
        <v>45548</v>
      </c>
      <c r="B1723" s="47"/>
      <c r="C1723" s="47"/>
      <c r="D1723" s="47" t="s">
        <v>4229</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4572</v>
      </c>
    </row>
    <row r="1724" s="4" customFormat="1" ht="20" hidden="1" customHeight="1" spans="1:14">
      <c r="A1724" s="46">
        <v>45552</v>
      </c>
      <c r="B1724" s="47"/>
      <c r="C1724" s="47"/>
      <c r="D1724" s="47" t="s">
        <v>4458</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4573</v>
      </c>
    </row>
    <row r="1725" s="4" customFormat="1" ht="20" hidden="1" customHeight="1" spans="1:14">
      <c r="A1725" s="46">
        <v>45552</v>
      </c>
      <c r="B1725" s="47"/>
      <c r="C1725" s="47"/>
      <c r="D1725" s="47" t="s">
        <v>4254</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4574</v>
      </c>
    </row>
    <row r="1726" s="4" customFormat="1" ht="20" hidden="1" customHeight="1" spans="1:14">
      <c r="A1726" s="46">
        <v>45552</v>
      </c>
      <c r="B1726" s="47"/>
      <c r="C1726" s="47"/>
      <c r="D1726" s="47" t="s">
        <v>4575</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4576</v>
      </c>
    </row>
    <row r="1727" s="4" customFormat="1" ht="20" hidden="1" customHeight="1" spans="1:14">
      <c r="A1727" s="46">
        <v>45552</v>
      </c>
      <c r="B1727" s="47"/>
      <c r="C1727" s="47"/>
      <c r="D1727" s="47" t="s">
        <v>4458</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4577</v>
      </c>
    </row>
    <row r="1728" s="4" customFormat="1" ht="20" hidden="1" customHeight="1" spans="1:14">
      <c r="A1728" s="46">
        <v>45553</v>
      </c>
      <c r="B1728" s="47"/>
      <c r="C1728" s="47"/>
      <c r="D1728" s="47" t="s">
        <v>4353</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4578</v>
      </c>
    </row>
    <row r="1729" s="4" customFormat="1" ht="20" hidden="1" customHeight="1" spans="1:14">
      <c r="A1729" s="46">
        <v>45553</v>
      </c>
      <c r="B1729" s="47"/>
      <c r="C1729" s="47"/>
      <c r="D1729" s="47" t="s">
        <v>4353</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4579</v>
      </c>
    </row>
    <row r="1730" s="4" customFormat="1" ht="20" hidden="1" customHeight="1" spans="1:14">
      <c r="A1730" s="46">
        <v>45553</v>
      </c>
      <c r="B1730" s="47"/>
      <c r="C1730" s="47"/>
      <c r="D1730" s="47" t="s">
        <v>4229</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4580</v>
      </c>
    </row>
    <row r="1731" s="4" customFormat="1" ht="20" hidden="1" customHeight="1" spans="1:14">
      <c r="A1731" s="46">
        <v>45553</v>
      </c>
      <c r="B1731" s="47"/>
      <c r="C1731" s="47"/>
      <c r="D1731" s="47" t="s">
        <v>4229</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4581</v>
      </c>
    </row>
    <row r="1732" s="4" customFormat="1" ht="20" hidden="1" customHeight="1" spans="1:14">
      <c r="A1732" s="46">
        <v>45553</v>
      </c>
      <c r="B1732" s="47"/>
      <c r="C1732" s="47"/>
      <c r="D1732" s="47" t="s">
        <v>4260</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4582</v>
      </c>
    </row>
    <row r="1733" s="4" customFormat="1" ht="20" hidden="1" customHeight="1" spans="1:14">
      <c r="A1733" s="46">
        <v>45554</v>
      </c>
      <c r="B1733" s="47"/>
      <c r="C1733" s="47"/>
      <c r="D1733" s="47" t="s">
        <v>4415</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4583</v>
      </c>
    </row>
    <row r="1734" s="4" customFormat="1" ht="20" hidden="1" customHeight="1" spans="1:14">
      <c r="A1734" s="46">
        <v>45554</v>
      </c>
      <c r="B1734" s="47"/>
      <c r="C1734" s="47"/>
      <c r="D1734" s="47" t="s">
        <v>4254</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4584</v>
      </c>
    </row>
    <row r="1735" s="4" customFormat="1" ht="20" hidden="1" customHeight="1" spans="1:14">
      <c r="A1735" s="46">
        <v>45554</v>
      </c>
      <c r="B1735" s="47"/>
      <c r="C1735" s="47"/>
      <c r="D1735" s="47" t="s">
        <v>4254</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4585</v>
      </c>
    </row>
    <row r="1736" s="4" customFormat="1" ht="20" hidden="1" customHeight="1" spans="1:14">
      <c r="A1736" s="46">
        <v>45554</v>
      </c>
      <c r="B1736" s="47"/>
      <c r="C1736" s="47"/>
      <c r="D1736" s="47" t="s">
        <v>4254</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4586</v>
      </c>
    </row>
    <row r="1737" s="4" customFormat="1" ht="20" hidden="1" customHeight="1" spans="1:14">
      <c r="A1737" s="46">
        <v>45559</v>
      </c>
      <c r="B1737" s="47"/>
      <c r="C1737" s="47"/>
      <c r="D1737" s="47" t="s">
        <v>4353</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4587</v>
      </c>
    </row>
    <row r="1738" s="4" customFormat="1" ht="20" hidden="1" customHeight="1" spans="1:14">
      <c r="A1738" s="46">
        <v>45560</v>
      </c>
      <c r="B1738" s="47"/>
      <c r="C1738" s="47"/>
      <c r="D1738" s="47" t="s">
        <v>4353</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4588</v>
      </c>
    </row>
    <row r="1739" s="4" customFormat="1" ht="20" hidden="1" customHeight="1" spans="1:14">
      <c r="A1739" s="46">
        <v>45560</v>
      </c>
      <c r="B1739" s="47"/>
      <c r="C1739" s="47"/>
      <c r="D1739" s="47" t="s">
        <v>4229</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4589</v>
      </c>
    </row>
    <row r="1740" s="4" customFormat="1" ht="20" hidden="1" customHeight="1" spans="1:14">
      <c r="A1740" s="46">
        <v>45560</v>
      </c>
      <c r="B1740" s="47"/>
      <c r="C1740" s="47"/>
      <c r="D1740" s="47" t="s">
        <v>4258</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4590</v>
      </c>
    </row>
    <row r="1741" s="4" customFormat="1" ht="20" hidden="1" customHeight="1" spans="1:14">
      <c r="A1741" s="46">
        <v>45560</v>
      </c>
      <c r="B1741" s="47"/>
      <c r="C1741" s="47"/>
      <c r="D1741" s="47" t="s">
        <v>4229</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4591</v>
      </c>
    </row>
    <row r="1742" s="4" customFormat="1" ht="20" hidden="1" customHeight="1" spans="1:14">
      <c r="A1742" s="46">
        <v>45560</v>
      </c>
      <c r="B1742" s="47"/>
      <c r="C1742" s="47"/>
      <c r="D1742" s="47" t="s">
        <v>4592</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4593</v>
      </c>
    </row>
    <row r="1743" s="4" customFormat="1" ht="20" hidden="1" customHeight="1" spans="1:14">
      <c r="A1743" s="46">
        <v>45560</v>
      </c>
      <c r="B1743" s="47"/>
      <c r="C1743" s="47"/>
      <c r="D1743" s="47" t="s">
        <v>4260</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4594</v>
      </c>
    </row>
    <row r="1744" s="4" customFormat="1" ht="20" hidden="1" customHeight="1" spans="1:14">
      <c r="A1744" s="46">
        <v>45561</v>
      </c>
      <c r="B1744" s="47"/>
      <c r="C1744" s="47"/>
      <c r="D1744" s="47" t="s">
        <v>4254</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4595</v>
      </c>
    </row>
    <row r="1745" s="4" customFormat="1" ht="20" hidden="1" customHeight="1" spans="1:14">
      <c r="A1745" s="46">
        <v>45561</v>
      </c>
      <c r="B1745" s="47"/>
      <c r="C1745" s="47"/>
      <c r="D1745" s="47" t="s">
        <v>4254</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4596</v>
      </c>
    </row>
    <row r="1746" s="4" customFormat="1" ht="20" hidden="1" customHeight="1" spans="1:14">
      <c r="A1746" s="46">
        <v>45561</v>
      </c>
      <c r="B1746" s="47"/>
      <c r="C1746" s="47"/>
      <c r="D1746" s="47" t="s">
        <v>4364</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4597</v>
      </c>
    </row>
    <row r="1747" s="4" customFormat="1" ht="20" hidden="1" customHeight="1" spans="1:14">
      <c r="A1747" s="46">
        <v>45561</v>
      </c>
      <c r="B1747" s="47"/>
      <c r="C1747" s="47"/>
      <c r="D1747" s="47" t="s">
        <v>4260</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4598</v>
      </c>
    </row>
    <row r="1748" s="4" customFormat="1" ht="20" hidden="1" customHeight="1" spans="1:14">
      <c r="A1748" s="46">
        <v>45561</v>
      </c>
      <c r="B1748" s="47"/>
      <c r="C1748" s="47"/>
      <c r="D1748" s="47" t="s">
        <v>4258</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4599</v>
      </c>
    </row>
    <row r="1749" s="4" customFormat="1" ht="20" hidden="1" customHeight="1" spans="1:14">
      <c r="A1749" s="46">
        <v>45562</v>
      </c>
      <c r="B1749" s="47"/>
      <c r="C1749" s="47"/>
      <c r="D1749" s="47" t="s">
        <v>4254</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4600</v>
      </c>
    </row>
    <row r="1750" s="4" customFormat="1" ht="20" hidden="1" customHeight="1" spans="1:14">
      <c r="A1750" s="46">
        <v>45562</v>
      </c>
      <c r="B1750" s="47"/>
      <c r="C1750" s="47"/>
      <c r="D1750" s="47" t="s">
        <v>4575</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4601</v>
      </c>
    </row>
    <row r="1751" s="4" customFormat="1" ht="20" hidden="1" customHeight="1" spans="1:14">
      <c r="A1751" s="46">
        <v>45562</v>
      </c>
      <c r="B1751" s="47"/>
      <c r="C1751" s="47"/>
      <c r="D1751" s="47" t="s">
        <v>4364</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4602</v>
      </c>
    </row>
    <row r="1752" s="4" customFormat="1" ht="20" hidden="1" customHeight="1" spans="1:14">
      <c r="A1752" s="46">
        <v>45562</v>
      </c>
      <c r="B1752" s="47"/>
      <c r="C1752" s="47"/>
      <c r="D1752" s="47" t="s">
        <v>4229</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4603</v>
      </c>
    </row>
    <row r="1753" s="4" customFormat="1" ht="20" hidden="1" customHeight="1" spans="1:14">
      <c r="A1753" s="46">
        <v>45563</v>
      </c>
      <c r="B1753" s="47"/>
      <c r="C1753" s="47"/>
      <c r="D1753" s="47" t="s">
        <v>4210</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4604</v>
      </c>
    </row>
    <row r="1754" s="4" customFormat="1" ht="20" hidden="1" customHeight="1" spans="1:14">
      <c r="A1754" s="46">
        <v>45563</v>
      </c>
      <c r="B1754" s="47"/>
      <c r="C1754" s="47"/>
      <c r="D1754" s="47" t="s">
        <v>4064</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4605</v>
      </c>
    </row>
    <row r="1755" s="4" customFormat="1" ht="20" hidden="1" customHeight="1" spans="1:14">
      <c r="A1755" s="46">
        <v>45563</v>
      </c>
      <c r="B1755" s="47"/>
      <c r="C1755" s="47"/>
      <c r="D1755" s="47" t="s">
        <v>4064</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4606</v>
      </c>
    </row>
    <row r="1756" s="4" customFormat="1" ht="20" hidden="1" customHeight="1" spans="1:14">
      <c r="A1756" s="46">
        <v>45563</v>
      </c>
      <c r="B1756" s="47"/>
      <c r="C1756" s="47"/>
      <c r="D1756" s="47" t="s">
        <v>4364</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4607</v>
      </c>
    </row>
    <row r="1757" s="4" customFormat="1" ht="20" hidden="1" customHeight="1" spans="1:14">
      <c r="A1757" s="46">
        <v>45563</v>
      </c>
      <c r="B1757" s="47"/>
      <c r="C1757" s="47"/>
      <c r="D1757" s="47" t="s">
        <v>4364</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4608</v>
      </c>
    </row>
    <row r="1758" s="4" customFormat="1" ht="20" hidden="1" customHeight="1" spans="1:14">
      <c r="A1758" s="46">
        <v>45563</v>
      </c>
      <c r="B1758" s="47"/>
      <c r="C1758" s="47"/>
      <c r="D1758" s="47" t="s">
        <v>4364</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4609</v>
      </c>
    </row>
    <row r="1759" s="4" customFormat="1" ht="20" hidden="1" customHeight="1" spans="1:14">
      <c r="A1759" s="46">
        <v>45563</v>
      </c>
      <c r="B1759" s="47"/>
      <c r="C1759" s="47"/>
      <c r="D1759" s="47" t="s">
        <v>4451</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4610</v>
      </c>
    </row>
    <row r="1760" s="4" customFormat="1" ht="20" hidden="1" customHeight="1" spans="1:14">
      <c r="A1760" s="46">
        <v>45563</v>
      </c>
      <c r="B1760" s="47"/>
      <c r="C1760" s="47"/>
      <c r="D1760" s="47" t="s">
        <v>4451</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4611</v>
      </c>
    </row>
    <row r="1761" s="4" customFormat="1" ht="20" hidden="1" customHeight="1" spans="1:14">
      <c r="A1761" s="46">
        <v>45563</v>
      </c>
      <c r="B1761" s="47"/>
      <c r="C1761" s="47"/>
      <c r="D1761" s="47" t="s">
        <v>4408</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4612</v>
      </c>
    </row>
    <row r="1762" s="4" customFormat="1" ht="20" hidden="1" customHeight="1" spans="1:14">
      <c r="A1762" s="46">
        <v>45563</v>
      </c>
      <c r="B1762" s="47"/>
      <c r="C1762" s="47"/>
      <c r="D1762" s="47" t="s">
        <v>4353</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4613</v>
      </c>
    </row>
    <row r="1763" s="4" customFormat="1" ht="20" hidden="1" customHeight="1" spans="1:14">
      <c r="A1763" s="46">
        <v>45563</v>
      </c>
      <c r="B1763" s="47"/>
      <c r="C1763" s="47"/>
      <c r="D1763" s="47" t="s">
        <v>4408</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4614</v>
      </c>
    </row>
    <row r="1764" s="4" customFormat="1" ht="20" hidden="1" customHeight="1" spans="1:14">
      <c r="A1764" s="46">
        <v>45563</v>
      </c>
      <c r="B1764" s="47"/>
      <c r="C1764" s="47"/>
      <c r="D1764" s="47" t="s">
        <v>4451</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4615</v>
      </c>
    </row>
    <row r="1765" s="4" customFormat="1" ht="20" hidden="1" customHeight="1" spans="1:14">
      <c r="A1765" s="46">
        <v>45563</v>
      </c>
      <c r="B1765" s="47"/>
      <c r="C1765" s="47"/>
      <c r="D1765" s="47" t="s">
        <v>4229</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4616</v>
      </c>
    </row>
    <row r="1766" s="4" customFormat="1" ht="20" hidden="1" customHeight="1" spans="1:14">
      <c r="A1766" s="46">
        <v>45563</v>
      </c>
      <c r="B1766" s="47"/>
      <c r="C1766" s="47"/>
      <c r="D1766" s="47" t="s">
        <v>4254</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4617</v>
      </c>
    </row>
    <row r="1767" s="4" customFormat="1" ht="20" hidden="1" customHeight="1" spans="1:14">
      <c r="A1767" s="46">
        <v>45563</v>
      </c>
      <c r="B1767" s="47"/>
      <c r="C1767" s="47"/>
      <c r="D1767" s="47" t="s">
        <v>4210</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4618</v>
      </c>
    </row>
    <row r="1768" s="4" customFormat="1" ht="20" hidden="1" customHeight="1" spans="1:14">
      <c r="A1768" s="46">
        <v>45563</v>
      </c>
      <c r="B1768" s="47"/>
      <c r="C1768" s="47"/>
      <c r="D1768" s="47" t="s">
        <v>4260</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4619</v>
      </c>
    </row>
    <row r="1769" s="4" customFormat="1" ht="20" hidden="1" customHeight="1" spans="1:14">
      <c r="A1769" s="46">
        <v>45563</v>
      </c>
      <c r="B1769" s="47"/>
      <c r="C1769" s="47"/>
      <c r="D1769" s="47" t="s">
        <v>4200</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4620</v>
      </c>
    </row>
    <row r="1770" s="4" customFormat="1" ht="20" hidden="1" customHeight="1" spans="1:14">
      <c r="A1770" s="46">
        <v>45563</v>
      </c>
      <c r="B1770" s="47"/>
      <c r="C1770" s="47"/>
      <c r="D1770" s="47" t="s">
        <v>4451</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4621</v>
      </c>
    </row>
    <row r="1771" s="4" customFormat="1" ht="20" hidden="1" customHeight="1" spans="1:14">
      <c r="A1771" s="46">
        <v>45563</v>
      </c>
      <c r="B1771" s="47"/>
      <c r="C1771" s="47"/>
      <c r="D1771" s="47" t="s">
        <v>4210</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4622</v>
      </c>
    </row>
    <row r="1772" s="4" customFormat="1" ht="20" hidden="1" customHeight="1" spans="1:14">
      <c r="A1772" s="46">
        <v>45563</v>
      </c>
      <c r="B1772" s="47"/>
      <c r="C1772" s="47"/>
      <c r="D1772" s="47" t="s">
        <v>4260</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4623</v>
      </c>
    </row>
    <row r="1773" s="4" customFormat="1" ht="20" hidden="1" customHeight="1" spans="1:14">
      <c r="A1773" s="46">
        <v>45563</v>
      </c>
      <c r="B1773" s="47"/>
      <c r="C1773" s="47"/>
      <c r="D1773" s="47" t="s">
        <v>4451</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4624</v>
      </c>
    </row>
    <row r="1774" s="4" customFormat="1" ht="20" hidden="1" customHeight="1" spans="1:14">
      <c r="A1774" s="46">
        <v>45564</v>
      </c>
      <c r="B1774" s="47"/>
      <c r="C1774" s="47"/>
      <c r="D1774" s="47" t="s">
        <v>4569</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4625</v>
      </c>
    </row>
    <row r="1775" s="4" customFormat="1" ht="20" hidden="1" customHeight="1" spans="1:14">
      <c r="A1775" s="46">
        <v>45564</v>
      </c>
      <c r="B1775" s="47"/>
      <c r="C1775" s="47"/>
      <c r="D1775" s="47" t="s">
        <v>4229</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4626</v>
      </c>
    </row>
    <row r="1776" s="4" customFormat="1" ht="20" hidden="1" customHeight="1" spans="1:14">
      <c r="A1776" s="46">
        <v>45564</v>
      </c>
      <c r="B1776" s="47"/>
      <c r="C1776" s="47"/>
      <c r="D1776" s="47" t="s">
        <v>4254</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4627</v>
      </c>
    </row>
    <row r="1777" s="4" customFormat="1" ht="20" hidden="1" customHeight="1" spans="1:14">
      <c r="A1777" s="46">
        <v>45564</v>
      </c>
      <c r="B1777" s="47"/>
      <c r="C1777" s="47"/>
      <c r="D1777" s="47" t="s">
        <v>4254</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4628</v>
      </c>
    </row>
    <row r="1778" s="4" customFormat="1" ht="20" hidden="1" customHeight="1" spans="1:14">
      <c r="A1778" s="46">
        <v>45564</v>
      </c>
      <c r="B1778" s="47"/>
      <c r="C1778" s="47"/>
      <c r="D1778" s="47" t="s">
        <v>4200</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4629</v>
      </c>
    </row>
    <row r="1779" s="4" customFormat="1" ht="20" hidden="1" customHeight="1" spans="1:14">
      <c r="A1779" s="46">
        <v>45565</v>
      </c>
      <c r="B1779" s="47"/>
      <c r="C1779" s="47"/>
      <c r="D1779" s="47" t="s">
        <v>4630</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4631</v>
      </c>
    </row>
    <row r="1780" s="4" customFormat="1" ht="20" hidden="1" customHeight="1" spans="1:14">
      <c r="A1780" s="46">
        <v>45567</v>
      </c>
      <c r="B1780" s="47"/>
      <c r="C1780" s="47"/>
      <c r="D1780" s="47" t="s">
        <v>4353</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4632</v>
      </c>
    </row>
    <row r="1781" s="4" customFormat="1" ht="20" hidden="1" customHeight="1" spans="1:14">
      <c r="A1781" s="46">
        <v>45567</v>
      </c>
      <c r="B1781" s="47"/>
      <c r="C1781" s="47"/>
      <c r="D1781" s="47" t="s">
        <v>4254</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4633</v>
      </c>
    </row>
    <row r="1782" s="4" customFormat="1" ht="20" hidden="1" customHeight="1" spans="1:14">
      <c r="A1782" s="46">
        <v>45567</v>
      </c>
      <c r="B1782" s="47"/>
      <c r="C1782" s="47"/>
      <c r="D1782" s="47" t="s">
        <v>4353</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4634</v>
      </c>
    </row>
    <row r="1783" s="4" customFormat="1" ht="20" hidden="1" customHeight="1" spans="1:14">
      <c r="A1783" s="46">
        <v>45567</v>
      </c>
      <c r="B1783" s="47"/>
      <c r="C1783" s="47"/>
      <c r="D1783" s="47" t="s">
        <v>4229</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4635</v>
      </c>
    </row>
    <row r="1784" s="4" customFormat="1" ht="20" hidden="1" customHeight="1" spans="1:14">
      <c r="A1784" s="46">
        <v>45567</v>
      </c>
      <c r="B1784" s="47"/>
      <c r="C1784" s="47"/>
      <c r="D1784" s="47" t="s">
        <v>4229</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4636</v>
      </c>
    </row>
    <row r="1785" s="4" customFormat="1" ht="20" hidden="1" customHeight="1" spans="1:14">
      <c r="A1785" s="46">
        <v>45567</v>
      </c>
      <c r="B1785" s="47"/>
      <c r="C1785" s="47"/>
      <c r="D1785" s="47" t="s">
        <v>4637</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4638</v>
      </c>
    </row>
    <row r="1786" s="4" customFormat="1" ht="20" hidden="1" customHeight="1" spans="1:14">
      <c r="A1786" s="46">
        <v>45567</v>
      </c>
      <c r="B1786" s="47"/>
      <c r="C1786" s="47"/>
      <c r="D1786" s="47" t="s">
        <v>4254</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4639</v>
      </c>
    </row>
    <row r="1787" s="4" customFormat="1" ht="20" hidden="1" customHeight="1" spans="1:14">
      <c r="A1787" s="46">
        <v>45567</v>
      </c>
      <c r="B1787" s="47"/>
      <c r="C1787" s="47"/>
      <c r="D1787" s="47" t="s">
        <v>4353</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4640</v>
      </c>
    </row>
    <row r="1788" s="4" customFormat="1" ht="20" hidden="1" customHeight="1" spans="1:14">
      <c r="A1788" s="46">
        <v>45568</v>
      </c>
      <c r="B1788" s="47"/>
      <c r="C1788" s="47"/>
      <c r="D1788" s="47" t="s">
        <v>4630</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4641</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4642</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4643</v>
      </c>
    </row>
    <row r="1791" s="4" customFormat="1" ht="20" hidden="1" customHeight="1" spans="1:14">
      <c r="A1791" s="46">
        <v>45569</v>
      </c>
      <c r="B1791" s="47"/>
      <c r="C1791" s="47"/>
      <c r="D1791" s="47" t="s">
        <v>4155</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4644</v>
      </c>
    </row>
    <row r="1792" s="4" customFormat="1" ht="20" hidden="1" customHeight="1" spans="1:14">
      <c r="A1792" s="46">
        <v>45570</v>
      </c>
      <c r="B1792" s="47"/>
      <c r="C1792" s="47"/>
      <c r="D1792" s="47" t="s">
        <v>4155</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4645</v>
      </c>
    </row>
    <row r="1793" s="4" customFormat="1" ht="20" hidden="1" customHeight="1" spans="1:14">
      <c r="A1793" s="46">
        <v>45570</v>
      </c>
      <c r="B1793" s="47"/>
      <c r="C1793" s="47"/>
      <c r="D1793" s="47" t="s">
        <v>4155</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4646</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4647</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4648</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4649</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4650</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4651</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4652</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4653</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4654</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4655</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4656</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4657</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4658</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4659</v>
      </c>
    </row>
    <row r="1807" s="4" customFormat="1" ht="20" hidden="1" customHeight="1" spans="1:14">
      <c r="A1807" s="46">
        <v>45571</v>
      </c>
      <c r="B1807" s="47"/>
      <c r="C1807" s="47"/>
      <c r="D1807" s="47" t="s">
        <v>4260</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4660</v>
      </c>
    </row>
    <row r="1808" s="4" customFormat="1" ht="20" hidden="1" customHeight="1" spans="1:14">
      <c r="A1808" s="46">
        <v>45572</v>
      </c>
      <c r="B1808" s="47"/>
      <c r="C1808" s="47"/>
      <c r="D1808" s="47" t="s">
        <v>4260</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4661</v>
      </c>
    </row>
    <row r="1809" s="4" customFormat="1" ht="20" hidden="1" customHeight="1" spans="1:14">
      <c r="A1809" s="46">
        <v>45572</v>
      </c>
      <c r="B1809" s="47"/>
      <c r="C1809" s="47"/>
      <c r="D1809" s="47" t="s">
        <v>4260</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4662</v>
      </c>
    </row>
    <row r="1810" s="4" customFormat="1" ht="20" hidden="1" customHeight="1" spans="1:14">
      <c r="A1810" s="46">
        <v>45572</v>
      </c>
      <c r="B1810" s="47"/>
      <c r="C1810" s="47"/>
      <c r="D1810" s="47" t="s">
        <v>4229</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4663</v>
      </c>
    </row>
    <row r="1811" s="4" customFormat="1" ht="20" hidden="1" customHeight="1" spans="1:14">
      <c r="A1811" s="46">
        <v>45572</v>
      </c>
      <c r="B1811" s="47"/>
      <c r="C1811" s="47"/>
      <c r="D1811" s="47" t="s">
        <v>4664</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4665</v>
      </c>
    </row>
    <row r="1812" s="4" customFormat="1" ht="20" hidden="1" customHeight="1" spans="1:14">
      <c r="A1812" s="46">
        <v>45572</v>
      </c>
      <c r="B1812" s="47"/>
      <c r="C1812" s="47"/>
      <c r="D1812" s="47" t="s">
        <v>4210</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4666</v>
      </c>
    </row>
    <row r="1813" s="4" customFormat="1" ht="20" hidden="1" customHeight="1" spans="1:14">
      <c r="A1813" s="46">
        <v>45572</v>
      </c>
      <c r="B1813" s="47"/>
      <c r="C1813" s="47"/>
      <c r="D1813" s="47" t="s">
        <v>4064</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4667</v>
      </c>
    </row>
    <row r="1814" s="4" customFormat="1" ht="20" hidden="1" customHeight="1" spans="1:14">
      <c r="A1814" s="46">
        <v>45572</v>
      </c>
      <c r="B1814" s="47"/>
      <c r="C1814" s="47"/>
      <c r="D1814" s="47" t="s">
        <v>4064</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4668</v>
      </c>
    </row>
    <row r="1815" s="4" customFormat="1" ht="20" hidden="1" customHeight="1" spans="1:14">
      <c r="A1815" s="46">
        <v>45572</v>
      </c>
      <c r="B1815" s="47"/>
      <c r="C1815" s="47"/>
      <c r="D1815" s="47" t="s">
        <v>4064</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4669</v>
      </c>
    </row>
    <row r="1816" s="4" customFormat="1" ht="20" hidden="1" customHeight="1" spans="1:14">
      <c r="A1816" s="46">
        <v>45572</v>
      </c>
      <c r="B1816" s="47"/>
      <c r="C1816" s="47"/>
      <c r="D1816" s="47" t="s">
        <v>4064</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4670</v>
      </c>
    </row>
    <row r="1817" s="4" customFormat="1" ht="20" hidden="1" customHeight="1" spans="1:14">
      <c r="A1817" s="46">
        <v>45572</v>
      </c>
      <c r="B1817" s="47"/>
      <c r="C1817" s="47"/>
      <c r="D1817" s="47" t="s">
        <v>4254</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4671</v>
      </c>
    </row>
    <row r="1818" s="4" customFormat="1" ht="20" hidden="1" customHeight="1" spans="1:14">
      <c r="A1818" s="46">
        <v>45572</v>
      </c>
      <c r="B1818" s="47"/>
      <c r="C1818" s="47"/>
      <c r="D1818" s="47" t="s">
        <v>4254</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4672</v>
      </c>
    </row>
    <row r="1819" s="4" customFormat="1" ht="20" hidden="1" customHeight="1" spans="1:14">
      <c r="A1819" s="46">
        <v>45572</v>
      </c>
      <c r="B1819" s="47"/>
      <c r="C1819" s="47"/>
      <c r="D1819" s="47" t="s">
        <v>4254</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4673</v>
      </c>
    </row>
    <row r="1820" s="4" customFormat="1" ht="20" hidden="1" customHeight="1" spans="1:14">
      <c r="A1820" s="46">
        <v>45572</v>
      </c>
      <c r="B1820" s="47"/>
      <c r="C1820" s="47"/>
      <c r="D1820" s="47" t="s">
        <v>4254</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4674</v>
      </c>
    </row>
    <row r="1821" s="4" customFormat="1" ht="20" hidden="1" customHeight="1" spans="1:14">
      <c r="A1821" s="46">
        <v>45572</v>
      </c>
      <c r="B1821" s="47"/>
      <c r="C1821" s="47"/>
      <c r="D1821" s="47" t="s">
        <v>4254</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4675</v>
      </c>
    </row>
    <row r="1822" s="4" customFormat="1" ht="20" hidden="1" customHeight="1" spans="1:14">
      <c r="A1822" s="46">
        <v>45572</v>
      </c>
      <c r="B1822" s="47"/>
      <c r="C1822" s="47"/>
      <c r="D1822" s="47" t="s">
        <v>4254</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4676</v>
      </c>
    </row>
    <row r="1823" s="4" customFormat="1" ht="20" hidden="1" customHeight="1" spans="1:14">
      <c r="A1823" s="46">
        <v>45572</v>
      </c>
      <c r="B1823" s="47"/>
      <c r="C1823" s="47"/>
      <c r="D1823" s="47" t="s">
        <v>4254</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4677</v>
      </c>
    </row>
    <row r="1824" s="4" customFormat="1" ht="20" hidden="1" customHeight="1" spans="1:14">
      <c r="A1824" s="46">
        <v>45572</v>
      </c>
      <c r="B1824" s="47"/>
      <c r="C1824" s="47"/>
      <c r="D1824" s="47" t="s">
        <v>4451</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4678</v>
      </c>
    </row>
    <row r="1825" s="4" customFormat="1" ht="20" hidden="1" customHeight="1" spans="1:14">
      <c r="A1825" s="46">
        <v>45572</v>
      </c>
      <c r="B1825" s="47"/>
      <c r="C1825" s="47"/>
      <c r="D1825" s="47" t="s">
        <v>4288</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4679</v>
      </c>
    </row>
    <row r="1826" s="4" customFormat="1" ht="20" hidden="1" customHeight="1" spans="1:14">
      <c r="A1826" s="46">
        <v>45572</v>
      </c>
      <c r="B1826" s="47"/>
      <c r="C1826" s="47"/>
      <c r="D1826" s="47" t="s">
        <v>4458</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4680</v>
      </c>
    </row>
    <row r="1827" s="4" customFormat="1" ht="20" hidden="1" customHeight="1" spans="1:14">
      <c r="A1827" s="46">
        <v>45572</v>
      </c>
      <c r="B1827" s="47"/>
      <c r="C1827" s="47"/>
      <c r="D1827" s="47" t="s">
        <v>4258</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4681</v>
      </c>
    </row>
    <row r="1828" s="4" customFormat="1" ht="20" hidden="1" customHeight="1" spans="1:14">
      <c r="A1828" s="46">
        <v>45572</v>
      </c>
      <c r="B1828" s="47"/>
      <c r="C1828" s="47"/>
      <c r="D1828" s="47" t="s">
        <v>4364</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4682</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4683</v>
      </c>
    </row>
    <row r="1830" s="4" customFormat="1" ht="20" hidden="1" customHeight="1" spans="1:14">
      <c r="A1830" s="46">
        <v>45572</v>
      </c>
      <c r="B1830" s="47"/>
      <c r="C1830" s="47"/>
      <c r="D1830" s="47" t="s">
        <v>4684</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4685</v>
      </c>
    </row>
    <row r="1831" s="4" customFormat="1" ht="20" hidden="1" customHeight="1" spans="1:14">
      <c r="A1831" s="46">
        <v>45572</v>
      </c>
      <c r="B1831" s="47"/>
      <c r="C1831" s="47"/>
      <c r="D1831" s="47" t="s">
        <v>4684</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4686</v>
      </c>
    </row>
    <row r="1832" s="4" customFormat="1" ht="20" hidden="1" customHeight="1" spans="1:14">
      <c r="A1832" s="46">
        <v>45573</v>
      </c>
      <c r="B1832" s="47"/>
      <c r="C1832" s="47"/>
      <c r="D1832" s="47" t="s">
        <v>4415</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4687</v>
      </c>
    </row>
    <row r="1833" s="4" customFormat="1" ht="20" hidden="1" customHeight="1" spans="1:14">
      <c r="A1833" s="46">
        <v>45573</v>
      </c>
      <c r="B1833" s="47"/>
      <c r="C1833" s="47"/>
      <c r="D1833" s="47" t="s">
        <v>4415</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4688</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4689</v>
      </c>
    </row>
    <row r="1835" s="4" customFormat="1" ht="20" hidden="1" customHeight="1" spans="1:14">
      <c r="A1835" s="46">
        <v>45573</v>
      </c>
      <c r="B1835" s="47"/>
      <c r="C1835" s="47"/>
      <c r="D1835" s="47" t="s">
        <v>4364</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4690</v>
      </c>
    </row>
    <row r="1836" s="4" customFormat="1" ht="20" hidden="1" customHeight="1" spans="1:14">
      <c r="A1836" s="46">
        <v>45574</v>
      </c>
      <c r="B1836" s="47"/>
      <c r="C1836" s="47"/>
      <c r="D1836" s="47" t="s">
        <v>4458</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4691</v>
      </c>
    </row>
    <row r="1837" s="4" customFormat="1" ht="20" hidden="1" customHeight="1" spans="1:14">
      <c r="A1837" s="46">
        <v>45574</v>
      </c>
      <c r="B1837" s="47"/>
      <c r="C1837" s="47"/>
      <c r="D1837" s="47" t="s">
        <v>4569</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4692</v>
      </c>
    </row>
    <row r="1838" s="4" customFormat="1" ht="20" hidden="1" customHeight="1" spans="1:14">
      <c r="A1838" s="46">
        <v>45574</v>
      </c>
      <c r="B1838" s="47"/>
      <c r="C1838" s="47"/>
      <c r="D1838" s="47" t="s">
        <v>4353</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4693</v>
      </c>
    </row>
    <row r="1839" s="4" customFormat="1" ht="20" hidden="1" customHeight="1" spans="1:14">
      <c r="A1839" s="46">
        <v>45574</v>
      </c>
      <c r="B1839" s="47"/>
      <c r="C1839" s="47"/>
      <c r="D1839" s="47" t="s">
        <v>4260</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4694</v>
      </c>
    </row>
    <row r="1840" s="4" customFormat="1" ht="20" hidden="1" customHeight="1" spans="1:14">
      <c r="A1840" s="46">
        <v>45574</v>
      </c>
      <c r="B1840" s="47"/>
      <c r="C1840" s="47"/>
      <c r="D1840" s="47" t="s">
        <v>4451</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4695</v>
      </c>
    </row>
    <row r="1841" s="4" customFormat="1" ht="20" hidden="1" customHeight="1" spans="1:14">
      <c r="A1841" s="46">
        <v>45574</v>
      </c>
      <c r="B1841" s="47"/>
      <c r="C1841" s="47"/>
      <c r="D1841" s="47" t="s">
        <v>4288</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4696</v>
      </c>
    </row>
    <row r="1842" s="4" customFormat="1" ht="20" hidden="1" customHeight="1" spans="1:14">
      <c r="A1842" s="46">
        <v>45574</v>
      </c>
      <c r="B1842" s="47"/>
      <c r="C1842" s="47"/>
      <c r="D1842" s="47" t="s">
        <v>4258</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4697</v>
      </c>
    </row>
    <row r="1843" s="4" customFormat="1" ht="20" hidden="1" customHeight="1" spans="1:14">
      <c r="A1843" s="46">
        <v>45574</v>
      </c>
      <c r="B1843" s="47"/>
      <c r="C1843" s="47"/>
      <c r="D1843" s="47" t="s">
        <v>4278</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4698</v>
      </c>
    </row>
    <row r="1844" s="4" customFormat="1" ht="20" hidden="1" customHeight="1" spans="1:14">
      <c r="A1844" s="46">
        <v>45575</v>
      </c>
      <c r="B1844" s="47"/>
      <c r="C1844" s="47"/>
      <c r="D1844" s="47" t="s">
        <v>4353</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4699</v>
      </c>
    </row>
    <row r="1845" s="4" customFormat="1" ht="20" hidden="1" customHeight="1" spans="1:14">
      <c r="A1845" s="46">
        <v>45575</v>
      </c>
      <c r="B1845" s="47"/>
      <c r="C1845" s="47"/>
      <c r="D1845" s="47" t="s">
        <v>4260</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4700</v>
      </c>
    </row>
    <row r="1846" s="4" customFormat="1" ht="20" hidden="1" customHeight="1" spans="1:14">
      <c r="A1846" s="46">
        <v>45575</v>
      </c>
      <c r="B1846" s="47"/>
      <c r="C1846" s="47"/>
      <c r="D1846" s="47" t="s">
        <v>4408</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4701</v>
      </c>
    </row>
    <row r="1847" s="4" customFormat="1" ht="20" hidden="1" customHeight="1" spans="1:14">
      <c r="A1847" s="46">
        <v>45575</v>
      </c>
      <c r="B1847" s="47"/>
      <c r="C1847" s="47"/>
      <c r="D1847" s="47" t="s">
        <v>4408</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4702</v>
      </c>
    </row>
    <row r="1848" s="4" customFormat="1" ht="20" hidden="1" customHeight="1" spans="1:14">
      <c r="A1848" s="46">
        <v>45576</v>
      </c>
      <c r="B1848" s="47"/>
      <c r="C1848" s="47"/>
      <c r="D1848" s="47" t="s">
        <v>4703</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4704</v>
      </c>
    </row>
    <row r="1849" s="4" customFormat="1" ht="20" hidden="1" customHeight="1" spans="1:14">
      <c r="A1849" s="46">
        <v>45576</v>
      </c>
      <c r="B1849" s="47"/>
      <c r="C1849" s="47"/>
      <c r="D1849" s="47" t="s">
        <v>4705</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4706</v>
      </c>
    </row>
    <row r="1850" s="4" customFormat="1" ht="20" hidden="1" customHeight="1" spans="1:14">
      <c r="A1850" s="46">
        <v>45576</v>
      </c>
      <c r="B1850" s="47"/>
      <c r="C1850" s="47"/>
      <c r="D1850" s="47" t="s">
        <v>4353</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4707</v>
      </c>
    </row>
    <row r="1851" s="4" customFormat="1" ht="20" hidden="1" customHeight="1" spans="1:14">
      <c r="A1851" s="46">
        <v>45576</v>
      </c>
      <c r="B1851" s="47"/>
      <c r="C1851" s="47"/>
      <c r="D1851" s="47" t="s">
        <v>4353</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4708</v>
      </c>
    </row>
    <row r="1852" s="4" customFormat="1" ht="20" hidden="1" customHeight="1" spans="1:14">
      <c r="A1852" s="46">
        <v>45576</v>
      </c>
      <c r="B1852" s="47"/>
      <c r="C1852" s="47"/>
      <c r="D1852" s="47" t="s">
        <v>4353</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4709</v>
      </c>
    </row>
    <row r="1853" s="4" customFormat="1" ht="20" hidden="1" customHeight="1" spans="1:14">
      <c r="A1853" s="46">
        <v>45576</v>
      </c>
      <c r="B1853" s="47"/>
      <c r="C1853" s="47"/>
      <c r="D1853" s="47" t="s">
        <v>4710</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4711</v>
      </c>
    </row>
    <row r="1854" s="4" customFormat="1" ht="20" hidden="1" customHeight="1" spans="1:14">
      <c r="A1854" s="46">
        <v>45576</v>
      </c>
      <c r="B1854" s="47"/>
      <c r="C1854" s="47"/>
      <c r="D1854" s="47" t="s">
        <v>4710</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4712</v>
      </c>
    </row>
    <row r="1855" s="4" customFormat="1" ht="20" hidden="1" customHeight="1" spans="1:14">
      <c r="A1855" s="46">
        <v>45576</v>
      </c>
      <c r="B1855" s="47"/>
      <c r="C1855" s="47"/>
      <c r="D1855" s="47" t="s">
        <v>4710</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4713</v>
      </c>
    </row>
    <row r="1856" s="4" customFormat="1" ht="20" hidden="1" customHeight="1" spans="1:14">
      <c r="A1856" s="46">
        <v>45576</v>
      </c>
      <c r="B1856" s="47"/>
      <c r="C1856" s="47"/>
      <c r="D1856" s="47" t="s">
        <v>4710</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4714</v>
      </c>
    </row>
    <row r="1857" s="4" customFormat="1" ht="20" hidden="1" customHeight="1" spans="1:14">
      <c r="A1857" s="46">
        <v>45576</v>
      </c>
      <c r="B1857" s="47"/>
      <c r="C1857" s="47"/>
      <c r="D1857" s="47" t="s">
        <v>4451</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4715</v>
      </c>
    </row>
    <row r="1858" s="4" customFormat="1" ht="20" hidden="1" customHeight="1" spans="1:14">
      <c r="A1858" s="46">
        <v>45576</v>
      </c>
      <c r="B1858" s="47"/>
      <c r="C1858" s="47"/>
      <c r="D1858" s="47" t="s">
        <v>4451</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4716</v>
      </c>
    </row>
    <row r="1859" s="4" customFormat="1" ht="20" hidden="1" customHeight="1" spans="1:14">
      <c r="A1859" s="46">
        <v>45576</v>
      </c>
      <c r="B1859" s="47"/>
      <c r="C1859" s="47"/>
      <c r="D1859" s="47" t="s">
        <v>4258</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4717</v>
      </c>
    </row>
    <row r="1860" s="4" customFormat="1" ht="20" hidden="1" customHeight="1" spans="1:14">
      <c r="A1860" s="46">
        <v>45576</v>
      </c>
      <c r="B1860" s="47"/>
      <c r="C1860" s="47"/>
      <c r="D1860" s="47" t="s">
        <v>4258</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4718</v>
      </c>
    </row>
    <row r="1861" s="4" customFormat="1" ht="20" hidden="1" customHeight="1" spans="1:14">
      <c r="A1861" s="46">
        <v>45576</v>
      </c>
      <c r="B1861" s="47"/>
      <c r="C1861" s="47"/>
      <c r="D1861" s="47" t="s">
        <v>4254</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4719</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4720</v>
      </c>
    </row>
    <row r="1863" s="4" customFormat="1" ht="20" hidden="1" customHeight="1" spans="1:14">
      <c r="A1863" s="46">
        <v>45577</v>
      </c>
      <c r="B1863" s="47"/>
      <c r="C1863" s="47"/>
      <c r="D1863" s="47" t="s">
        <v>4260</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4721</v>
      </c>
    </row>
    <row r="1864" s="4" customFormat="1" ht="20" hidden="1" customHeight="1" spans="1:14">
      <c r="A1864" s="46">
        <v>45577</v>
      </c>
      <c r="B1864" s="47"/>
      <c r="C1864" s="47"/>
      <c r="D1864" s="47" t="s">
        <v>4229</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4722</v>
      </c>
    </row>
    <row r="1865" s="4" customFormat="1" ht="20" hidden="1" customHeight="1" spans="1:14">
      <c r="A1865" s="46">
        <v>45577</v>
      </c>
      <c r="B1865" s="47"/>
      <c r="C1865" s="47"/>
      <c r="D1865" s="47" t="s">
        <v>4723</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4724</v>
      </c>
    </row>
    <row r="1866" s="4" customFormat="1" ht="20" hidden="1" customHeight="1" spans="1:14">
      <c r="A1866" s="46">
        <v>45577</v>
      </c>
      <c r="B1866" s="47"/>
      <c r="C1866" s="47"/>
      <c r="D1866" s="47" t="s">
        <v>4569</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4725</v>
      </c>
    </row>
    <row r="1867" s="4" customFormat="1" ht="20" hidden="1" customHeight="1" spans="1:14">
      <c r="A1867" s="46">
        <v>45577</v>
      </c>
      <c r="B1867" s="47"/>
      <c r="C1867" s="47"/>
      <c r="D1867" s="47" t="s">
        <v>4723</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4726</v>
      </c>
    </row>
    <row r="1868" s="4" customFormat="1" ht="20" hidden="1" customHeight="1" spans="1:14">
      <c r="A1868" s="46">
        <v>45577</v>
      </c>
      <c r="B1868" s="47"/>
      <c r="C1868" s="47"/>
      <c r="D1868" s="47" t="s">
        <v>4288</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4727</v>
      </c>
    </row>
    <row r="1869" s="4" customFormat="1" ht="20" hidden="1" customHeight="1" spans="1:14">
      <c r="A1869" s="46">
        <v>45577</v>
      </c>
      <c r="B1869" s="47"/>
      <c r="C1869" s="47"/>
      <c r="D1869" s="47" t="s">
        <v>4258</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4728</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4729</v>
      </c>
    </row>
    <row r="1871" s="4" customFormat="1" ht="20" hidden="1" customHeight="1" spans="1:14">
      <c r="A1871" s="46">
        <v>45578</v>
      </c>
      <c r="B1871" s="47"/>
      <c r="C1871" s="47"/>
      <c r="D1871" s="47" t="s">
        <v>4064</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4730</v>
      </c>
    </row>
    <row r="1872" s="4" customFormat="1" ht="20" hidden="1" customHeight="1" spans="1:14">
      <c r="A1872" s="46">
        <v>45578</v>
      </c>
      <c r="B1872" s="47"/>
      <c r="C1872" s="47"/>
      <c r="D1872" s="47" t="s">
        <v>4254</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4731</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4732</v>
      </c>
    </row>
    <row r="1874" s="4" customFormat="1" ht="20" hidden="1" customHeight="1" spans="1:14">
      <c r="A1874" s="46">
        <v>45578</v>
      </c>
      <c r="B1874" s="47"/>
      <c r="C1874" s="47"/>
      <c r="D1874" s="47" t="s">
        <v>4710</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4733</v>
      </c>
    </row>
    <row r="1875" s="4" customFormat="1" ht="20" hidden="1" customHeight="1" spans="1:14">
      <c r="A1875" s="46">
        <v>45578</v>
      </c>
      <c r="B1875" s="47"/>
      <c r="C1875" s="47"/>
      <c r="D1875" s="47" t="s">
        <v>4710</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4734</v>
      </c>
    </row>
    <row r="1876" s="4" customFormat="1" ht="20" hidden="1" customHeight="1" spans="1:14">
      <c r="A1876" s="46">
        <v>45578</v>
      </c>
      <c r="B1876" s="47"/>
      <c r="C1876" s="47"/>
      <c r="D1876" s="47" t="s">
        <v>4710</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4735</v>
      </c>
    </row>
    <row r="1877" s="4" customFormat="1" ht="20" hidden="1" customHeight="1" spans="1:14">
      <c r="A1877" s="46">
        <v>45578</v>
      </c>
      <c r="B1877" s="47"/>
      <c r="C1877" s="47"/>
      <c r="D1877" s="47" t="s">
        <v>4710</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4736</v>
      </c>
    </row>
    <row r="1878" s="4" customFormat="1" ht="20" hidden="1" customHeight="1" spans="1:14">
      <c r="A1878" s="46">
        <v>45578</v>
      </c>
      <c r="B1878" s="47"/>
      <c r="C1878" s="47"/>
      <c r="D1878" s="47" t="s">
        <v>4710</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4737</v>
      </c>
    </row>
    <row r="1879" s="4" customFormat="1" ht="20" hidden="1" customHeight="1" spans="1:14">
      <c r="A1879" s="46">
        <v>45578</v>
      </c>
      <c r="B1879" s="47"/>
      <c r="C1879" s="47"/>
      <c r="D1879" s="47" t="s">
        <v>4710</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4738</v>
      </c>
    </row>
    <row r="1880" s="4" customFormat="1" ht="20" hidden="1" customHeight="1" spans="1:14">
      <c r="A1880" s="46">
        <v>45579</v>
      </c>
      <c r="B1880" s="47"/>
      <c r="C1880" s="47"/>
      <c r="D1880" s="47" t="s">
        <v>4254</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4739</v>
      </c>
    </row>
    <row r="1881" s="4" customFormat="1" ht="20" hidden="1" customHeight="1" spans="1:14">
      <c r="A1881" s="46">
        <v>45579</v>
      </c>
      <c r="B1881" s="47"/>
      <c r="C1881" s="47"/>
      <c r="D1881" s="47" t="s">
        <v>4258</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4740</v>
      </c>
    </row>
    <row r="1882" s="4" customFormat="1" ht="20" hidden="1" customHeight="1" spans="1:14">
      <c r="A1882" s="46">
        <v>45579</v>
      </c>
      <c r="B1882" s="47"/>
      <c r="C1882" s="47"/>
      <c r="D1882" s="47" t="s">
        <v>4258</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4741</v>
      </c>
    </row>
    <row r="1883" s="4" customFormat="1" ht="20" hidden="1" customHeight="1" spans="1:14">
      <c r="A1883" s="46">
        <v>45579</v>
      </c>
      <c r="B1883" s="47"/>
      <c r="C1883" s="47"/>
      <c r="D1883" s="47" t="s">
        <v>4451</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4742</v>
      </c>
    </row>
    <row r="1884" s="4" customFormat="1" ht="20" hidden="1" customHeight="1" spans="1:14">
      <c r="A1884" s="46">
        <v>45579</v>
      </c>
      <c r="B1884" s="47"/>
      <c r="C1884" s="47"/>
      <c r="D1884" s="47" t="s">
        <v>4260</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4743</v>
      </c>
    </row>
    <row r="1885" s="4" customFormat="1" ht="20" hidden="1" customHeight="1" spans="1:14">
      <c r="A1885" s="46">
        <v>45579</v>
      </c>
      <c r="B1885" s="47"/>
      <c r="C1885" s="47"/>
      <c r="D1885" s="47" t="s">
        <v>4254</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4744</v>
      </c>
    </row>
    <row r="1886" s="4" customFormat="1" ht="20" hidden="1" customHeight="1" spans="1:14">
      <c r="A1886" s="46">
        <v>45580</v>
      </c>
      <c r="B1886" s="47"/>
      <c r="C1886" s="47"/>
      <c r="D1886" s="47" t="s">
        <v>4254</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4745</v>
      </c>
    </row>
    <row r="1887" s="4" customFormat="1" ht="20" hidden="1" customHeight="1" spans="1:14">
      <c r="A1887" s="46">
        <v>45580</v>
      </c>
      <c r="B1887" s="47"/>
      <c r="C1887" s="47"/>
      <c r="D1887" s="47" t="s">
        <v>4254</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4746</v>
      </c>
    </row>
    <row r="1888" s="4" customFormat="1" ht="20" hidden="1" customHeight="1" spans="1:14">
      <c r="A1888" s="46">
        <v>45580</v>
      </c>
      <c r="B1888" s="47"/>
      <c r="C1888" s="47"/>
      <c r="D1888" s="47" t="s">
        <v>4451</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4747</v>
      </c>
    </row>
    <row r="1889" s="4" customFormat="1" ht="20" hidden="1" customHeight="1" spans="1:14">
      <c r="A1889" s="46">
        <v>45580</v>
      </c>
      <c r="B1889" s="47"/>
      <c r="C1889" s="47"/>
      <c r="D1889" s="47" t="s">
        <v>4451</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4748</v>
      </c>
    </row>
    <row r="1890" s="4" customFormat="1" ht="20" hidden="1" customHeight="1" spans="1:14">
      <c r="A1890" s="46">
        <v>45580</v>
      </c>
      <c r="B1890" s="47"/>
      <c r="C1890" s="47"/>
      <c r="D1890" s="47" t="s">
        <v>4254</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4749</v>
      </c>
    </row>
    <row r="1891" s="4" customFormat="1" ht="20" hidden="1" customHeight="1" spans="1:14">
      <c r="A1891" s="46">
        <v>45580</v>
      </c>
      <c r="B1891" s="47"/>
      <c r="C1891" s="47"/>
      <c r="D1891" s="47" t="s">
        <v>4750</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4751</v>
      </c>
    </row>
    <row r="1892" s="4" customFormat="1" ht="20" hidden="1" customHeight="1" spans="1:14">
      <c r="A1892" s="46">
        <v>45580</v>
      </c>
      <c r="B1892" s="47"/>
      <c r="C1892" s="47"/>
      <c r="D1892" s="47" t="s">
        <v>4569</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4752</v>
      </c>
    </row>
    <row r="1893" s="4" customFormat="1" ht="20" hidden="1" customHeight="1" spans="1:14">
      <c r="A1893" s="46">
        <v>45580</v>
      </c>
      <c r="B1893" s="47"/>
      <c r="C1893" s="47"/>
      <c r="D1893" s="47" t="s">
        <v>4451</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4753</v>
      </c>
    </row>
    <row r="1894" s="4" customFormat="1" ht="20" hidden="1" customHeight="1" spans="1:14">
      <c r="A1894" s="46">
        <v>45580</v>
      </c>
      <c r="B1894" s="47"/>
      <c r="C1894" s="47"/>
      <c r="D1894" s="47" t="s">
        <v>4258</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4754</v>
      </c>
    </row>
    <row r="1895" s="4" customFormat="1" ht="20" hidden="1" customHeight="1" spans="1:14">
      <c r="A1895" s="46">
        <v>45580</v>
      </c>
      <c r="B1895" s="47"/>
      <c r="C1895" s="47"/>
      <c r="D1895" s="47" t="s">
        <v>4451</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4755</v>
      </c>
    </row>
    <row r="1896" s="4" customFormat="1" ht="20" hidden="1" customHeight="1" spans="1:14">
      <c r="A1896" s="46">
        <v>45580</v>
      </c>
      <c r="B1896" s="47"/>
      <c r="C1896" s="47"/>
      <c r="D1896" s="47" t="s">
        <v>4756</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4757</v>
      </c>
    </row>
    <row r="1897" s="4" customFormat="1" ht="20" hidden="1" customHeight="1" spans="1:14">
      <c r="A1897" s="46">
        <v>45580</v>
      </c>
      <c r="B1897" s="47"/>
      <c r="C1897" s="47"/>
      <c r="D1897" s="47" t="s">
        <v>4758</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4759</v>
      </c>
    </row>
    <row r="1898" s="4" customFormat="1" ht="20" hidden="1" customHeight="1" spans="1:14">
      <c r="A1898" s="46">
        <v>45580</v>
      </c>
      <c r="B1898" s="47"/>
      <c r="C1898" s="47"/>
      <c r="D1898" s="47" t="s">
        <v>4758</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4760</v>
      </c>
    </row>
    <row r="1899" s="4" customFormat="1" ht="20" hidden="1" customHeight="1" spans="1:14">
      <c r="A1899" s="46">
        <v>45580</v>
      </c>
      <c r="B1899" s="47"/>
      <c r="C1899" s="47"/>
      <c r="D1899" s="47" t="s">
        <v>4758</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4761</v>
      </c>
    </row>
    <row r="1900" s="4" customFormat="1" ht="20" hidden="1" customHeight="1" spans="1:14">
      <c r="A1900" s="46">
        <v>45580</v>
      </c>
      <c r="B1900" s="47"/>
      <c r="C1900" s="47"/>
      <c r="D1900" s="47" t="s">
        <v>4762</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4763</v>
      </c>
    </row>
    <row r="1901" s="4" customFormat="1" ht="20" hidden="1" customHeight="1" spans="1:14">
      <c r="A1901" s="46">
        <v>45580</v>
      </c>
      <c r="B1901" s="47"/>
      <c r="C1901" s="47"/>
      <c r="D1901" s="47" t="s">
        <v>4710</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4764</v>
      </c>
    </row>
    <row r="1902" s="4" customFormat="1" ht="20" hidden="1" customHeight="1" spans="1:14">
      <c r="A1902" s="46">
        <v>45581</v>
      </c>
      <c r="B1902" s="47"/>
      <c r="C1902" s="47"/>
      <c r="D1902" s="47" t="s">
        <v>4765</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4766</v>
      </c>
    </row>
    <row r="1903" s="4" customFormat="1" ht="20" hidden="1" customHeight="1" spans="1:14">
      <c r="A1903" s="46">
        <v>45581</v>
      </c>
      <c r="B1903" s="47"/>
      <c r="C1903" s="47"/>
      <c r="D1903" s="47" t="s">
        <v>4765</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4767</v>
      </c>
    </row>
    <row r="1904" s="4" customFormat="1" ht="20" hidden="1" customHeight="1" spans="1:14">
      <c r="A1904" s="46">
        <v>45581</v>
      </c>
      <c r="B1904" s="47"/>
      <c r="C1904" s="47"/>
      <c r="D1904" s="47" t="s">
        <v>4765</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4768</v>
      </c>
    </row>
    <row r="1905" s="4" customFormat="1" ht="20" hidden="1" customHeight="1" spans="1:14">
      <c r="A1905" s="46">
        <v>45581</v>
      </c>
      <c r="B1905" s="47"/>
      <c r="C1905" s="47"/>
      <c r="D1905" s="47" t="s">
        <v>4765</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4769</v>
      </c>
    </row>
    <row r="1906" s="4" customFormat="1" ht="20" hidden="1" customHeight="1" spans="1:14">
      <c r="A1906" s="46">
        <v>45581</v>
      </c>
      <c r="B1906" s="47"/>
      <c r="C1906" s="47"/>
      <c r="D1906" s="47" t="s">
        <v>4765</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4770</v>
      </c>
    </row>
    <row r="1907" s="4" customFormat="1" ht="20" hidden="1" customHeight="1" spans="1:14">
      <c r="A1907" s="46">
        <v>45581</v>
      </c>
      <c r="B1907" s="47"/>
      <c r="C1907" s="47"/>
      <c r="D1907" s="47" t="s">
        <v>4765</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4771</v>
      </c>
    </row>
    <row r="1908" s="4" customFormat="1" ht="20" hidden="1" customHeight="1" spans="1:14">
      <c r="A1908" s="46">
        <v>45581</v>
      </c>
      <c r="B1908" s="47"/>
      <c r="C1908" s="47"/>
      <c r="D1908" s="47" t="s">
        <v>4772</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4773</v>
      </c>
    </row>
    <row r="1909" s="4" customFormat="1" ht="20" hidden="1" customHeight="1" spans="1:14">
      <c r="A1909" s="46">
        <v>45581</v>
      </c>
      <c r="B1909" s="47"/>
      <c r="C1909" s="47"/>
      <c r="D1909" s="47" t="s">
        <v>4260</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4774</v>
      </c>
    </row>
    <row r="1910" s="4" customFormat="1" ht="20" hidden="1" customHeight="1" spans="1:14">
      <c r="A1910" s="46">
        <v>45581</v>
      </c>
      <c r="B1910" s="47"/>
      <c r="C1910" s="47"/>
      <c r="D1910" s="47" t="s">
        <v>4415</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4775</v>
      </c>
    </row>
    <row r="1911" s="4" customFormat="1" ht="20" hidden="1" customHeight="1" spans="1:14">
      <c r="A1911" s="46">
        <v>45581</v>
      </c>
      <c r="B1911" s="47"/>
      <c r="C1911" s="47"/>
      <c r="D1911" s="47" t="s">
        <v>4254</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4776</v>
      </c>
    </row>
    <row r="1912" s="4" customFormat="1" ht="20" hidden="1" customHeight="1" spans="1:14">
      <c r="A1912" s="46">
        <v>45581</v>
      </c>
      <c r="B1912" s="47"/>
      <c r="C1912" s="47"/>
      <c r="D1912" s="47" t="s">
        <v>4254</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4777</v>
      </c>
    </row>
    <row r="1913" s="4" customFormat="1" ht="20" hidden="1" customHeight="1" spans="1:14">
      <c r="A1913" s="46">
        <v>45581</v>
      </c>
      <c r="B1913" s="47"/>
      <c r="C1913" s="47"/>
      <c r="D1913" s="47" t="s">
        <v>4064</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4778</v>
      </c>
    </row>
    <row r="1914" s="4" customFormat="1" ht="20" hidden="1" customHeight="1" spans="1:14">
      <c r="A1914" s="46">
        <v>45581</v>
      </c>
      <c r="B1914" s="47"/>
      <c r="C1914" s="47"/>
      <c r="D1914" s="47" t="s">
        <v>4258</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4779</v>
      </c>
    </row>
    <row r="1915" s="4" customFormat="1" ht="20" hidden="1" customHeight="1" spans="1:14">
      <c r="A1915" s="46">
        <v>45581</v>
      </c>
      <c r="B1915" s="47"/>
      <c r="C1915" s="47"/>
      <c r="D1915" s="47" t="s">
        <v>4254</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4780</v>
      </c>
    </row>
    <row r="1916" s="4" customFormat="1" ht="20" hidden="1" customHeight="1" spans="1:14">
      <c r="A1916" s="46">
        <v>45581</v>
      </c>
      <c r="B1916" s="47"/>
      <c r="C1916" s="47"/>
      <c r="D1916" s="47" t="s">
        <v>4254</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4781</v>
      </c>
    </row>
    <row r="1917" s="4" customFormat="1" ht="20" hidden="1" customHeight="1" spans="1:14">
      <c r="A1917" s="46">
        <v>45581</v>
      </c>
      <c r="B1917" s="47"/>
      <c r="C1917" s="47"/>
      <c r="D1917" s="47" t="s">
        <v>4254</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4782</v>
      </c>
    </row>
    <row r="1918" s="4" customFormat="1" ht="20" hidden="1" customHeight="1" spans="1:14">
      <c r="A1918" s="46">
        <v>45581</v>
      </c>
      <c r="B1918" s="47"/>
      <c r="C1918" s="47"/>
      <c r="D1918" s="47" t="s">
        <v>4254</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4783</v>
      </c>
    </row>
    <row r="1919" s="4" customFormat="1" ht="20" hidden="1" customHeight="1" spans="1:14">
      <c r="A1919" s="46">
        <v>45581</v>
      </c>
      <c r="B1919" s="47"/>
      <c r="C1919" s="47"/>
      <c r="D1919" s="47" t="s">
        <v>4451</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4784</v>
      </c>
    </row>
    <row r="1920" s="4" customFormat="1" ht="20" hidden="1" customHeight="1" spans="1:14">
      <c r="A1920" s="46">
        <v>45581</v>
      </c>
      <c r="B1920" s="47"/>
      <c r="C1920" s="47"/>
      <c r="D1920" s="47" t="s">
        <v>4451</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4785</v>
      </c>
    </row>
    <row r="1921" s="4" customFormat="1" ht="20" hidden="1" customHeight="1" spans="1:14">
      <c r="A1921" s="46">
        <v>45581</v>
      </c>
      <c r="B1921" s="47"/>
      <c r="C1921" s="47"/>
      <c r="D1921" s="47" t="s">
        <v>4451</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4786</v>
      </c>
    </row>
    <row r="1922" s="4" customFormat="1" ht="20" hidden="1" customHeight="1" spans="1:14">
      <c r="A1922" s="46">
        <v>45581</v>
      </c>
      <c r="B1922" s="47"/>
      <c r="C1922" s="47"/>
      <c r="D1922" s="47" t="s">
        <v>4451</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4787</v>
      </c>
    </row>
    <row r="1923" s="4" customFormat="1" ht="20" hidden="1" customHeight="1" spans="1:14">
      <c r="A1923" s="46">
        <v>45581</v>
      </c>
      <c r="B1923" s="47"/>
      <c r="C1923" s="47"/>
      <c r="D1923" s="47" t="s">
        <v>4451</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4788</v>
      </c>
    </row>
    <row r="1924" s="4" customFormat="1" ht="20" hidden="1" customHeight="1" spans="1:14">
      <c r="A1924" s="46">
        <v>45581</v>
      </c>
      <c r="B1924" s="47"/>
      <c r="C1924" s="47"/>
      <c r="D1924" s="47" t="s">
        <v>4200</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4789</v>
      </c>
    </row>
    <row r="1925" s="4" customFormat="1" ht="20" hidden="1" customHeight="1" spans="1:14">
      <c r="A1925" s="46">
        <v>45581</v>
      </c>
      <c r="B1925" s="47"/>
      <c r="C1925" s="47"/>
      <c r="D1925" s="47" t="s">
        <v>4260</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4790</v>
      </c>
    </row>
    <row r="1926" s="4" customFormat="1" ht="20" hidden="1" customHeight="1" spans="1:14">
      <c r="A1926" s="46">
        <v>45582</v>
      </c>
      <c r="B1926" s="47"/>
      <c r="C1926" s="47"/>
      <c r="D1926" s="47" t="s">
        <v>4451</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4791</v>
      </c>
    </row>
    <row r="1927" s="4" customFormat="1" ht="20" hidden="1" customHeight="1" spans="1:14">
      <c r="A1927" s="46">
        <v>45583</v>
      </c>
      <c r="B1927" s="47"/>
      <c r="C1927" s="47"/>
      <c r="D1927" s="47" t="s">
        <v>4254</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4792</v>
      </c>
    </row>
    <row r="1928" s="4" customFormat="1" ht="20" hidden="1" customHeight="1" spans="1:14">
      <c r="A1928" s="46">
        <v>45583</v>
      </c>
      <c r="B1928" s="47"/>
      <c r="C1928" s="47"/>
      <c r="D1928" s="47" t="s">
        <v>4575</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4793</v>
      </c>
    </row>
    <row r="1929" s="4" customFormat="1" ht="20" hidden="1" customHeight="1" spans="1:14">
      <c r="A1929" s="46">
        <v>45583</v>
      </c>
      <c r="B1929" s="47"/>
      <c r="C1929" s="47"/>
      <c r="D1929" s="47" t="s">
        <v>4260</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4794</v>
      </c>
    </row>
    <row r="1930" s="4" customFormat="1" ht="20" hidden="1" customHeight="1" spans="1:14">
      <c r="A1930" s="46">
        <v>45586</v>
      </c>
      <c r="B1930" s="47"/>
      <c r="C1930" s="47"/>
      <c r="D1930" s="47" t="s">
        <v>4200</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4795</v>
      </c>
    </row>
    <row r="1931" s="4" customFormat="1" ht="20" hidden="1" customHeight="1" spans="1:14">
      <c r="A1931" s="46">
        <v>45586</v>
      </c>
      <c r="B1931" s="47"/>
      <c r="C1931" s="47"/>
      <c r="D1931" s="47" t="s">
        <v>4200</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4796</v>
      </c>
    </row>
    <row r="1932" s="4" customFormat="1" ht="20" hidden="1" customHeight="1" spans="1:14">
      <c r="A1932" s="46">
        <v>45586</v>
      </c>
      <c r="B1932" s="47"/>
      <c r="C1932" s="47"/>
      <c r="D1932" s="47" t="s">
        <v>4200</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4797</v>
      </c>
    </row>
    <row r="1933" s="4" customFormat="1" ht="20" hidden="1" customHeight="1" spans="1:14">
      <c r="A1933" s="46">
        <v>45586</v>
      </c>
      <c r="B1933" s="47"/>
      <c r="C1933" s="47"/>
      <c r="D1933" s="47" t="s">
        <v>4260</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4798</v>
      </c>
    </row>
    <row r="1934" s="4" customFormat="1" ht="20" hidden="1" customHeight="1" spans="1:14">
      <c r="A1934" s="46">
        <v>45587</v>
      </c>
      <c r="B1934" s="47"/>
      <c r="C1934" s="47"/>
      <c r="D1934" s="47" t="s">
        <v>4353</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4799</v>
      </c>
    </row>
    <row r="1935" s="4" customFormat="1" ht="20" hidden="1" customHeight="1" spans="1:14">
      <c r="A1935" s="46">
        <v>45587</v>
      </c>
      <c r="B1935" s="47"/>
      <c r="C1935" s="47"/>
      <c r="D1935" s="47" t="s">
        <v>4210</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4800</v>
      </c>
    </row>
    <row r="1936" s="4" customFormat="1" ht="20" hidden="1" customHeight="1" spans="1:14">
      <c r="A1936" s="46">
        <v>45587</v>
      </c>
      <c r="B1936" s="47"/>
      <c r="C1936" s="47"/>
      <c r="D1936" s="47" t="s">
        <v>4210</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4801</v>
      </c>
    </row>
    <row r="1937" s="4" customFormat="1" ht="20" hidden="1" customHeight="1" spans="1:14">
      <c r="A1937" s="46">
        <v>45587</v>
      </c>
      <c r="B1937" s="47"/>
      <c r="C1937" s="47"/>
      <c r="D1937" s="47" t="s">
        <v>4802</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4803</v>
      </c>
    </row>
    <row r="1938" s="4" customFormat="1" ht="20" hidden="1" customHeight="1" spans="1:14">
      <c r="A1938" s="46">
        <v>45587</v>
      </c>
      <c r="B1938" s="47"/>
      <c r="C1938" s="47"/>
      <c r="D1938" s="47" t="s">
        <v>4260</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4804</v>
      </c>
    </row>
    <row r="1939" s="4" customFormat="1" ht="20" hidden="1" customHeight="1" spans="1:14">
      <c r="A1939" s="46">
        <v>45587</v>
      </c>
      <c r="B1939" s="47"/>
      <c r="C1939" s="47"/>
      <c r="D1939" s="47" t="s">
        <v>4364</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4805</v>
      </c>
    </row>
    <row r="1940" s="4" customFormat="1" ht="20" hidden="1" customHeight="1" spans="1:14">
      <c r="A1940" s="46">
        <v>45587</v>
      </c>
      <c r="B1940" s="47"/>
      <c r="C1940" s="47"/>
      <c r="D1940" s="47" t="s">
        <v>4806</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4807</v>
      </c>
    </row>
    <row r="1941" s="4" customFormat="1" ht="20" hidden="1" customHeight="1" spans="1:14">
      <c r="A1941" s="46">
        <v>45588</v>
      </c>
      <c r="B1941" s="47"/>
      <c r="C1941" s="47"/>
      <c r="D1941" s="47" t="s">
        <v>4288</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4808</v>
      </c>
    </row>
    <row r="1942" s="4" customFormat="1" ht="20" hidden="1" customHeight="1" spans="1:14">
      <c r="A1942" s="46">
        <v>45588</v>
      </c>
      <c r="B1942" s="47"/>
      <c r="C1942" s="47"/>
      <c r="D1942" s="47" t="s">
        <v>4451</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4809</v>
      </c>
    </row>
    <row r="1943" s="4" customFormat="1" ht="20" hidden="1" customHeight="1" spans="1:14">
      <c r="A1943" s="46">
        <v>45588</v>
      </c>
      <c r="B1943" s="47"/>
      <c r="C1943" s="47"/>
      <c r="D1943" s="47" t="s">
        <v>4258</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4810</v>
      </c>
    </row>
    <row r="1944" s="4" customFormat="1" ht="20" hidden="1" customHeight="1" spans="1:14">
      <c r="A1944" s="46">
        <v>45588</v>
      </c>
      <c r="B1944" s="47"/>
      <c r="C1944" s="47"/>
      <c r="D1944" s="47" t="s">
        <v>4451</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4811</v>
      </c>
    </row>
    <row r="1945" s="4" customFormat="1" ht="20" hidden="1" customHeight="1" spans="1:14">
      <c r="A1945" s="46">
        <v>45588</v>
      </c>
      <c r="B1945" s="47"/>
      <c r="C1945" s="47"/>
      <c r="D1945" s="47" t="s">
        <v>4575</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4812</v>
      </c>
    </row>
    <row r="1946" s="4" customFormat="1" ht="20" hidden="1" customHeight="1" spans="1:14">
      <c r="A1946" s="46">
        <v>45588</v>
      </c>
      <c r="B1946" s="47"/>
      <c r="C1946" s="47"/>
      <c r="D1946" s="47" t="s">
        <v>4575</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4813</v>
      </c>
    </row>
    <row r="1947" s="4" customFormat="1" ht="20" hidden="1" customHeight="1" spans="1:14">
      <c r="A1947" s="46">
        <v>45588</v>
      </c>
      <c r="B1947" s="47"/>
      <c r="C1947" s="47"/>
      <c r="D1947" s="47" t="s">
        <v>4229</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4814</v>
      </c>
    </row>
    <row r="1948" s="4" customFormat="1" ht="20" hidden="1" customHeight="1" spans="1:14">
      <c r="A1948" s="46">
        <v>45588</v>
      </c>
      <c r="B1948" s="47"/>
      <c r="C1948" s="47"/>
      <c r="D1948" s="47" t="s">
        <v>4254</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4815</v>
      </c>
    </row>
    <row r="1949" s="4" customFormat="1" ht="20" hidden="1" customHeight="1" spans="1:14">
      <c r="A1949" s="46">
        <v>45588</v>
      </c>
      <c r="B1949" s="47"/>
      <c r="C1949" s="47"/>
      <c r="D1949" s="47" t="s">
        <v>4210</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4816</v>
      </c>
    </row>
    <row r="1950" s="4" customFormat="1" ht="20" hidden="1" customHeight="1" spans="1:14">
      <c r="A1950" s="46">
        <v>45588</v>
      </c>
      <c r="B1950" s="47"/>
      <c r="C1950" s="47"/>
      <c r="D1950" s="47" t="s">
        <v>4210</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4817</v>
      </c>
    </row>
    <row r="1951" s="4" customFormat="1" ht="20" hidden="1" customHeight="1" spans="1:14">
      <c r="A1951" s="46">
        <v>45589</v>
      </c>
      <c r="B1951" s="47"/>
      <c r="C1951" s="47"/>
      <c r="D1951" s="47" t="s">
        <v>4254</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4818</v>
      </c>
    </row>
    <row r="1952" s="4" customFormat="1" ht="20" hidden="1" customHeight="1" spans="1:14">
      <c r="A1952" s="46">
        <v>45589</v>
      </c>
      <c r="B1952" s="47"/>
      <c r="C1952" s="47"/>
      <c r="D1952" s="47" t="s">
        <v>4630</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4819</v>
      </c>
    </row>
    <row r="1953" s="4" customFormat="1" ht="20" hidden="1" customHeight="1" spans="1:14">
      <c r="A1953" s="46">
        <v>45589</v>
      </c>
      <c r="B1953" s="47"/>
      <c r="C1953" s="47"/>
      <c r="D1953" s="47" t="s">
        <v>4260</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4820</v>
      </c>
    </row>
    <row r="1954" s="4" customFormat="1" ht="20" hidden="1" customHeight="1" spans="1:14">
      <c r="A1954" s="46">
        <v>45589</v>
      </c>
      <c r="B1954" s="47"/>
      <c r="C1954" s="47"/>
      <c r="D1954" s="47" t="s">
        <v>4254</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4821</v>
      </c>
    </row>
    <row r="1955" s="4" customFormat="1" ht="20" hidden="1" customHeight="1" spans="1:14">
      <c r="A1955" s="46">
        <v>45589</v>
      </c>
      <c r="B1955" s="47"/>
      <c r="C1955" s="47"/>
      <c r="D1955" s="47" t="s">
        <v>4254</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4822</v>
      </c>
    </row>
    <row r="1956" s="4" customFormat="1" ht="20" hidden="1" customHeight="1" spans="1:14">
      <c r="A1956" s="46">
        <v>45589</v>
      </c>
      <c r="B1956" s="47"/>
      <c r="C1956" s="47"/>
      <c r="D1956" s="47" t="s">
        <v>4278</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4823</v>
      </c>
    </row>
    <row r="1957" s="4" customFormat="1" ht="20" hidden="1" customHeight="1" spans="1:14">
      <c r="A1957" s="46">
        <v>45589</v>
      </c>
      <c r="B1957" s="47"/>
      <c r="C1957" s="47"/>
      <c r="D1957" s="47" t="s">
        <v>4824</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4825</v>
      </c>
    </row>
    <row r="1958" s="4" customFormat="1" ht="20" hidden="1" customHeight="1" spans="1:14">
      <c r="A1958" s="46">
        <v>45590</v>
      </c>
      <c r="B1958" s="47"/>
      <c r="C1958" s="47"/>
      <c r="D1958" s="47" t="s">
        <v>4260</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4826</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4827</v>
      </c>
    </row>
    <row r="1960" s="4" customFormat="1" ht="20" hidden="1" customHeight="1" spans="1:14">
      <c r="A1960" s="46">
        <v>45590</v>
      </c>
      <c r="B1960" s="47"/>
      <c r="C1960" s="47"/>
      <c r="D1960" s="47" t="s">
        <v>4828</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4829</v>
      </c>
    </row>
    <row r="1961" s="4" customFormat="1" ht="20" hidden="1" customHeight="1" spans="1:14">
      <c r="A1961" s="46">
        <v>45590</v>
      </c>
      <c r="B1961" s="47"/>
      <c r="C1961" s="47"/>
      <c r="D1961" s="47" t="s">
        <v>4451</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4830</v>
      </c>
    </row>
    <row r="1962" s="4" customFormat="1" ht="20" hidden="1" customHeight="1" spans="1:14">
      <c r="A1962" s="46">
        <v>45590</v>
      </c>
      <c r="B1962" s="47"/>
      <c r="C1962" s="47"/>
      <c r="D1962" s="47" t="s">
        <v>4451</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4831</v>
      </c>
    </row>
    <row r="1963" s="4" customFormat="1" ht="20" hidden="1" customHeight="1" spans="1:14">
      <c r="A1963" s="46">
        <v>45590</v>
      </c>
      <c r="B1963" s="47"/>
      <c r="C1963" s="47"/>
      <c r="D1963" s="47" t="s">
        <v>4451</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4832</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4833</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4834</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4835</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4836</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4837</v>
      </c>
    </row>
    <row r="1969" s="4" customFormat="1" ht="20" hidden="1" customHeight="1" spans="1:14">
      <c r="A1969" s="46">
        <v>45590</v>
      </c>
      <c r="B1969" s="47"/>
      <c r="C1969" s="47"/>
      <c r="D1969" s="47" t="s">
        <v>4451</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4838</v>
      </c>
    </row>
    <row r="1970" s="4" customFormat="1" ht="20" hidden="1" customHeight="1" spans="1:14">
      <c r="A1970" s="46">
        <v>45590</v>
      </c>
      <c r="B1970" s="47"/>
      <c r="C1970" s="47"/>
      <c r="D1970" s="47" t="s">
        <v>4258</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4839</v>
      </c>
    </row>
    <row r="1971" s="4" customFormat="1" ht="20" hidden="1" customHeight="1" spans="1:14">
      <c r="A1971" s="46">
        <v>45590</v>
      </c>
      <c r="B1971" s="47"/>
      <c r="C1971" s="47"/>
      <c r="D1971" s="47" t="s">
        <v>4254</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4840</v>
      </c>
    </row>
    <row r="1972" s="4" customFormat="1" ht="20" hidden="1" customHeight="1" spans="1:14">
      <c r="A1972" s="46">
        <v>45590</v>
      </c>
      <c r="B1972" s="47"/>
      <c r="C1972" s="47"/>
      <c r="D1972" s="47" t="s">
        <v>4254</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4841</v>
      </c>
    </row>
    <row r="1973" s="4" customFormat="1" ht="20" hidden="1" customHeight="1" spans="1:14">
      <c r="A1973" s="46">
        <v>45590</v>
      </c>
      <c r="B1973" s="47"/>
      <c r="C1973" s="47"/>
      <c r="D1973" s="47" t="s">
        <v>4451</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4842</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4843</v>
      </c>
    </row>
    <row r="1975" s="4" customFormat="1" ht="20" hidden="1" customHeight="1" spans="1:14">
      <c r="A1975" s="46">
        <v>45590</v>
      </c>
      <c r="B1975" s="47"/>
      <c r="C1975" s="47"/>
      <c r="D1975" s="47" t="s">
        <v>4569</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4844</v>
      </c>
    </row>
    <row r="1976" s="4" customFormat="1" ht="20" hidden="1" customHeight="1" spans="1:14">
      <c r="A1976" s="46">
        <v>45590</v>
      </c>
      <c r="B1976" s="47"/>
      <c r="C1976" s="47"/>
      <c r="D1976" s="47" t="s">
        <v>4845</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4846</v>
      </c>
    </row>
    <row r="1977" s="4" customFormat="1" ht="20" hidden="1" customHeight="1" spans="1:14">
      <c r="A1977" s="46">
        <v>45590</v>
      </c>
      <c r="B1977" s="47"/>
      <c r="C1977" s="47"/>
      <c r="D1977" s="47" t="s">
        <v>4845</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4847</v>
      </c>
    </row>
    <row r="1978" s="4" customFormat="1" ht="20" hidden="1" customHeight="1" spans="1:14">
      <c r="A1978" s="46">
        <v>45590</v>
      </c>
      <c r="B1978" s="47"/>
      <c r="C1978" s="47"/>
      <c r="D1978" s="47" t="s">
        <v>4845</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4848</v>
      </c>
    </row>
    <row r="1979" s="4" customFormat="1" ht="20" hidden="1" customHeight="1" spans="1:14">
      <c r="A1979" s="46">
        <v>45590</v>
      </c>
      <c r="B1979" s="47"/>
      <c r="C1979" s="47"/>
      <c r="D1979" s="47" t="s">
        <v>4451</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4849</v>
      </c>
    </row>
    <row r="1980" s="4" customFormat="1" ht="20" hidden="1" customHeight="1" spans="1:14">
      <c r="A1980" s="46">
        <v>45590</v>
      </c>
      <c r="B1980" s="47"/>
      <c r="C1980" s="47"/>
      <c r="D1980" s="47" t="s">
        <v>4408</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4850</v>
      </c>
    </row>
    <row r="1981" s="4" customFormat="1" ht="20" hidden="1" customHeight="1" spans="1:14">
      <c r="A1981" s="46">
        <v>45590</v>
      </c>
      <c r="B1981" s="47"/>
      <c r="C1981" s="47"/>
      <c r="D1981" s="47" t="s">
        <v>4254</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4851</v>
      </c>
    </row>
    <row r="1982" s="4" customFormat="1" ht="20" hidden="1" customHeight="1" spans="1:14">
      <c r="A1982" s="46">
        <v>45591</v>
      </c>
      <c r="B1982" s="47"/>
      <c r="C1982" s="47"/>
      <c r="D1982" s="47" t="s">
        <v>4288</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4852</v>
      </c>
    </row>
    <row r="1983" s="4" customFormat="1" ht="20" hidden="1" customHeight="1" spans="1:14">
      <c r="A1983" s="46">
        <v>45592</v>
      </c>
      <c r="B1983" s="47"/>
      <c r="C1983" s="47"/>
      <c r="D1983" s="47" t="s">
        <v>4353</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4853</v>
      </c>
    </row>
    <row r="1984" s="4" customFormat="1" ht="20" hidden="1" customHeight="1" spans="1:14">
      <c r="A1984" s="46">
        <v>45592</v>
      </c>
      <c r="B1984" s="47"/>
      <c r="C1984" s="47"/>
      <c r="D1984" s="47" t="s">
        <v>4353</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4854</v>
      </c>
    </row>
    <row r="1985" s="4" customFormat="1" ht="20" hidden="1" customHeight="1" spans="1:14">
      <c r="A1985" s="46">
        <v>45592</v>
      </c>
      <c r="B1985" s="47"/>
      <c r="C1985" s="47"/>
      <c r="D1985" s="47" t="s">
        <v>4353</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4855</v>
      </c>
    </row>
    <row r="1986" s="4" customFormat="1" ht="20" hidden="1" customHeight="1" spans="1:14">
      <c r="A1986" s="46">
        <v>45592</v>
      </c>
      <c r="B1986" s="47"/>
      <c r="C1986" s="47"/>
      <c r="D1986" s="47" t="s">
        <v>4856</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4857</v>
      </c>
    </row>
    <row r="1987" s="4" customFormat="1" ht="20" hidden="1" customHeight="1" spans="1:14">
      <c r="A1987" s="46">
        <v>45592</v>
      </c>
      <c r="B1987" s="47"/>
      <c r="C1987" s="47"/>
      <c r="D1987" s="47" t="s">
        <v>4210</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4858</v>
      </c>
    </row>
    <row r="1988" s="4" customFormat="1" ht="20" hidden="1" customHeight="1" spans="1:14">
      <c r="A1988" s="46">
        <v>45592</v>
      </c>
      <c r="B1988" s="47"/>
      <c r="C1988" s="47"/>
      <c r="D1988" s="47" t="s">
        <v>4064</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4859</v>
      </c>
    </row>
    <row r="1989" s="4" customFormat="1" ht="20" hidden="1" customHeight="1" spans="1:14">
      <c r="A1989" s="46">
        <v>45592</v>
      </c>
      <c r="B1989" s="47"/>
      <c r="C1989" s="47"/>
      <c r="D1989" s="47" t="s">
        <v>4064</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4860</v>
      </c>
    </row>
    <row r="1990" s="4" customFormat="1" ht="20" hidden="1" customHeight="1" spans="1:14">
      <c r="A1990" s="46">
        <v>45593</v>
      </c>
      <c r="B1990" s="47"/>
      <c r="C1990" s="47"/>
      <c r="D1990" s="47" t="s">
        <v>4353</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4861</v>
      </c>
    </row>
    <row r="1991" s="4" customFormat="1" ht="20" hidden="1" customHeight="1" spans="1:14">
      <c r="A1991" s="46">
        <v>45593</v>
      </c>
      <c r="B1991" s="47"/>
      <c r="C1991" s="47"/>
      <c r="D1991" s="47" t="s">
        <v>4353</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4862</v>
      </c>
    </row>
    <row r="1992" s="4" customFormat="1" ht="20" hidden="1" customHeight="1" spans="1:14">
      <c r="A1992" s="46">
        <v>45593</v>
      </c>
      <c r="B1992" s="47"/>
      <c r="C1992" s="47"/>
      <c r="D1992" s="47" t="s">
        <v>4254</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4863</v>
      </c>
    </row>
    <row r="1993" s="4" customFormat="1" ht="20" hidden="1" customHeight="1" spans="1:14">
      <c r="A1993" s="46">
        <v>45593</v>
      </c>
      <c r="B1993" s="47"/>
      <c r="C1993" s="47"/>
      <c r="D1993" s="47" t="s">
        <v>4451</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4864</v>
      </c>
    </row>
    <row r="1994" s="4" customFormat="1" ht="20" hidden="1" customHeight="1" spans="1:14">
      <c r="A1994" s="46">
        <v>45593</v>
      </c>
      <c r="B1994" s="47"/>
      <c r="C1994" s="47"/>
      <c r="D1994" s="47" t="s">
        <v>4451</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4865</v>
      </c>
    </row>
    <row r="1995" s="4" customFormat="1" ht="20" hidden="1" customHeight="1" spans="1:14">
      <c r="A1995" s="46">
        <v>45593</v>
      </c>
      <c r="B1995" s="47"/>
      <c r="C1995" s="47"/>
      <c r="D1995" s="47" t="s">
        <v>4451</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4866</v>
      </c>
    </row>
    <row r="1996" s="4" customFormat="1" ht="20" hidden="1" customHeight="1" spans="1:14">
      <c r="A1996" s="46">
        <v>45593</v>
      </c>
      <c r="B1996" s="47"/>
      <c r="C1996" s="47"/>
      <c r="D1996" s="47" t="s">
        <v>4451</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4867</v>
      </c>
    </row>
    <row r="1997" s="4" customFormat="1" ht="20" hidden="1" customHeight="1" spans="1:14">
      <c r="A1997" s="46">
        <v>45593</v>
      </c>
      <c r="B1997" s="47"/>
      <c r="C1997" s="47"/>
      <c r="D1997" s="47" t="s">
        <v>4451</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4868</v>
      </c>
    </row>
    <row r="1998" s="4" customFormat="1" ht="20" hidden="1" customHeight="1" spans="1:14">
      <c r="A1998" s="46">
        <v>45593</v>
      </c>
      <c r="B1998" s="47"/>
      <c r="C1998" s="47"/>
      <c r="D1998" s="47" t="s">
        <v>4451</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4869</v>
      </c>
    </row>
    <row r="1999" s="4" customFormat="1" ht="20" hidden="1" customHeight="1" spans="1:14">
      <c r="A1999" s="46">
        <v>45593</v>
      </c>
      <c r="B1999" s="47"/>
      <c r="C1999" s="47"/>
      <c r="D1999" s="47" t="s">
        <v>4451</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4870</v>
      </c>
    </row>
    <row r="2000" s="4" customFormat="1" ht="20" hidden="1" customHeight="1" spans="1:14">
      <c r="A2000" s="46">
        <v>45593</v>
      </c>
      <c r="B2000" s="47"/>
      <c r="C2000" s="47"/>
      <c r="D2000" s="47" t="s">
        <v>4451</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4871</v>
      </c>
    </row>
    <row r="2001" s="4" customFormat="1" ht="20" hidden="1" customHeight="1" spans="1:14">
      <c r="A2001" s="46">
        <v>45593</v>
      </c>
      <c r="B2001" s="47"/>
      <c r="C2001" s="47"/>
      <c r="D2001" s="47" t="s">
        <v>4451</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4872</v>
      </c>
    </row>
    <row r="2002" s="4" customFormat="1" ht="20" hidden="1" customHeight="1" spans="1:14">
      <c r="A2002" s="46">
        <v>45593</v>
      </c>
      <c r="B2002" s="47"/>
      <c r="C2002" s="47"/>
      <c r="D2002" s="47" t="s">
        <v>4254</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4873</v>
      </c>
    </row>
    <row r="2003" s="4" customFormat="1" ht="20" hidden="1" customHeight="1" spans="1:14">
      <c r="A2003" s="46">
        <v>45593</v>
      </c>
      <c r="B2003" s="47"/>
      <c r="C2003" s="47"/>
      <c r="D2003" s="47" t="s">
        <v>4254</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4874</v>
      </c>
    </row>
    <row r="2004" s="4" customFormat="1" ht="20" hidden="1" customHeight="1" spans="1:14">
      <c r="A2004" s="46">
        <v>45593</v>
      </c>
      <c r="B2004" s="47"/>
      <c r="C2004" s="47"/>
      <c r="D2004" s="47" t="s">
        <v>4254</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4875</v>
      </c>
    </row>
    <row r="2005" s="4" customFormat="1" ht="20" hidden="1" customHeight="1" spans="1:14">
      <c r="A2005" s="46">
        <v>45593</v>
      </c>
      <c r="B2005" s="47"/>
      <c r="C2005" s="47"/>
      <c r="D2005" s="47" t="s">
        <v>4458</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4876</v>
      </c>
    </row>
    <row r="2006" s="4" customFormat="1" ht="20" hidden="1" customHeight="1" spans="1:14">
      <c r="A2006" s="46">
        <v>45593</v>
      </c>
      <c r="B2006" s="47"/>
      <c r="C2006" s="47"/>
      <c r="D2006" s="47" t="s">
        <v>4451</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4877</v>
      </c>
    </row>
    <row r="2007" s="4" customFormat="1" ht="20" hidden="1" customHeight="1" spans="1:14">
      <c r="A2007" s="46">
        <v>45594</v>
      </c>
      <c r="B2007" s="47"/>
      <c r="C2007" s="47"/>
      <c r="D2007" s="47" t="s">
        <v>4260</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4878</v>
      </c>
    </row>
    <row r="2008" s="4" customFormat="1" ht="20" hidden="1" customHeight="1" spans="1:14">
      <c r="A2008" s="46">
        <v>45594</v>
      </c>
      <c r="B2008" s="47"/>
      <c r="C2008" s="47"/>
      <c r="D2008" s="47" t="s">
        <v>4260</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4879</v>
      </c>
    </row>
    <row r="2009" s="4" customFormat="1" ht="20" hidden="1" customHeight="1" spans="1:14">
      <c r="A2009" s="46">
        <v>45594</v>
      </c>
      <c r="B2009" s="47"/>
      <c r="C2009" s="47"/>
      <c r="D2009" s="47" t="s">
        <v>4258</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4880</v>
      </c>
    </row>
    <row r="2010" s="4" customFormat="1" ht="20" hidden="1" customHeight="1" spans="1:14">
      <c r="A2010" s="46">
        <v>45594</v>
      </c>
      <c r="B2010" s="47"/>
      <c r="C2010" s="47"/>
      <c r="D2010" s="47" t="s">
        <v>4064</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4881</v>
      </c>
    </row>
    <row r="2011" s="4" customFormat="1" ht="20" hidden="1" customHeight="1" spans="1:14">
      <c r="A2011" s="46">
        <v>45594</v>
      </c>
      <c r="B2011" s="47"/>
      <c r="C2011" s="47"/>
      <c r="D2011" s="47" t="s">
        <v>4575</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4882</v>
      </c>
    </row>
    <row r="2012" s="4" customFormat="1" ht="20" hidden="1" customHeight="1" spans="1:14">
      <c r="A2012" s="46">
        <v>45594</v>
      </c>
      <c r="B2012" s="47"/>
      <c r="C2012" s="47"/>
      <c r="D2012" s="47" t="s">
        <v>4575</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4883</v>
      </c>
    </row>
    <row r="2013" s="4" customFormat="1" ht="20" hidden="1" customHeight="1" spans="1:14">
      <c r="A2013" s="46">
        <v>45594</v>
      </c>
      <c r="B2013" s="47"/>
      <c r="C2013" s="47"/>
      <c r="D2013" s="47" t="s">
        <v>4575</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4884</v>
      </c>
    </row>
    <row r="2014" s="4" customFormat="1" ht="20" hidden="1" customHeight="1" spans="1:14">
      <c r="A2014" s="46">
        <v>45594</v>
      </c>
      <c r="B2014" s="47"/>
      <c r="C2014" s="47"/>
      <c r="D2014" s="47" t="s">
        <v>4353</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4885</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4886</v>
      </c>
    </row>
    <row r="2016" s="4" customFormat="1" ht="20" hidden="1" customHeight="1" spans="1:14">
      <c r="A2016" s="46">
        <v>45594</v>
      </c>
      <c r="B2016" s="47"/>
      <c r="C2016" s="47"/>
      <c r="D2016" s="47" t="s">
        <v>4451</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4887</v>
      </c>
    </row>
    <row r="2017" s="4" customFormat="1" ht="20" hidden="1" customHeight="1" spans="1:14">
      <c r="A2017" s="46">
        <v>45594</v>
      </c>
      <c r="B2017" s="47"/>
      <c r="C2017" s="47"/>
      <c r="D2017" s="47" t="s">
        <v>4254</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4888</v>
      </c>
    </row>
    <row r="2018" s="4" customFormat="1" ht="20" hidden="1" customHeight="1" spans="1:14">
      <c r="A2018" s="46">
        <v>45594</v>
      </c>
      <c r="B2018" s="47"/>
      <c r="C2018" s="47"/>
      <c r="D2018" s="47" t="s">
        <v>4064</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4889</v>
      </c>
    </row>
    <row r="2019" s="4" customFormat="1" ht="20" hidden="1" customHeight="1" spans="1:14">
      <c r="A2019" s="46">
        <v>45594</v>
      </c>
      <c r="B2019" s="47"/>
      <c r="C2019" s="47"/>
      <c r="D2019" s="47" t="s">
        <v>4458</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4890</v>
      </c>
    </row>
    <row r="2020" s="4" customFormat="1" ht="20" hidden="1" customHeight="1" spans="1:14">
      <c r="A2020" s="46">
        <v>45594</v>
      </c>
      <c r="B2020" s="47"/>
      <c r="C2020" s="47"/>
      <c r="D2020" s="47" t="s">
        <v>4260</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4891</v>
      </c>
    </row>
    <row r="2021" s="4" customFormat="1" ht="20" hidden="1" customHeight="1" spans="1:14">
      <c r="A2021" s="46">
        <v>45594</v>
      </c>
      <c r="B2021" s="47"/>
      <c r="C2021" s="47"/>
      <c r="D2021" s="47" t="s">
        <v>4254</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4892</v>
      </c>
    </row>
    <row r="2022" s="4" customFormat="1" ht="20" hidden="1" customHeight="1" spans="1:14">
      <c r="A2022" s="46">
        <v>45594</v>
      </c>
      <c r="B2022" s="47"/>
      <c r="C2022" s="47"/>
      <c r="D2022" s="47" t="s">
        <v>4451</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4893</v>
      </c>
    </row>
    <row r="2023" s="4" customFormat="1" ht="20" hidden="1" customHeight="1" spans="1:14">
      <c r="A2023" s="46">
        <v>45594</v>
      </c>
      <c r="B2023" s="47"/>
      <c r="C2023" s="47"/>
      <c r="D2023" s="47" t="s">
        <v>4451</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4894</v>
      </c>
    </row>
    <row r="2024" s="4" customFormat="1" ht="20" hidden="1" customHeight="1" spans="1:14">
      <c r="A2024" s="46">
        <v>45594</v>
      </c>
      <c r="B2024" s="47"/>
      <c r="C2024" s="47"/>
      <c r="D2024" s="47" t="s">
        <v>4451</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4895</v>
      </c>
    </row>
    <row r="2025" s="4" customFormat="1" ht="20" hidden="1" customHeight="1" spans="1:14">
      <c r="A2025" s="46">
        <v>45594</v>
      </c>
      <c r="B2025" s="47"/>
      <c r="C2025" s="47"/>
      <c r="D2025" s="47" t="s">
        <v>4458</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4896</v>
      </c>
    </row>
    <row r="2026" s="4" customFormat="1" ht="20" hidden="1" customHeight="1" spans="1:14">
      <c r="A2026" s="46">
        <v>45594</v>
      </c>
      <c r="B2026" s="47"/>
      <c r="C2026" s="47"/>
      <c r="D2026" s="47" t="s">
        <v>4451</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4897</v>
      </c>
    </row>
    <row r="2027" s="4" customFormat="1" ht="20" hidden="1" customHeight="1" spans="1:14">
      <c r="A2027" s="46">
        <v>45595</v>
      </c>
      <c r="B2027" s="47"/>
      <c r="C2027" s="47"/>
      <c r="D2027" s="47" t="s">
        <v>4254</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4898</v>
      </c>
    </row>
    <row r="2028" s="4" customFormat="1" ht="20" hidden="1" customHeight="1" spans="1:14">
      <c r="A2028" s="46">
        <v>45595</v>
      </c>
      <c r="B2028" s="47"/>
      <c r="C2028" s="47"/>
      <c r="D2028" s="47" t="s">
        <v>4254</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4899</v>
      </c>
    </row>
    <row r="2029" s="4" customFormat="1" ht="20" hidden="1" customHeight="1" spans="1:14">
      <c r="A2029" s="46">
        <v>45595</v>
      </c>
      <c r="B2029" s="47"/>
      <c r="C2029" s="47"/>
      <c r="D2029" s="47" t="s">
        <v>4254</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4900</v>
      </c>
    </row>
    <row r="2030" s="4" customFormat="1" ht="20" hidden="1" customHeight="1" spans="1:14">
      <c r="A2030" s="46">
        <v>45595</v>
      </c>
      <c r="B2030" s="47"/>
      <c r="C2030" s="47"/>
      <c r="D2030" s="47" t="s">
        <v>4254</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4901</v>
      </c>
    </row>
    <row r="2031" s="4" customFormat="1" ht="20" hidden="1" customHeight="1" spans="1:14">
      <c r="A2031" s="46">
        <v>45595</v>
      </c>
      <c r="B2031" s="47"/>
      <c r="C2031" s="47"/>
      <c r="D2031" s="47" t="s">
        <v>4260</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4902</v>
      </c>
    </row>
    <row r="2032" s="4" customFormat="1" ht="20" hidden="1" customHeight="1" spans="1:14">
      <c r="A2032" s="46">
        <v>45595</v>
      </c>
      <c r="B2032" s="47"/>
      <c r="C2032" s="47"/>
      <c r="D2032" s="47" t="s">
        <v>4260</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4903</v>
      </c>
    </row>
    <row r="2033" s="4" customFormat="1" ht="20" hidden="1" customHeight="1" spans="1:14">
      <c r="A2033" s="46">
        <v>45595</v>
      </c>
      <c r="B2033" s="47"/>
      <c r="C2033" s="47"/>
      <c r="D2033" s="47" t="s">
        <v>4254</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4904</v>
      </c>
    </row>
    <row r="2034" s="4" customFormat="1" ht="20" hidden="1" customHeight="1" spans="1:14">
      <c r="A2034" s="46">
        <v>45595</v>
      </c>
      <c r="B2034" s="47"/>
      <c r="C2034" s="47"/>
      <c r="D2034" s="47" t="s">
        <v>4254</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4905</v>
      </c>
    </row>
    <row r="2035" s="4" customFormat="1" ht="20" hidden="1" customHeight="1" spans="1:14">
      <c r="A2035" s="46">
        <v>45595</v>
      </c>
      <c r="B2035" s="47"/>
      <c r="C2035" s="47"/>
      <c r="D2035" s="47" t="s">
        <v>4353</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4906</v>
      </c>
    </row>
    <row r="2036" s="4" customFormat="1" ht="20" hidden="1" customHeight="1" spans="1:14">
      <c r="A2036" s="46">
        <v>45595</v>
      </c>
      <c r="B2036" s="47"/>
      <c r="C2036" s="47"/>
      <c r="D2036" s="47" t="s">
        <v>4353</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4907</v>
      </c>
    </row>
    <row r="2037" s="4" customFormat="1" ht="20" hidden="1" customHeight="1" spans="1:14">
      <c r="A2037" s="46">
        <v>45595</v>
      </c>
      <c r="B2037" s="47"/>
      <c r="C2037" s="47"/>
      <c r="D2037" s="47" t="s">
        <v>4353</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4908</v>
      </c>
    </row>
    <row r="2038" s="4" customFormat="1" ht="20" hidden="1" customHeight="1" spans="1:14">
      <c r="A2038" s="46">
        <v>45595</v>
      </c>
      <c r="B2038" s="47"/>
      <c r="C2038" s="47"/>
      <c r="D2038" s="47" t="s">
        <v>4254</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4909</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4910</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4911</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4912</v>
      </c>
    </row>
    <row r="2042" s="4" customFormat="1" ht="20" hidden="1" customHeight="1" spans="1:14">
      <c r="A2042" s="46">
        <v>45595</v>
      </c>
      <c r="B2042" s="47"/>
      <c r="C2042" s="47"/>
      <c r="D2042" s="47" t="s">
        <v>4569</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4913</v>
      </c>
    </row>
    <row r="2043" s="4" customFormat="1" ht="20" hidden="1" customHeight="1" spans="1:14">
      <c r="A2043" s="46">
        <v>45595</v>
      </c>
      <c r="B2043" s="47"/>
      <c r="C2043" s="47"/>
      <c r="D2043" s="47" t="s">
        <v>4914</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4915</v>
      </c>
    </row>
    <row r="2044" s="4" customFormat="1" ht="20" hidden="1" customHeight="1" spans="1:14">
      <c r="A2044" s="46">
        <v>45595</v>
      </c>
      <c r="B2044" s="47"/>
      <c r="C2044" s="47"/>
      <c r="D2044" s="47" t="s">
        <v>4914</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4916</v>
      </c>
    </row>
    <row r="2045" s="4" customFormat="1" ht="20" hidden="1" customHeight="1" spans="1:14">
      <c r="A2045" s="46">
        <v>45595</v>
      </c>
      <c r="B2045" s="47"/>
      <c r="C2045" s="47"/>
      <c r="D2045" s="47" t="s">
        <v>4260</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4917</v>
      </c>
    </row>
    <row r="2046" s="4" customFormat="1" ht="20" hidden="1" customHeight="1" spans="1:14">
      <c r="A2046" s="46">
        <v>45595</v>
      </c>
      <c r="B2046" s="47"/>
      <c r="C2046" s="47"/>
      <c r="D2046" s="47" t="s">
        <v>4569</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4918</v>
      </c>
    </row>
    <row r="2047" s="4" customFormat="1" ht="20" hidden="1" customHeight="1" spans="1:14">
      <c r="A2047" s="46">
        <v>45595</v>
      </c>
      <c r="B2047" s="47"/>
      <c r="C2047" s="47"/>
      <c r="D2047" s="47" t="s">
        <v>4569</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4919</v>
      </c>
    </row>
    <row r="2048" s="4" customFormat="1" ht="20" hidden="1" customHeight="1" spans="1:14">
      <c r="A2048" s="46">
        <v>45595</v>
      </c>
      <c r="B2048" s="47"/>
      <c r="C2048" s="47"/>
      <c r="D2048" s="47" t="s">
        <v>4920</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4921</v>
      </c>
    </row>
    <row r="2049" s="4" customFormat="1" ht="20" hidden="1" customHeight="1" spans="1:14">
      <c r="A2049" s="46">
        <v>45595</v>
      </c>
      <c r="B2049" s="47"/>
      <c r="C2049" s="47"/>
      <c r="D2049" s="47" t="s">
        <v>4258</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4922</v>
      </c>
    </row>
    <row r="2050" s="4" customFormat="1" ht="20" hidden="1" customHeight="1" spans="1:14">
      <c r="A2050" s="46">
        <v>45595</v>
      </c>
      <c r="B2050" s="47"/>
      <c r="C2050" s="47"/>
      <c r="D2050" s="47" t="s">
        <v>4923</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4924</v>
      </c>
    </row>
    <row r="2051" s="4" customFormat="1" ht="20" hidden="1" customHeight="1" spans="1:14">
      <c r="A2051" s="46">
        <v>45595</v>
      </c>
      <c r="B2051" s="47"/>
      <c r="C2051" s="47"/>
      <c r="D2051" s="47" t="s">
        <v>4637</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4925</v>
      </c>
    </row>
    <row r="2052" s="4" customFormat="1" ht="20" hidden="1" customHeight="1" spans="1:14">
      <c r="A2052" s="46">
        <v>45596</v>
      </c>
      <c r="B2052" s="47"/>
      <c r="C2052" s="47"/>
      <c r="D2052" s="47" t="s">
        <v>4288</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4926</v>
      </c>
    </row>
    <row r="2053" s="4" customFormat="1" ht="20" hidden="1" customHeight="1" spans="1:14">
      <c r="A2053" s="46">
        <v>45596</v>
      </c>
      <c r="B2053" s="47"/>
      <c r="C2053" s="47"/>
      <c r="D2053" s="47" t="s">
        <v>4254</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4927</v>
      </c>
    </row>
    <row r="2054" s="4" customFormat="1" ht="20" hidden="1" customHeight="1" spans="1:14">
      <c r="A2054" s="46">
        <v>45596</v>
      </c>
      <c r="B2054" s="47"/>
      <c r="C2054" s="47"/>
      <c r="D2054" s="47" t="s">
        <v>4415</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4928</v>
      </c>
    </row>
    <row r="2055" s="4" customFormat="1" ht="20" hidden="1" customHeight="1" spans="1:14">
      <c r="A2055" s="46">
        <v>45596</v>
      </c>
      <c r="B2055" s="47"/>
      <c r="C2055" s="47"/>
      <c r="D2055" s="47" t="s">
        <v>4260</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4929</v>
      </c>
    </row>
    <row r="2056" s="4" customFormat="1" ht="20" hidden="1" customHeight="1" spans="1:14">
      <c r="A2056" s="46">
        <v>45596</v>
      </c>
      <c r="B2056" s="47"/>
      <c r="C2056" s="47"/>
      <c r="D2056" s="47" t="s">
        <v>4569</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4930</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4931</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4932</v>
      </c>
    </row>
    <row r="2059" s="4" customFormat="1" ht="20" hidden="1" customHeight="1" spans="1:14">
      <c r="A2059" s="46">
        <v>45596</v>
      </c>
      <c r="B2059" s="47"/>
      <c r="C2059" s="47"/>
      <c r="D2059" s="47" t="s">
        <v>4064</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4933</v>
      </c>
    </row>
    <row r="2060" s="4" customFormat="1" ht="20" hidden="1" customHeight="1" spans="1:14">
      <c r="A2060" s="46">
        <v>45596</v>
      </c>
      <c r="B2060" s="47"/>
      <c r="C2060" s="47"/>
      <c r="D2060" s="47" t="s">
        <v>4569</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4934</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4935</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4936</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4937</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4938</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4939</v>
      </c>
    </row>
    <row r="2066" s="4" customFormat="1" ht="20" hidden="1" customHeight="1" spans="1:14">
      <c r="A2066" s="46">
        <v>45596</v>
      </c>
      <c r="B2066" s="47"/>
      <c r="C2066" s="47"/>
      <c r="D2066" s="47" t="s">
        <v>4288</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4940</v>
      </c>
    </row>
    <row r="2067" s="4" customFormat="1" ht="20" hidden="1" customHeight="1" spans="1:14">
      <c r="A2067" s="46">
        <v>45596</v>
      </c>
      <c r="B2067" s="47"/>
      <c r="C2067" s="47"/>
      <c r="D2067" s="47" t="s">
        <v>4288</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4941</v>
      </c>
    </row>
    <row r="2068" s="4" customFormat="1" ht="20" hidden="1" customHeight="1" spans="1:14">
      <c r="A2068" s="46">
        <v>45596</v>
      </c>
      <c r="B2068" s="47"/>
      <c r="C2068" s="47"/>
      <c r="D2068" s="47" t="s">
        <v>4064</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4942</v>
      </c>
    </row>
    <row r="2069" s="4" customFormat="1" ht="20" hidden="1" customHeight="1" spans="1:14">
      <c r="A2069" s="46">
        <v>45596</v>
      </c>
      <c r="B2069" s="47"/>
      <c r="C2069" s="47"/>
      <c r="D2069" s="47" t="s">
        <v>4064</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4943</v>
      </c>
    </row>
    <row r="2070" s="4" customFormat="1" ht="20" hidden="1" customHeight="1" spans="1:14">
      <c r="A2070" s="46">
        <v>45596</v>
      </c>
      <c r="B2070" s="47"/>
      <c r="C2070" s="47"/>
      <c r="D2070" s="47" t="s">
        <v>4117</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4944</v>
      </c>
    </row>
    <row r="2071" s="4" customFormat="1" ht="20" hidden="1" customHeight="1" spans="1:14">
      <c r="A2071" s="46">
        <v>45596</v>
      </c>
      <c r="B2071" s="47"/>
      <c r="C2071" s="47"/>
      <c r="D2071" s="47" t="s">
        <v>4569</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4945</v>
      </c>
    </row>
    <row r="2072" s="4" customFormat="1" ht="20" hidden="1" customHeight="1" spans="1:14">
      <c r="A2072" s="46">
        <v>45596</v>
      </c>
      <c r="B2072" s="47"/>
      <c r="C2072" s="47"/>
      <c r="D2072" s="47" t="s">
        <v>4260</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4946</v>
      </c>
    </row>
    <row r="2073" s="4" customFormat="1" ht="20" hidden="1" customHeight="1" spans="1:14">
      <c r="A2073" s="46">
        <v>45596</v>
      </c>
      <c r="B2073" s="47"/>
      <c r="C2073" s="47"/>
      <c r="D2073" s="47" t="s">
        <v>4254</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4947</v>
      </c>
    </row>
    <row r="2074" s="4" customFormat="1" ht="20" hidden="1" customHeight="1" spans="1:14">
      <c r="A2074" s="46">
        <v>45596</v>
      </c>
      <c r="B2074" s="47"/>
      <c r="C2074" s="47"/>
      <c r="D2074" s="47" t="s">
        <v>4948</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4949</v>
      </c>
    </row>
    <row r="2075" s="4" customFormat="1" ht="20" hidden="1" customHeight="1" spans="1:14">
      <c r="A2075" s="46">
        <v>45596</v>
      </c>
      <c r="B2075" s="47"/>
      <c r="C2075" s="47"/>
      <c r="D2075" s="47" t="s">
        <v>4260</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4950</v>
      </c>
    </row>
    <row r="2076" s="4" customFormat="1" ht="20" customHeight="1" spans="1:14">
      <c r="A2076" s="46">
        <v>45597</v>
      </c>
      <c r="B2076" s="47"/>
      <c r="C2076" s="47"/>
      <c r="D2076" s="47" t="s">
        <v>4229</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4951</v>
      </c>
    </row>
    <row r="2077" s="4" customFormat="1" ht="20" customHeight="1" spans="1:14">
      <c r="A2077" s="46">
        <v>45597</v>
      </c>
      <c r="B2077" s="47"/>
      <c r="C2077" s="47"/>
      <c r="D2077" s="47" t="s">
        <v>4229</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4952</v>
      </c>
    </row>
    <row r="2078" s="4" customFormat="1" ht="20" customHeight="1" spans="1:14">
      <c r="A2078" s="46">
        <v>45597</v>
      </c>
      <c r="B2078" s="47"/>
      <c r="C2078" s="47"/>
      <c r="D2078" s="47" t="s">
        <v>4254</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4953</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4954</v>
      </c>
    </row>
    <row r="2080" s="4" customFormat="1" ht="20" customHeight="1" spans="1:14">
      <c r="A2080" s="46">
        <v>45598</v>
      </c>
      <c r="B2080" s="47"/>
      <c r="C2080" s="47"/>
      <c r="D2080" s="47" t="s">
        <v>4254</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4955</v>
      </c>
    </row>
    <row r="2081" s="4" customFormat="1" ht="20" customHeight="1" spans="1:14">
      <c r="A2081" s="46">
        <v>45598</v>
      </c>
      <c r="B2081" s="47"/>
      <c r="C2081" s="47"/>
      <c r="D2081" s="47" t="s">
        <v>4258</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4956</v>
      </c>
    </row>
    <row r="2082" s="4" customFormat="1" ht="20" customHeight="1" spans="1:14">
      <c r="A2082" s="46">
        <v>45598</v>
      </c>
      <c r="B2082" s="47"/>
      <c r="C2082" s="47"/>
      <c r="D2082" s="47" t="s">
        <v>4258</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4957</v>
      </c>
    </row>
    <row r="2083" s="4" customFormat="1" ht="20" customHeight="1" spans="1:14">
      <c r="A2083" s="46">
        <v>45598</v>
      </c>
      <c r="B2083" s="47"/>
      <c r="C2083" s="47"/>
      <c r="D2083" s="47" t="s">
        <v>4451</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4958</v>
      </c>
    </row>
    <row r="2084" ht="12" spans="1:14">
      <c r="A2084" s="46">
        <v>45599</v>
      </c>
      <c r="B2084" s="50"/>
      <c r="C2084" s="50"/>
      <c r="D2084" s="50" t="s">
        <v>4637</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4959</v>
      </c>
    </row>
    <row r="2085" ht="12" spans="1:14">
      <c r="A2085" s="46">
        <v>45599</v>
      </c>
      <c r="B2085" s="50"/>
      <c r="C2085" s="50" t="s">
        <v>4286</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4960</v>
      </c>
    </row>
    <row r="2086" ht="12" spans="1:14">
      <c r="A2086" s="46">
        <v>45599</v>
      </c>
      <c r="B2086" s="50"/>
      <c r="C2086" s="50"/>
      <c r="D2086" s="50" t="s">
        <v>4064</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4961</v>
      </c>
    </row>
    <row r="2087" ht="12" spans="1:14">
      <c r="A2087" s="46">
        <v>45599</v>
      </c>
      <c r="B2087" s="50"/>
      <c r="C2087" s="50"/>
      <c r="D2087" s="50" t="s">
        <v>4064</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4962</v>
      </c>
    </row>
    <row r="2088" ht="12" spans="1:14">
      <c r="A2088" s="46">
        <v>45599</v>
      </c>
      <c r="B2088" s="50"/>
      <c r="C2088" s="50" t="s">
        <v>4286</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4963</v>
      </c>
    </row>
    <row r="2089" ht="12" spans="1:14">
      <c r="A2089" s="46">
        <v>45599</v>
      </c>
      <c r="B2089" s="50"/>
      <c r="C2089" s="50"/>
      <c r="D2089" s="50" t="s">
        <v>4451</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4964</v>
      </c>
    </row>
    <row r="2090" ht="12" spans="1:14">
      <c r="A2090" s="46">
        <v>45599</v>
      </c>
      <c r="B2090" s="50"/>
      <c r="C2090" s="50"/>
      <c r="D2090" s="50" t="s">
        <v>4637</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4965</v>
      </c>
    </row>
    <row r="2091" ht="12" spans="1:14">
      <c r="A2091" s="46">
        <v>45599</v>
      </c>
      <c r="B2091" s="50"/>
      <c r="C2091" s="50"/>
      <c r="D2091" s="50" t="s">
        <v>4637</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4966</v>
      </c>
    </row>
    <row r="2092" ht="12" spans="1:14">
      <c r="A2092" s="46">
        <v>45599</v>
      </c>
      <c r="B2092" s="50"/>
      <c r="C2092" s="50"/>
      <c r="D2092" s="50" t="s">
        <v>4637</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4967</v>
      </c>
    </row>
    <row r="2093" ht="12" spans="1:14">
      <c r="A2093" s="46">
        <v>45599</v>
      </c>
      <c r="B2093" s="50"/>
      <c r="C2093" s="50"/>
      <c r="D2093" s="50" t="s">
        <v>4637</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4968</v>
      </c>
    </row>
    <row r="2094" ht="12" spans="1:14">
      <c r="A2094" s="46">
        <v>45599</v>
      </c>
      <c r="B2094" s="50"/>
      <c r="C2094" s="50"/>
      <c r="D2094" s="50" t="s">
        <v>4229</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4969</v>
      </c>
    </row>
    <row r="2095" ht="12" spans="1:14">
      <c r="A2095" s="46">
        <v>45600</v>
      </c>
      <c r="B2095" s="50"/>
      <c r="C2095" s="50" t="s">
        <v>4970</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4971</v>
      </c>
    </row>
    <row r="2096" ht="12" spans="1:14">
      <c r="A2096" s="46">
        <v>45600</v>
      </c>
      <c r="B2096" s="50"/>
      <c r="C2096" s="50"/>
      <c r="D2096" s="50" t="s">
        <v>4064</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4972</v>
      </c>
    </row>
    <row r="2097" ht="12" spans="1:14">
      <c r="A2097" s="46">
        <v>45600</v>
      </c>
      <c r="B2097" s="50"/>
      <c r="C2097" s="50"/>
      <c r="D2097" s="50" t="s">
        <v>4064</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4973</v>
      </c>
    </row>
    <row r="2098" ht="12" spans="1:14">
      <c r="A2098" s="46">
        <v>45600</v>
      </c>
      <c r="B2098" s="50"/>
      <c r="C2098" s="50"/>
      <c r="D2098" s="50" t="s">
        <v>4064</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4974</v>
      </c>
    </row>
    <row r="2099" ht="12" spans="1:14">
      <c r="A2099" s="46">
        <v>45600</v>
      </c>
      <c r="B2099" s="50"/>
      <c r="C2099" s="50"/>
      <c r="D2099" s="50" t="s">
        <v>4637</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4975</v>
      </c>
    </row>
    <row r="2100" ht="12" spans="1:14">
      <c r="A2100" s="46">
        <v>45600</v>
      </c>
      <c r="B2100" s="50"/>
      <c r="C2100" s="50"/>
      <c r="D2100" s="50" t="s">
        <v>4254</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4976</v>
      </c>
    </row>
    <row r="2101" ht="12" spans="1:14">
      <c r="A2101" s="46">
        <v>45600</v>
      </c>
      <c r="B2101" s="50"/>
      <c r="C2101" s="50"/>
      <c r="D2101" s="50" t="s">
        <v>4254</v>
      </c>
      <c r="E2101" s="50" t="s">
        <v>2566</v>
      </c>
      <c r="F2101" s="11" t="s">
        <v>4977</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4978</v>
      </c>
    </row>
    <row r="2102" ht="12" spans="1:14">
      <c r="A2102" s="46">
        <v>45607</v>
      </c>
      <c r="B2102" s="50"/>
      <c r="C2102" s="50" t="s">
        <v>4979</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4980</v>
      </c>
    </row>
    <row r="2103" ht="12" spans="1:14">
      <c r="A2103" s="46">
        <v>45607</v>
      </c>
      <c r="B2103" s="50"/>
      <c r="C2103" s="50" t="s">
        <v>4979</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4981</v>
      </c>
    </row>
    <row r="2104" ht="12" spans="1:14">
      <c r="A2104" s="46">
        <v>45601</v>
      </c>
      <c r="B2104" s="50"/>
      <c r="C2104" s="50"/>
      <c r="D2104" s="50" t="s">
        <v>4451</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4982</v>
      </c>
    </row>
    <row r="2105" ht="12" spans="1:14">
      <c r="A2105" s="46">
        <v>45601</v>
      </c>
      <c r="B2105" s="50"/>
      <c r="C2105" s="50"/>
      <c r="D2105" s="50" t="s">
        <v>4254</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4983</v>
      </c>
    </row>
    <row r="2106" ht="12" hidden="1" spans="1:14">
      <c r="A2106" s="46">
        <v>45574</v>
      </c>
      <c r="B2106" s="50"/>
      <c r="C2106" s="50"/>
      <c r="D2106" s="50" t="s">
        <v>4984</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4985</v>
      </c>
    </row>
    <row r="2107" ht="12" hidden="1" spans="1:14">
      <c r="A2107" s="46">
        <v>45574</v>
      </c>
      <c r="B2107" s="50"/>
      <c r="C2107" s="50"/>
      <c r="D2107" s="50" t="s">
        <v>4986</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4987</v>
      </c>
    </row>
    <row r="2108" ht="12" hidden="1" spans="1:14">
      <c r="A2108" s="46">
        <v>45574</v>
      </c>
      <c r="B2108" s="50"/>
      <c r="C2108" s="50"/>
      <c r="D2108" s="50" t="s">
        <v>4988</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4989</v>
      </c>
    </row>
    <row r="2109" ht="12" hidden="1" spans="1:14">
      <c r="A2109" s="46">
        <v>45574</v>
      </c>
      <c r="B2109" s="50"/>
      <c r="C2109" s="50"/>
      <c r="D2109" s="50" t="s">
        <v>4990</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4991</v>
      </c>
    </row>
    <row r="2110" ht="12" hidden="1" spans="1:14">
      <c r="A2110" s="46">
        <v>45574</v>
      </c>
      <c r="B2110" s="50"/>
      <c r="C2110" s="50"/>
      <c r="D2110" s="50" t="s">
        <v>4992</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4993</v>
      </c>
    </row>
    <row r="2111" ht="12" spans="1:14">
      <c r="A2111" s="46">
        <v>45602</v>
      </c>
      <c r="B2111" s="50"/>
      <c r="C2111" s="50"/>
      <c r="D2111" s="50" t="s">
        <v>4254</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4994</v>
      </c>
    </row>
    <row r="2112" ht="35" spans="1:14">
      <c r="A2112" s="46">
        <v>45607</v>
      </c>
      <c r="B2112" s="50"/>
      <c r="C2112" s="50" t="s">
        <v>4995</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4996</v>
      </c>
    </row>
    <row r="2113" ht="12" spans="1:14">
      <c r="A2113" s="46">
        <v>45607</v>
      </c>
      <c r="B2113" s="50"/>
      <c r="C2113" s="50"/>
      <c r="D2113" s="50" t="s">
        <v>4451</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4997</v>
      </c>
    </row>
    <row r="2114" ht="12" spans="1:14">
      <c r="A2114" s="46">
        <v>45607</v>
      </c>
      <c r="B2114" s="50"/>
      <c r="C2114" s="50"/>
      <c r="D2114" s="50" t="s">
        <v>4451</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4998</v>
      </c>
    </row>
    <row r="2115" ht="12" spans="1:14">
      <c r="A2115" s="46">
        <v>45608</v>
      </c>
      <c r="B2115" s="50"/>
      <c r="C2115" s="50"/>
      <c r="D2115" s="50" t="s">
        <v>4260</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4999</v>
      </c>
    </row>
    <row r="2116" ht="12" spans="1:14">
      <c r="A2116" s="46">
        <v>45609</v>
      </c>
      <c r="B2116" s="50"/>
      <c r="C2116" s="50"/>
      <c r="D2116" s="50" t="s">
        <v>4254</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5000</v>
      </c>
    </row>
    <row r="2117" ht="12" spans="1:14">
      <c r="A2117" s="46">
        <v>45609</v>
      </c>
      <c r="B2117" s="50"/>
      <c r="C2117" s="50"/>
      <c r="D2117" s="50" t="s">
        <v>4229</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5001</v>
      </c>
    </row>
    <row r="2118" ht="12" spans="1:14">
      <c r="A2118" s="46">
        <v>45609</v>
      </c>
      <c r="B2118" s="50"/>
      <c r="C2118" s="50"/>
      <c r="D2118" s="50" t="s">
        <v>4451</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5002</v>
      </c>
    </row>
    <row r="2119" ht="12" spans="1:14">
      <c r="A2119" s="46">
        <v>45609</v>
      </c>
      <c r="B2119" s="50"/>
      <c r="C2119" s="50" t="s">
        <v>4286</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5003</v>
      </c>
    </row>
    <row r="2120" ht="12" spans="1:14">
      <c r="A2120" s="46">
        <v>45609</v>
      </c>
      <c r="B2120" s="50"/>
      <c r="C2120" s="50" t="s">
        <v>4286</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5004</v>
      </c>
    </row>
    <row r="2121" ht="12" spans="1:14">
      <c r="A2121" s="46">
        <v>45610</v>
      </c>
      <c r="B2121" s="50"/>
      <c r="C2121" s="50"/>
      <c r="D2121" s="50" t="s">
        <v>4451</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5005</v>
      </c>
    </row>
    <row r="2122" ht="12" spans="1:14">
      <c r="A2122" s="46">
        <v>45610</v>
      </c>
      <c r="B2122" s="50"/>
      <c r="C2122" s="50"/>
      <c r="D2122" s="50" t="s">
        <v>4451</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5006</v>
      </c>
    </row>
    <row r="2123" ht="12" spans="1:14">
      <c r="A2123" s="46">
        <v>45611</v>
      </c>
      <c r="B2123" s="50"/>
      <c r="C2123" s="50" t="s">
        <v>5007</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5008</v>
      </c>
    </row>
    <row r="2124" ht="12" spans="1:14">
      <c r="A2124" s="46">
        <v>45611</v>
      </c>
      <c r="B2124" s="50"/>
      <c r="C2124" s="50" t="s">
        <v>5007</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5009</v>
      </c>
    </row>
    <row r="2125" ht="12" spans="1:14">
      <c r="A2125" s="46">
        <v>45611</v>
      </c>
      <c r="B2125" s="50"/>
      <c r="C2125" s="50" t="s">
        <v>5007</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5010</v>
      </c>
    </row>
    <row r="2126" ht="12" spans="1:14">
      <c r="A2126" s="46">
        <v>45612</v>
      </c>
      <c r="B2126" s="50"/>
      <c r="C2126" s="50"/>
      <c r="D2126" s="50" t="s">
        <v>4210</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5011</v>
      </c>
    </row>
    <row r="2127" ht="12" spans="1:14">
      <c r="A2127" s="46">
        <v>45612</v>
      </c>
      <c r="B2127" s="50"/>
      <c r="C2127" s="50"/>
      <c r="D2127" s="50" t="s">
        <v>4229</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5012</v>
      </c>
    </row>
    <row r="2128" ht="12" spans="1:14">
      <c r="A2128" s="46">
        <v>45612</v>
      </c>
      <c r="B2128" s="50"/>
      <c r="C2128" s="50"/>
      <c r="D2128" s="50" t="s">
        <v>4229</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5013</v>
      </c>
    </row>
    <row r="2129" ht="12" spans="1:14">
      <c r="A2129" s="46">
        <v>45612</v>
      </c>
      <c r="B2129" s="50"/>
      <c r="C2129" s="50"/>
      <c r="D2129" s="50" t="s">
        <v>4260</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5014</v>
      </c>
    </row>
    <row r="2130" ht="12" spans="1:14">
      <c r="A2130" s="46">
        <v>45614</v>
      </c>
      <c r="B2130" s="50"/>
      <c r="C2130" s="50"/>
      <c r="D2130" s="50" t="s">
        <v>4415</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5015</v>
      </c>
    </row>
    <row r="2131" ht="12" spans="1:14">
      <c r="A2131" s="46">
        <v>45614</v>
      </c>
      <c r="B2131" s="50"/>
      <c r="C2131" s="50"/>
      <c r="D2131" s="50" t="s">
        <v>4229</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5016</v>
      </c>
    </row>
    <row r="2132" ht="12" spans="1:14">
      <c r="A2132" s="46">
        <v>45614</v>
      </c>
      <c r="B2132" s="50"/>
      <c r="C2132" s="50"/>
      <c r="D2132" s="50" t="s">
        <v>4229</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5017</v>
      </c>
    </row>
    <row r="2133" ht="12" spans="1:14">
      <c r="A2133" s="46">
        <v>45614</v>
      </c>
      <c r="B2133" s="50"/>
      <c r="C2133" s="50"/>
      <c r="D2133" s="50" t="s">
        <v>4353</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5018</v>
      </c>
    </row>
    <row r="2134" ht="12" spans="1:14">
      <c r="A2134" s="46">
        <v>45614</v>
      </c>
      <c r="B2134" s="50"/>
      <c r="C2134" s="50"/>
      <c r="D2134" s="50" t="s">
        <v>4451</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5019</v>
      </c>
    </row>
    <row r="2135" ht="12" spans="1:14">
      <c r="A2135" s="46">
        <v>45614</v>
      </c>
      <c r="B2135" s="50"/>
      <c r="C2135" s="50"/>
      <c r="D2135" s="50" t="s">
        <v>4210</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5020</v>
      </c>
    </row>
    <row r="2136" ht="12" spans="1:14">
      <c r="A2136" s="46">
        <v>45614</v>
      </c>
      <c r="B2136" s="50"/>
      <c r="C2136" s="50"/>
      <c r="D2136" s="50" t="s">
        <v>4260</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5021</v>
      </c>
    </row>
    <row r="2137" ht="12" spans="1:14">
      <c r="A2137" s="46">
        <v>45614</v>
      </c>
      <c r="B2137" s="50"/>
      <c r="C2137" s="50"/>
      <c r="D2137" s="50" t="s">
        <v>4260</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5022</v>
      </c>
    </row>
    <row r="2138" ht="12" spans="1:14">
      <c r="A2138" s="46">
        <v>45616</v>
      </c>
      <c r="B2138" s="50"/>
      <c r="C2138" s="50"/>
      <c r="D2138" s="50" t="s">
        <v>4064</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5023</v>
      </c>
    </row>
    <row r="2139" ht="12" spans="1:14">
      <c r="A2139" s="46">
        <v>45617</v>
      </c>
      <c r="B2139" s="50"/>
      <c r="C2139" s="50"/>
      <c r="D2139" s="50" t="s">
        <v>4200</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5024</v>
      </c>
    </row>
    <row r="2140" ht="12" spans="1:14">
      <c r="A2140" s="46">
        <v>45617</v>
      </c>
      <c r="B2140" s="50"/>
      <c r="C2140" s="50"/>
      <c r="D2140" s="50" t="s">
        <v>4254</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5025</v>
      </c>
    </row>
    <row r="2141" ht="12" spans="1:14">
      <c r="A2141" s="46">
        <v>45617</v>
      </c>
      <c r="B2141" s="50"/>
      <c r="C2141" s="50"/>
      <c r="D2141" s="50" t="s">
        <v>4260</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5026</v>
      </c>
    </row>
    <row r="2142" ht="12" spans="1:14">
      <c r="A2142" s="46">
        <v>45617</v>
      </c>
      <c r="B2142" s="50"/>
      <c r="C2142" s="50"/>
      <c r="D2142" s="50" t="s">
        <v>4408</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5027</v>
      </c>
    </row>
    <row r="2143" ht="12" spans="1:14">
      <c r="A2143" s="46">
        <v>45617</v>
      </c>
      <c r="B2143" s="50"/>
      <c r="C2143" s="50"/>
      <c r="D2143" s="50" t="s">
        <v>4637</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5028</v>
      </c>
    </row>
    <row r="2144" ht="12" spans="1:14">
      <c r="A2144" s="46">
        <v>45617</v>
      </c>
      <c r="B2144" s="50"/>
      <c r="C2144" s="50"/>
      <c r="D2144" s="50" t="s">
        <v>4637</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5029</v>
      </c>
    </row>
    <row r="2145" ht="12" spans="1:14">
      <c r="A2145" s="46">
        <v>45617</v>
      </c>
      <c r="B2145" s="50"/>
      <c r="C2145" s="50"/>
      <c r="D2145" s="50" t="s">
        <v>4637</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5030</v>
      </c>
    </row>
    <row r="2146" ht="12" spans="1:14">
      <c r="A2146" s="46">
        <v>45617</v>
      </c>
      <c r="B2146" s="50"/>
      <c r="C2146" s="50" t="s">
        <v>4286</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5031</v>
      </c>
    </row>
    <row r="2147" ht="12" spans="1:14">
      <c r="A2147" s="46">
        <v>45617</v>
      </c>
      <c r="B2147" s="50"/>
      <c r="C2147" s="50" t="s">
        <v>4286</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5032</v>
      </c>
    </row>
    <row r="2148" ht="12" spans="1:14">
      <c r="A2148" s="46">
        <v>45617</v>
      </c>
      <c r="B2148" s="50"/>
      <c r="C2148" s="50" t="s">
        <v>4286</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5033</v>
      </c>
    </row>
    <row r="2149" ht="12" spans="1:14">
      <c r="A2149" s="46">
        <v>45617</v>
      </c>
      <c r="B2149" s="50"/>
      <c r="C2149" s="50" t="s">
        <v>4286</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5034</v>
      </c>
    </row>
    <row r="2150" ht="12" spans="1:14">
      <c r="A2150" s="46">
        <v>45618</v>
      </c>
      <c r="B2150" s="50"/>
      <c r="C2150" s="50"/>
      <c r="D2150" s="50" t="s">
        <v>4210</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5035</v>
      </c>
    </row>
    <row r="2151" ht="12" spans="1:14">
      <c r="A2151" s="46">
        <v>45618</v>
      </c>
      <c r="B2151" s="50"/>
      <c r="C2151" s="50"/>
      <c r="D2151" s="50" t="s">
        <v>4260</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5036</v>
      </c>
    </row>
    <row r="2152" ht="12" spans="1:14">
      <c r="A2152" s="46">
        <v>45618</v>
      </c>
      <c r="B2152" s="50"/>
      <c r="C2152" s="50"/>
      <c r="D2152" s="50" t="s">
        <v>4451</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5037</v>
      </c>
    </row>
    <row r="2153" ht="12" spans="1:14">
      <c r="A2153" s="46">
        <v>45619</v>
      </c>
      <c r="B2153" s="50"/>
      <c r="C2153" s="50"/>
      <c r="D2153" s="50" t="s">
        <v>4451</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5038</v>
      </c>
    </row>
    <row r="2154" ht="12" spans="1:14">
      <c r="A2154" s="46">
        <v>45621</v>
      </c>
      <c r="B2154" s="50"/>
      <c r="C2154" s="50"/>
      <c r="D2154" s="50" t="s">
        <v>4451</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5039</v>
      </c>
    </row>
    <row r="2155" ht="12" spans="1:14">
      <c r="A2155" s="46">
        <v>45621</v>
      </c>
      <c r="B2155" s="50"/>
      <c r="C2155" s="50"/>
      <c r="D2155" s="50" t="s">
        <v>4254</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5040</v>
      </c>
    </row>
    <row r="2156" ht="12" spans="1:14">
      <c r="A2156" s="46">
        <v>45621</v>
      </c>
      <c r="B2156" s="50"/>
      <c r="C2156" s="50"/>
      <c r="D2156" s="50" t="s">
        <v>4064</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5041</v>
      </c>
    </row>
    <row r="2157" ht="12" spans="1:14">
      <c r="A2157" s="46">
        <v>45621</v>
      </c>
      <c r="B2157" s="50"/>
      <c r="C2157" s="50"/>
      <c r="D2157" s="50" t="s">
        <v>4064</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5042</v>
      </c>
    </row>
    <row r="2158" ht="12" spans="1:14">
      <c r="A2158" s="46">
        <v>45621</v>
      </c>
      <c r="B2158" s="50"/>
      <c r="C2158" s="50"/>
      <c r="D2158" s="50" t="s">
        <v>4064</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5043</v>
      </c>
    </row>
    <row r="2159" ht="12" spans="1:14">
      <c r="A2159" s="46">
        <v>45622</v>
      </c>
      <c r="B2159" s="50"/>
      <c r="C2159" s="50"/>
      <c r="D2159" s="50" t="s">
        <v>4451</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5044</v>
      </c>
    </row>
    <row r="2160" ht="12" spans="1:14">
      <c r="A2160" s="46">
        <v>45622</v>
      </c>
      <c r="B2160" s="50"/>
      <c r="C2160" s="50"/>
      <c r="D2160" s="50" t="s">
        <v>4229</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5045</v>
      </c>
    </row>
    <row r="2161" ht="12" spans="1:14">
      <c r="A2161" s="46">
        <v>45622</v>
      </c>
      <c r="B2161" s="50"/>
      <c r="C2161" s="50"/>
      <c r="D2161" s="50" t="s">
        <v>4229</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5046</v>
      </c>
    </row>
    <row r="2162" ht="12" spans="1:14">
      <c r="A2162" s="46">
        <v>45622</v>
      </c>
      <c r="B2162" s="50"/>
      <c r="C2162" s="50"/>
      <c r="D2162" s="50" t="s">
        <v>4229</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5047</v>
      </c>
    </row>
    <row r="2163" ht="12" spans="1:14">
      <c r="A2163" s="46">
        <v>45622</v>
      </c>
      <c r="B2163" s="50"/>
      <c r="C2163" s="50"/>
      <c r="D2163" s="50" t="s">
        <v>4364</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5048</v>
      </c>
    </row>
    <row r="2164" ht="12" spans="1:14">
      <c r="A2164" s="46">
        <v>45623</v>
      </c>
      <c r="B2164" s="50"/>
      <c r="C2164" s="50"/>
      <c r="D2164" s="50" t="s">
        <v>4229</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5049</v>
      </c>
    </row>
    <row r="2165" ht="12" spans="1:14">
      <c r="A2165" s="46">
        <v>45623</v>
      </c>
      <c r="B2165" s="50"/>
      <c r="C2165" s="50"/>
      <c r="D2165" s="50" t="s">
        <v>4258</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5050</v>
      </c>
    </row>
    <row r="2166" ht="12" spans="1:14">
      <c r="A2166" s="46">
        <v>45623</v>
      </c>
      <c r="B2166" s="50"/>
      <c r="C2166" s="50"/>
      <c r="D2166" s="50" t="s">
        <v>4210</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5051</v>
      </c>
    </row>
    <row r="2167" ht="12" spans="1:14">
      <c r="A2167" s="46">
        <v>45624</v>
      </c>
      <c r="B2167" s="50"/>
      <c r="C2167" s="50"/>
      <c r="D2167" s="50" t="s">
        <v>4451</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5052</v>
      </c>
    </row>
    <row r="2168" ht="12" spans="1:14">
      <c r="A2168" s="46">
        <v>45624</v>
      </c>
      <c r="B2168" s="50"/>
      <c r="C2168" s="50"/>
      <c r="D2168" s="50" t="s">
        <v>4451</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5053</v>
      </c>
    </row>
    <row r="2169" ht="12" spans="1:14">
      <c r="A2169" s="46">
        <v>45624</v>
      </c>
      <c r="B2169" s="50"/>
      <c r="C2169" s="50"/>
      <c r="D2169" s="50" t="s">
        <v>4254</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5054</v>
      </c>
    </row>
    <row r="2170" ht="12" spans="1:14">
      <c r="A2170" s="46">
        <v>45624</v>
      </c>
      <c r="B2170" s="50"/>
      <c r="C2170" s="50"/>
      <c r="D2170" s="50" t="s">
        <v>4254</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5055</v>
      </c>
    </row>
    <row r="2171" ht="12" spans="1:14">
      <c r="A2171" s="46">
        <v>45624</v>
      </c>
      <c r="B2171" s="50"/>
      <c r="C2171" s="50"/>
      <c r="D2171" s="50" t="s">
        <v>4260</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5056</v>
      </c>
    </row>
    <row r="2172" ht="12" spans="1:14">
      <c r="A2172" s="46">
        <v>45625</v>
      </c>
      <c r="B2172" s="50"/>
      <c r="C2172" s="50"/>
      <c r="D2172" s="50" t="s">
        <v>4288</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5057</v>
      </c>
    </row>
    <row r="2173" ht="12" spans="1:14">
      <c r="A2173" s="46">
        <v>45625</v>
      </c>
      <c r="B2173" s="50"/>
      <c r="C2173" s="50" t="s">
        <v>5007</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5058</v>
      </c>
    </row>
    <row r="2174" ht="12" spans="1:14">
      <c r="A2174" s="46">
        <v>45625</v>
      </c>
      <c r="B2174" s="50"/>
      <c r="C2174" s="50"/>
      <c r="D2174" s="50" t="s">
        <v>4254</v>
      </c>
      <c r="E2174" s="50" t="s">
        <v>3005</v>
      </c>
      <c r="F2174" s="11" t="s">
        <v>5059</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5060</v>
      </c>
    </row>
    <row r="2175" ht="12" spans="1:14">
      <c r="A2175" s="46">
        <v>45625</v>
      </c>
      <c r="B2175" s="50"/>
      <c r="C2175" s="50"/>
      <c r="D2175" s="50" t="s">
        <v>4451</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5061</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2023-09-28T11:59:00Z</dcterms:created>
  <dcterms:modified xsi:type="dcterms:W3CDTF">2024-12-16T02:20:18Z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