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wksti\Redistricting\Michigan_PL\Lange Congressional\"/>
    </mc:Choice>
  </mc:AlternateContent>
  <xr:revisionPtr revIDLastSave="0" documentId="8_{4215819D-E44E-4949-9E18-F4F414E5B8E1}" xr6:coauthVersionLast="47" xr6:coauthVersionMax="47" xr10:uidLastSave="{00000000-0000-0000-0000-000000000000}"/>
  <bookViews>
    <workbookView xWindow="8550" yWindow="495" windowWidth="19755" windowHeight="14745" xr2:uid="{00000000-000D-0000-FFFF-FFFF00000000}"/>
  </bookViews>
  <sheets>
    <sheet name="Lopsided Margins" sheetId="1" r:id="rId1"/>
    <sheet name="Mean-Median Difference" sheetId="2" r:id="rId2"/>
    <sheet name="Efficiency Gap" sheetId="3" r:id="rId3"/>
    <sheet name="Seats Votes Rati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4" l="1"/>
  <c r="D15" i="4"/>
  <c r="H3" i="4" s="1"/>
  <c r="C15" i="4"/>
  <c r="B15" i="4"/>
  <c r="D14" i="4"/>
  <c r="B14" i="4"/>
  <c r="D13" i="4"/>
  <c r="B13" i="4"/>
  <c r="D12" i="4"/>
  <c r="B12" i="4"/>
  <c r="D11" i="4"/>
  <c r="C11" i="4"/>
  <c r="B11" i="4"/>
  <c r="D10" i="4"/>
  <c r="B10" i="4"/>
  <c r="D9" i="4"/>
  <c r="B9" i="4"/>
  <c r="D8" i="4"/>
  <c r="B8" i="4"/>
  <c r="D7" i="4"/>
  <c r="B7" i="4"/>
  <c r="D6" i="4"/>
  <c r="B6" i="4"/>
  <c r="D5" i="4"/>
  <c r="C5" i="4"/>
  <c r="B5" i="4"/>
  <c r="D4" i="4"/>
  <c r="B4" i="4"/>
  <c r="H2" i="4" s="1"/>
  <c r="D3" i="4"/>
  <c r="B3" i="4"/>
  <c r="C15" i="3"/>
  <c r="F15" i="3" s="1"/>
  <c r="B15" i="3"/>
  <c r="C14" i="3"/>
  <c r="B14" i="3"/>
  <c r="D14" i="3" s="1"/>
  <c r="G14" i="3" s="1"/>
  <c r="I13" i="3"/>
  <c r="C13" i="3"/>
  <c r="D13" i="3" s="1"/>
  <c r="G13" i="3" s="1"/>
  <c r="H13" i="3" s="1"/>
  <c r="B13" i="3"/>
  <c r="F13" i="3" s="1"/>
  <c r="K13" i="3" s="1"/>
  <c r="C12" i="3"/>
  <c r="B12" i="3"/>
  <c r="C11" i="3"/>
  <c r="B11" i="3"/>
  <c r="I10" i="3"/>
  <c r="F10" i="3"/>
  <c r="K10" i="3" s="1"/>
  <c r="E10" i="3"/>
  <c r="C10" i="3"/>
  <c r="B10" i="3"/>
  <c r="D10" i="3" s="1"/>
  <c r="G10" i="3" s="1"/>
  <c r="H10" i="3" s="1"/>
  <c r="C9" i="3"/>
  <c r="B9" i="3"/>
  <c r="D9" i="3" s="1"/>
  <c r="G9" i="3" s="1"/>
  <c r="I8" i="3"/>
  <c r="C8" i="3"/>
  <c r="B8" i="3"/>
  <c r="H7" i="3"/>
  <c r="F7" i="3"/>
  <c r="E7" i="3"/>
  <c r="J7" i="3" s="1"/>
  <c r="D7" i="3"/>
  <c r="G7" i="3" s="1"/>
  <c r="I7" i="3" s="1"/>
  <c r="C7" i="3"/>
  <c r="B7" i="3"/>
  <c r="C6" i="3"/>
  <c r="B6" i="3"/>
  <c r="H6" i="3" s="1"/>
  <c r="C5" i="3"/>
  <c r="B5" i="3"/>
  <c r="H5" i="3" s="1"/>
  <c r="C4" i="3"/>
  <c r="E4" i="3" s="1"/>
  <c r="B4" i="3"/>
  <c r="C3" i="3"/>
  <c r="B3" i="3"/>
  <c r="D3" i="3" s="1"/>
  <c r="G3" i="3" s="1"/>
  <c r="B5" i="2"/>
  <c r="F15" i="1"/>
  <c r="C15" i="2" s="1"/>
  <c r="E15" i="1"/>
  <c r="B15" i="2" s="1"/>
  <c r="D15" i="1"/>
  <c r="D14" i="1"/>
  <c r="F14" i="1" s="1"/>
  <c r="D13" i="1"/>
  <c r="E13" i="1" s="1"/>
  <c r="D12" i="1"/>
  <c r="F12" i="1" s="1"/>
  <c r="E11" i="1"/>
  <c r="G11" i="1" s="1"/>
  <c r="D11" i="1"/>
  <c r="F11" i="1" s="1"/>
  <c r="D10" i="1"/>
  <c r="F10" i="1" s="1"/>
  <c r="D9" i="1"/>
  <c r="E9" i="1" s="1"/>
  <c r="D8" i="1"/>
  <c r="F8" i="1" s="1"/>
  <c r="D7" i="1"/>
  <c r="E7" i="1" s="1"/>
  <c r="D6" i="1"/>
  <c r="F6" i="1" s="1"/>
  <c r="E5" i="1"/>
  <c r="G5" i="1" s="1"/>
  <c r="D5" i="1"/>
  <c r="F5" i="1" s="1"/>
  <c r="D4" i="1"/>
  <c r="E4" i="1" s="1"/>
  <c r="D3" i="1"/>
  <c r="F3" i="1" s="1"/>
  <c r="B7" i="2" l="1"/>
  <c r="G7" i="1"/>
  <c r="C7" i="4"/>
  <c r="C6" i="2"/>
  <c r="E6" i="4"/>
  <c r="H6" i="1"/>
  <c r="H11" i="1"/>
  <c r="C11" i="2"/>
  <c r="E11" i="4"/>
  <c r="I11" i="3"/>
  <c r="H10" i="1"/>
  <c r="C10" i="2"/>
  <c r="E10" i="4"/>
  <c r="H12" i="1"/>
  <c r="E12" i="4"/>
  <c r="C12" i="2"/>
  <c r="E8" i="4"/>
  <c r="H8" i="1"/>
  <c r="C8" i="2"/>
  <c r="C13" i="4"/>
  <c r="G13" i="1"/>
  <c r="B13" i="2"/>
  <c r="E14" i="4"/>
  <c r="H14" i="1"/>
  <c r="C14" i="2"/>
  <c r="K7" i="3"/>
  <c r="B9" i="2"/>
  <c r="G9" i="1"/>
  <c r="C9" i="4"/>
  <c r="J10" i="3"/>
  <c r="B4" i="2"/>
  <c r="G4" i="1"/>
  <c r="C4" i="4"/>
  <c r="H3" i="1"/>
  <c r="C3" i="2"/>
  <c r="E3" i="4"/>
  <c r="H5" i="1"/>
  <c r="E5" i="4"/>
  <c r="C5" i="2"/>
  <c r="E6" i="1"/>
  <c r="E15" i="3"/>
  <c r="J15" i="3" s="1"/>
  <c r="F9" i="1"/>
  <c r="F4" i="3"/>
  <c r="D12" i="3"/>
  <c r="G12" i="3" s="1"/>
  <c r="H12" i="3" s="1"/>
  <c r="D6" i="3"/>
  <c r="G6" i="3" s="1"/>
  <c r="F3" i="3"/>
  <c r="F9" i="3"/>
  <c r="F7" i="1"/>
  <c r="H9" i="3"/>
  <c r="F14" i="3"/>
  <c r="E12" i="1"/>
  <c r="H15" i="1"/>
  <c r="E12" i="3"/>
  <c r="H15" i="3"/>
  <c r="F13" i="1"/>
  <c r="F4" i="1"/>
  <c r="D4" i="3"/>
  <c r="G4" i="3" s="1"/>
  <c r="H4" i="3"/>
  <c r="J4" i="3" s="1"/>
  <c r="I4" i="3"/>
  <c r="E6" i="3"/>
  <c r="J6" i="3" s="1"/>
  <c r="E9" i="3"/>
  <c r="J9" i="3" s="1"/>
  <c r="E10" i="1"/>
  <c r="F6" i="3"/>
  <c r="I12" i="3"/>
  <c r="D11" i="3"/>
  <c r="G11" i="3" s="1"/>
  <c r="I3" i="3"/>
  <c r="I6" i="3"/>
  <c r="I9" i="3"/>
  <c r="E14" i="1"/>
  <c r="D5" i="3"/>
  <c r="G5" i="3" s="1"/>
  <c r="I5" i="3" s="1"/>
  <c r="D8" i="3"/>
  <c r="G8" i="3" s="1"/>
  <c r="H8" i="3" s="1"/>
  <c r="F11" i="3"/>
  <c r="K11" i="3" s="1"/>
  <c r="H14" i="3"/>
  <c r="F12" i="3"/>
  <c r="K12" i="3" s="1"/>
  <c r="I15" i="3"/>
  <c r="K15" i="3" s="1"/>
  <c r="E11" i="3"/>
  <c r="J11" i="3" s="1"/>
  <c r="E5" i="3"/>
  <c r="J5" i="3" s="1"/>
  <c r="E8" i="3"/>
  <c r="I14" i="3"/>
  <c r="D15" i="3"/>
  <c r="G15" i="3" s="1"/>
  <c r="G15" i="1"/>
  <c r="E3" i="3"/>
  <c r="E14" i="3"/>
  <c r="H3" i="3"/>
  <c r="E8" i="1"/>
  <c r="B11" i="2"/>
  <c r="F5" i="3"/>
  <c r="F8" i="3"/>
  <c r="K8" i="3" s="1"/>
  <c r="H11" i="3"/>
  <c r="E3" i="1"/>
  <c r="E13" i="3"/>
  <c r="J13" i="3" s="1"/>
  <c r="C9" i="2" l="1"/>
  <c r="E9" i="4"/>
  <c r="H9" i="1"/>
  <c r="H13" i="1"/>
  <c r="E13" i="4"/>
  <c r="C13" i="2"/>
  <c r="J12" i="3"/>
  <c r="G12" i="1"/>
  <c r="C12" i="4"/>
  <c r="B12" i="2"/>
  <c r="L4" i="2"/>
  <c r="L2" i="2"/>
  <c r="B3" i="2"/>
  <c r="G3" i="1"/>
  <c r="C3" i="4"/>
  <c r="E4" i="4"/>
  <c r="C4" i="2"/>
  <c r="H4" i="1"/>
  <c r="J14" i="3"/>
  <c r="K14" i="3"/>
  <c r="K5" i="3"/>
  <c r="J3" i="3"/>
  <c r="O2" i="3" s="1"/>
  <c r="E7" i="4"/>
  <c r="C7" i="2"/>
  <c r="H7" i="1"/>
  <c r="I3" i="4" s="1"/>
  <c r="B8" i="2"/>
  <c r="G8" i="1"/>
  <c r="C8" i="4"/>
  <c r="K6" i="3"/>
  <c r="K9" i="3"/>
  <c r="K4" i="3"/>
  <c r="J8" i="3"/>
  <c r="C10" i="4"/>
  <c r="G10" i="1"/>
  <c r="B10" i="2"/>
  <c r="K3" i="3"/>
  <c r="G6" i="1"/>
  <c r="C6" i="4"/>
  <c r="B6" i="2"/>
  <c r="C14" i="4"/>
  <c r="G14" i="1"/>
  <c r="B14" i="2"/>
  <c r="L3" i="2" l="1"/>
  <c r="D3" i="2"/>
  <c r="L1" i="2"/>
  <c r="M2" i="1"/>
  <c r="P2" i="3"/>
  <c r="M6" i="3" s="1"/>
  <c r="M1" i="1"/>
  <c r="I2" i="4"/>
  <c r="J2" i="4" s="1"/>
  <c r="K2" i="4" s="1"/>
  <c r="O3" i="3"/>
  <c r="P3" i="3" s="1"/>
  <c r="L6" i="2"/>
  <c r="N7" i="3" l="1"/>
  <c r="K6" i="1"/>
  <c r="J5" i="1"/>
  <c r="L5" i="2"/>
  <c r="F15" i="2"/>
  <c r="F11" i="2"/>
  <c r="G4" i="2"/>
  <c r="F8" i="2"/>
  <c r="G7" i="2"/>
  <c r="F4" i="2"/>
  <c r="F5" i="2"/>
  <c r="F7" i="2"/>
  <c r="G13" i="2"/>
  <c r="F9" i="2"/>
  <c r="G12" i="2"/>
  <c r="F12" i="2"/>
  <c r="G14" i="2"/>
  <c r="F10" i="2"/>
  <c r="F6" i="2"/>
  <c r="F13" i="2"/>
  <c r="G15" i="2"/>
  <c r="F14" i="2"/>
  <c r="G10" i="2"/>
  <c r="G3" i="2"/>
  <c r="G6" i="2"/>
  <c r="F3" i="2"/>
  <c r="G9" i="2"/>
  <c r="G5" i="2"/>
  <c r="G8" i="2"/>
  <c r="G11" i="2"/>
  <c r="J3" i="4"/>
  <c r="K3" i="4" s="1"/>
  <c r="J10" i="2" l="1"/>
  <c r="I9" i="2"/>
</calcChain>
</file>

<file path=xl/sharedStrings.xml><?xml version="1.0" encoding="utf-8"?>
<sst xmlns="http://schemas.openxmlformats.org/spreadsheetml/2006/main" count="69" uniqueCount="30">
  <si>
    <t>DISTRICT</t>
  </si>
  <si>
    <t>Party</t>
  </si>
  <si>
    <t>Dem</t>
  </si>
  <si>
    <t>Rep</t>
  </si>
  <si>
    <t>Total Votes</t>
  </si>
  <si>
    <t>Percent Votes</t>
  </si>
  <si>
    <t>Party Wins</t>
  </si>
  <si>
    <t>Average Winning Margin</t>
  </si>
  <si>
    <t>Finding</t>
  </si>
  <si>
    <t>Districts have a lopsided margin advantage of</t>
  </si>
  <si>
    <t>Dem Sorted Low to High</t>
  </si>
  <si>
    <t>District Median Percentage</t>
  </si>
  <si>
    <t>Statewide mean percentage</t>
  </si>
  <si>
    <t>Mean-Median Difference</t>
  </si>
  <si>
    <t>Findings</t>
  </si>
  <si>
    <t>Districts have a mean-median advantage of</t>
  </si>
  <si>
    <t>Lost Votes</t>
  </si>
  <si>
    <t>Minimum to win</t>
  </si>
  <si>
    <t>Surplus Votes</t>
  </si>
  <si>
    <t>Total Wasted Votes</t>
  </si>
  <si>
    <t>Statewide % Wasted Votes</t>
  </si>
  <si>
    <t>Candidates have an efficiency gap advantage of</t>
  </si>
  <si>
    <t>% Wasted Votes of Total Votes</t>
  </si>
  <si>
    <t>Composite Score</t>
  </si>
  <si>
    <t>Dem %</t>
  </si>
  <si>
    <t>Rep %</t>
  </si>
  <si>
    <t>Vote Share</t>
  </si>
  <si>
    <t>Count of Seats</t>
  </si>
  <si>
    <t>Seat Share</t>
  </si>
  <si>
    <t>Proportionality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</si>
</sst>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6" x14ac:knownFonts="1">
    <font>
      <sz val="10"/>
      <color theme="1"/>
      <name val="Arial"/>
    </font>
    <font>
      <sz val="12"/>
      <color theme="1"/>
      <name val="Calibri"/>
      <scheme val="minor"/>
    </font>
    <font>
      <b/>
      <sz val="12"/>
      <color rgb="FF000080"/>
      <name val="Calibri"/>
      <scheme val="minor"/>
    </font>
    <font>
      <b/>
      <sz val="12"/>
      <color theme="1"/>
      <name val="Calibri"/>
      <scheme val="minor"/>
    </font>
    <font>
      <sz val="12"/>
      <color theme="0" tint="-0.249977111117893"/>
      <name val="Calibri"/>
      <scheme val="minor"/>
    </font>
    <font>
      <sz val="10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rgb="FF000000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3F9A7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9" tint="0.39997558519241921"/>
        <bgColor rgb="FF000000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73">
    <xf numFmtId="0" fontId="0" fillId="0" borderId="0" xfId="0" applyNumberFormat="1" applyFont="1" applyFill="1" applyBorder="1" applyAlignment="1" applyProtection="1"/>
    <xf numFmtId="0" fontId="1" fillId="2" borderId="0" xfId="0" applyFont="1" applyFill="1"/>
    <xf numFmtId="0" fontId="2" fillId="3" borderId="0" xfId="0" applyFont="1" applyFill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3" fontId="1" fillId="6" borderId="0" xfId="0" applyNumberFormat="1" applyFont="1" applyFill="1" applyAlignment="1" applyProtection="1">
      <alignment horizontal="center"/>
      <protection locked="0"/>
    </xf>
    <xf numFmtId="3" fontId="1" fillId="6" borderId="0" xfId="0" applyNumberFormat="1" applyFont="1" applyFill="1" applyAlignment="1">
      <alignment horizontal="center"/>
    </xf>
    <xf numFmtId="0" fontId="1" fillId="7" borderId="4" xfId="0" applyFont="1" applyFill="1" applyBorder="1" applyAlignment="1">
      <alignment horizontal="center"/>
    </xf>
    <xf numFmtId="3" fontId="1" fillId="8" borderId="0" xfId="0" applyNumberFormat="1" applyFont="1" applyFill="1" applyAlignment="1" applyProtection="1">
      <alignment horizontal="center"/>
      <protection locked="0"/>
    </xf>
    <xf numFmtId="3" fontId="1" fillId="8" borderId="0" xfId="0" applyNumberFormat="1" applyFont="1" applyFill="1" applyAlignment="1">
      <alignment horizontal="center"/>
    </xf>
    <xf numFmtId="0" fontId="1" fillId="0" borderId="0" xfId="0" applyFont="1"/>
    <xf numFmtId="0" fontId="3" fillId="0" borderId="5" xfId="0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6" borderId="0" xfId="1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0" fontId="1" fillId="10" borderId="4" xfId="0" applyFont="1" applyFill="1" applyBorder="1" applyAlignment="1">
      <alignment horizontal="center"/>
    </xf>
    <xf numFmtId="164" fontId="1" fillId="8" borderId="0" xfId="1" applyNumberFormat="1" applyFont="1" applyFill="1" applyAlignment="1">
      <alignment horizontal="center"/>
    </xf>
    <xf numFmtId="164" fontId="1" fillId="8" borderId="0" xfId="0" applyNumberFormat="1" applyFont="1" applyFill="1" applyAlignment="1">
      <alignment horizontal="center"/>
    </xf>
    <xf numFmtId="0" fontId="1" fillId="12" borderId="0" xfId="0" applyFont="1" applyFill="1"/>
    <xf numFmtId="0" fontId="1" fillId="0" borderId="7" xfId="0" applyFont="1" applyBorder="1" applyAlignment="1">
      <alignment horizontal="center"/>
    </xf>
    <xf numFmtId="0" fontId="1" fillId="0" borderId="2" xfId="0" applyFont="1" applyBorder="1"/>
    <xf numFmtId="0" fontId="1" fillId="5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3" borderId="11" xfId="0" applyFont="1" applyFill="1" applyBorder="1"/>
    <xf numFmtId="0" fontId="1" fillId="13" borderId="5" xfId="0" applyFont="1" applyFill="1" applyBorder="1"/>
    <xf numFmtId="164" fontId="1" fillId="13" borderId="12" xfId="0" applyNumberFormat="1" applyFont="1" applyFill="1" applyBorder="1" applyAlignment="1">
      <alignment horizontal="center"/>
    </xf>
    <xf numFmtId="164" fontId="1" fillId="13" borderId="4" xfId="0" applyNumberFormat="1" applyFont="1" applyFill="1" applyBorder="1" applyAlignment="1">
      <alignment horizontal="center"/>
    </xf>
    <xf numFmtId="0" fontId="0" fillId="0" borderId="0" xfId="0" applyFont="1"/>
    <xf numFmtId="9" fontId="0" fillId="0" borderId="0" xfId="0" applyNumberFormat="1" applyFont="1"/>
    <xf numFmtId="0" fontId="1" fillId="14" borderId="0" xfId="0" applyFont="1" applyFill="1"/>
    <xf numFmtId="0" fontId="1" fillId="5" borderId="14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4" fillId="12" borderId="0" xfId="0" applyFont="1" applyFill="1"/>
    <xf numFmtId="0" fontId="2" fillId="14" borderId="7" xfId="0" applyFont="1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1" fillId="0" borderId="0" xfId="1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10" borderId="13" xfId="0" applyFont="1" applyFill="1" applyBorder="1" applyAlignment="1">
      <alignment horizontal="center"/>
    </xf>
    <xf numFmtId="164" fontId="1" fillId="0" borderId="13" xfId="1" applyNumberFormat="1" applyFont="1" applyBorder="1" applyAlignment="1">
      <alignment horizontal="center"/>
    </xf>
    <xf numFmtId="164" fontId="1" fillId="13" borderId="12" xfId="1" applyNumberFormat="1" applyFont="1" applyFill="1" applyBorder="1" applyAlignment="1">
      <alignment horizontal="center"/>
    </xf>
    <xf numFmtId="164" fontId="1" fillId="13" borderId="4" xfId="1" applyNumberFormat="1" applyFont="1" applyFill="1" applyBorder="1" applyAlignment="1">
      <alignment horizontal="center"/>
    </xf>
    <xf numFmtId="3" fontId="1" fillId="6" borderId="0" xfId="1" applyNumberFormat="1" applyFont="1" applyFill="1" applyAlignment="1">
      <alignment horizontal="center"/>
    </xf>
    <xf numFmtId="3" fontId="1" fillId="8" borderId="0" xfId="1" applyNumberFormat="1" applyFont="1" applyFill="1" applyAlignment="1">
      <alignment horizontal="center"/>
    </xf>
    <xf numFmtId="0" fontId="3" fillId="0" borderId="0" xfId="0" applyFont="1"/>
    <xf numFmtId="165" fontId="1" fillId="13" borderId="11" xfId="2" applyNumberFormat="1" applyFont="1" applyFill="1" applyBorder="1" applyAlignment="1">
      <alignment horizontal="center"/>
    </xf>
    <xf numFmtId="165" fontId="1" fillId="13" borderId="5" xfId="2" applyNumberFormat="1" applyFont="1" applyFill="1" applyBorder="1" applyAlignment="1">
      <alignment horizontal="center"/>
    </xf>
    <xf numFmtId="10" fontId="1" fillId="13" borderId="12" xfId="0" applyNumberFormat="1" applyFont="1" applyFill="1" applyBorder="1" applyAlignment="1">
      <alignment horizontal="center"/>
    </xf>
    <xf numFmtId="10" fontId="1" fillId="13" borderId="4" xfId="0" applyNumberFormat="1" applyFont="1" applyFill="1" applyBorder="1" applyAlignment="1">
      <alignment horizontal="center"/>
    </xf>
    <xf numFmtId="10" fontId="1" fillId="0" borderId="0" xfId="0" applyNumberFormat="1" applyFont="1"/>
    <xf numFmtId="0" fontId="1" fillId="5" borderId="16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/>
    </xf>
    <xf numFmtId="0" fontId="3" fillId="15" borderId="10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/>
              <a:t>Comparison of Democratic and Republican vote shares across districts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'Lopsided Margins'!$E$2</c:f>
              <c:strCache>
                <c:ptCount val="1"/>
                <c:pt idx="0">
                  <c:v>Dem</c:v>
                </c:pt>
              </c:strCache>
            </c:strRef>
          </c:tx>
          <c:cat>
            <c:numRef>
              <c:f>'Lopsided Margins'!$A$3:$A$15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'Lopsided Margins'!$E$3:$E$15</c:f>
              <c:numCache>
                <c:formatCode>0.0%</c:formatCode>
                <c:ptCount val="13"/>
                <c:pt idx="0">
                  <c:v>0.42777986376721205</c:v>
                </c:pt>
                <c:pt idx="1">
                  <c:v>0.43980661396871507</c:v>
                </c:pt>
                <c:pt idx="2">
                  <c:v>0.45955423356944564</c:v>
                </c:pt>
                <c:pt idx="3">
                  <c:v>0.44341325283967908</c:v>
                </c:pt>
                <c:pt idx="4">
                  <c:v>0.41597139569161889</c:v>
                </c:pt>
                <c:pt idx="5">
                  <c:v>0.61308066478825451</c:v>
                </c:pt>
                <c:pt idx="6">
                  <c:v>0.50788695574054532</c:v>
                </c:pt>
                <c:pt idx="7">
                  <c:v>0.54479395148557619</c:v>
                </c:pt>
                <c:pt idx="8">
                  <c:v>0.38658603835533845</c:v>
                </c:pt>
                <c:pt idx="9">
                  <c:v>0.55823460139795023</c:v>
                </c:pt>
                <c:pt idx="10">
                  <c:v>0.56231668087908748</c:v>
                </c:pt>
                <c:pt idx="11">
                  <c:v>0.74401319764810869</c:v>
                </c:pt>
                <c:pt idx="12">
                  <c:v>0.75907488965514691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0-4322-A83C-1408E1BDC19E}"/>
            </c:ext>
          </c:extLst>
        </c:ser>
        <c:ser>
          <c:idx val="1"/>
          <c:order val="1"/>
          <c:tx>
            <c:strRef>
              <c:f>'Lopsided Margins'!$F$2</c:f>
              <c:strCache>
                <c:ptCount val="1"/>
                <c:pt idx="0">
                  <c:v>Rep</c:v>
                </c:pt>
              </c:strCache>
            </c:strRef>
          </c:tx>
          <c:cat>
            <c:numRef>
              <c:f>'Lopsided Margins'!$A$3:$A$15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'Lopsided Margins'!$F$3:$F$15</c:f>
              <c:numCache>
                <c:formatCode>0.0%</c:formatCode>
                <c:ptCount val="13"/>
                <c:pt idx="0">
                  <c:v>0.57222013623278789</c:v>
                </c:pt>
                <c:pt idx="1">
                  <c:v>0.56019338603128488</c:v>
                </c:pt>
                <c:pt idx="2">
                  <c:v>0.54044576643055431</c:v>
                </c:pt>
                <c:pt idx="3">
                  <c:v>0.55658674716032097</c:v>
                </c:pt>
                <c:pt idx="4">
                  <c:v>0.58402860430838111</c:v>
                </c:pt>
                <c:pt idx="5">
                  <c:v>0.38691933521174549</c:v>
                </c:pt>
                <c:pt idx="6">
                  <c:v>0.49211304425945468</c:v>
                </c:pt>
                <c:pt idx="7">
                  <c:v>0.45520604851442387</c:v>
                </c:pt>
                <c:pt idx="8">
                  <c:v>0.61341396164466155</c:v>
                </c:pt>
                <c:pt idx="9">
                  <c:v>0.44176539860204977</c:v>
                </c:pt>
                <c:pt idx="10">
                  <c:v>0.43768331912091252</c:v>
                </c:pt>
                <c:pt idx="11">
                  <c:v>0.25598680235189125</c:v>
                </c:pt>
                <c:pt idx="12">
                  <c:v>0.24092511034485306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0-4322-A83C-1408E1BDC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869216"/>
        <c:axId val="1"/>
      </c:lineChart>
      <c:catAx>
        <c:axId val="58786921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525">
            <a:solidFill>
              <a:schemeClr val="tx1">
                <a:lumMod val="15000"/>
                <a:lumOff val="85000"/>
              </a:schemeClr>
            </a:solidFill>
          </a:ln>
        </c:sp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0.0%" sourceLinked="1"/>
        <c:majorTickMark val="cross"/>
        <c:minorTickMark val="cross"/>
        <c:tickLblPos val="nextTo"/>
        <c:spPr>
          <a:ln>
            <a:noFill/>
          </a:ln>
        </c:spPr>
        <c:crossAx val="58786921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spPr>
    <a:xfrm>
      <a:off x="0" y="0"/>
      <a:ext cx="10791825" cy="3495675"/>
    </a:xfrm>
    <a:prstGeom prst="rect">
      <a:avLst/>
    </a:prstGeo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'Lopsided Margins'!$E$2</c:f>
              <c:strCache>
                <c:ptCount val="1"/>
                <c:pt idx="0">
                  <c:v>Dem</c:v>
                </c:pt>
              </c:strCache>
            </c:strRef>
          </c:tx>
          <c:invertIfNegative val="1"/>
          <c:cat>
            <c:numRef>
              <c:f>'Lopsided Margins'!$A$3:$A$15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'Lopsided Margins'!$E$3:$E$15</c:f>
              <c:numCache>
                <c:formatCode>0.0%</c:formatCode>
                <c:ptCount val="13"/>
                <c:pt idx="0">
                  <c:v>0.42777986376721205</c:v>
                </c:pt>
                <c:pt idx="1">
                  <c:v>0.43980661396871507</c:v>
                </c:pt>
                <c:pt idx="2">
                  <c:v>0.45955423356944564</c:v>
                </c:pt>
                <c:pt idx="3">
                  <c:v>0.44341325283967908</c:v>
                </c:pt>
                <c:pt idx="4">
                  <c:v>0.41597139569161889</c:v>
                </c:pt>
                <c:pt idx="5">
                  <c:v>0.61308066478825451</c:v>
                </c:pt>
                <c:pt idx="6">
                  <c:v>0.50788695574054532</c:v>
                </c:pt>
                <c:pt idx="7">
                  <c:v>0.54479395148557619</c:v>
                </c:pt>
                <c:pt idx="8">
                  <c:v>0.38658603835533845</c:v>
                </c:pt>
                <c:pt idx="9">
                  <c:v>0.55823460139795023</c:v>
                </c:pt>
                <c:pt idx="10">
                  <c:v>0.56231668087908748</c:v>
                </c:pt>
                <c:pt idx="11">
                  <c:v>0.74401319764810869</c:v>
                </c:pt>
                <c:pt idx="12">
                  <c:v>0.75907488965514691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D-495E-9D97-ED22E61DE931}"/>
            </c:ext>
          </c:extLst>
        </c:ser>
        <c:ser>
          <c:idx val="1"/>
          <c:order val="1"/>
          <c:tx>
            <c:strRef>
              <c:f>'Lopsided Margins'!$F$2</c:f>
              <c:strCache>
                <c:ptCount val="1"/>
                <c:pt idx="0">
                  <c:v>Rep</c:v>
                </c:pt>
              </c:strCache>
            </c:strRef>
          </c:tx>
          <c:invertIfNegative val="1"/>
          <c:cat>
            <c:numRef>
              <c:f>'Lopsided Margins'!$A$3:$A$15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'Lopsided Margins'!$F$3:$F$15</c:f>
              <c:numCache>
                <c:formatCode>0.0%</c:formatCode>
                <c:ptCount val="13"/>
                <c:pt idx="0">
                  <c:v>0.57222013623278789</c:v>
                </c:pt>
                <c:pt idx="1">
                  <c:v>0.56019338603128488</c:v>
                </c:pt>
                <c:pt idx="2">
                  <c:v>0.54044576643055431</c:v>
                </c:pt>
                <c:pt idx="3">
                  <c:v>0.55658674716032097</c:v>
                </c:pt>
                <c:pt idx="4">
                  <c:v>0.58402860430838111</c:v>
                </c:pt>
                <c:pt idx="5">
                  <c:v>0.38691933521174549</c:v>
                </c:pt>
                <c:pt idx="6">
                  <c:v>0.49211304425945468</c:v>
                </c:pt>
                <c:pt idx="7">
                  <c:v>0.45520604851442387</c:v>
                </c:pt>
                <c:pt idx="8">
                  <c:v>0.61341396164466155</c:v>
                </c:pt>
                <c:pt idx="9">
                  <c:v>0.44176539860204977</c:v>
                </c:pt>
                <c:pt idx="10">
                  <c:v>0.43768331912091252</c:v>
                </c:pt>
                <c:pt idx="11">
                  <c:v>0.25598680235189125</c:v>
                </c:pt>
                <c:pt idx="12">
                  <c:v>0.24092511034485306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D-495E-9D97-ED22E61DE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865056"/>
        <c:axId val="1"/>
      </c:barChart>
      <c:catAx>
        <c:axId val="5878650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525">
            <a:solidFill>
              <a:schemeClr val="tx1">
                <a:lumMod val="15000"/>
                <a:lumOff val="85000"/>
              </a:schemeClr>
            </a:solidFill>
          </a:ln>
        </c:sp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0.0%" sourceLinked="1"/>
        <c:majorTickMark val="cross"/>
        <c:minorTickMark val="cross"/>
        <c:tickLblPos val="nextTo"/>
        <c:spPr>
          <a:ln>
            <a:noFill/>
          </a:ln>
        </c:spPr>
        <c:crossAx val="5878650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xfrm>
      <a:off x="0" y="0"/>
      <a:ext cx="10791825" cy="3495675"/>
    </a:xfrm>
    <a:prstGeom prst="rect">
      <a:avLst/>
    </a:prstGeo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6</xdr:row>
      <xdr:rowOff>28575</xdr:rowOff>
    </xdr:from>
    <xdr:to>
      <xdr:col>22</xdr:col>
      <xdr:colOff>600075</xdr:colOff>
      <xdr:row>25</xdr:row>
      <xdr:rowOff>66675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28575</xdr:colOff>
      <xdr:row>26</xdr:row>
      <xdr:rowOff>47625</xdr:rowOff>
    </xdr:from>
    <xdr:to>
      <xdr:col>22</xdr:col>
      <xdr:colOff>600075</xdr:colOff>
      <xdr:row>47</xdr:row>
      <xdr:rowOff>142875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I11" sqref="I11"/>
    </sheetView>
  </sheetViews>
  <sheetFormatPr defaultColWidth="9.28515625" defaultRowHeight="12.75" x14ac:dyDescent="0.2"/>
  <cols>
    <col min="1" max="1" width="9.28515625" customWidth="1"/>
    <col min="2" max="3" width="10.140625" customWidth="1"/>
    <col min="4" max="4" width="12" customWidth="1"/>
    <col min="5" max="8" width="9.28515625" customWidth="1"/>
    <col min="10" max="10" width="26" customWidth="1"/>
    <col min="11" max="13" width="14.5703125" customWidth="1"/>
  </cols>
  <sheetData>
    <row r="1" spans="1:17" ht="15.75" customHeight="1" x14ac:dyDescent="0.25">
      <c r="A1" s="1"/>
      <c r="B1" s="63" t="s">
        <v>1</v>
      </c>
      <c r="C1" s="64"/>
      <c r="D1" s="10"/>
      <c r="E1" s="65" t="s">
        <v>5</v>
      </c>
      <c r="F1" s="66"/>
      <c r="G1" s="67" t="s">
        <v>6</v>
      </c>
      <c r="H1" s="68"/>
      <c r="I1" s="18"/>
      <c r="J1" s="53" t="s">
        <v>7</v>
      </c>
      <c r="K1" s="21" t="s">
        <v>2</v>
      </c>
      <c r="L1" s="24"/>
      <c r="M1" s="26">
        <f>AVERAGE(G2:G15)</f>
        <v>0.61277156308495273</v>
      </c>
    </row>
    <row r="2" spans="1:17" ht="16.5" customHeight="1" x14ac:dyDescent="0.25">
      <c r="A2" s="2" t="s">
        <v>0</v>
      </c>
      <c r="B2" s="4" t="s">
        <v>2</v>
      </c>
      <c r="C2" s="7" t="s">
        <v>3</v>
      </c>
      <c r="D2" s="11" t="s">
        <v>4</v>
      </c>
      <c r="E2" s="4" t="s">
        <v>2</v>
      </c>
      <c r="F2" s="15" t="s">
        <v>3</v>
      </c>
      <c r="G2" s="4" t="s">
        <v>2</v>
      </c>
      <c r="H2" s="15" t="s">
        <v>3</v>
      </c>
      <c r="I2" s="18"/>
      <c r="J2" s="54"/>
      <c r="K2" s="22" t="s">
        <v>3</v>
      </c>
      <c r="L2" s="25"/>
      <c r="M2" s="27">
        <f>AVERAGE(H2:H15)</f>
        <v>0.57114810030133178</v>
      </c>
    </row>
    <row r="3" spans="1:17" ht="16.5" customHeight="1" x14ac:dyDescent="0.25">
      <c r="A3" s="2">
        <v>1</v>
      </c>
      <c r="B3" s="5">
        <v>2016550</v>
      </c>
      <c r="C3" s="8">
        <v>2697440</v>
      </c>
      <c r="D3" s="12">
        <f t="shared" ref="D3:D15" si="0">SUM(B3:C3)</f>
        <v>4713990</v>
      </c>
      <c r="E3" s="13">
        <f t="shared" ref="E3:E15" si="1">B3/D3</f>
        <v>0.42777986376721205</v>
      </c>
      <c r="F3" s="16">
        <f t="shared" ref="F3:F15" si="2">C3/D3</f>
        <v>0.57222013623278789</v>
      </c>
      <c r="G3" s="13" t="str">
        <f t="shared" ref="G3:G15" si="3">IF(E3&gt;0.5,E3,"")</f>
        <v/>
      </c>
      <c r="H3" s="16">
        <f t="shared" ref="H3:H15" si="4">IF(F3&gt;0.5,F3,"")</f>
        <v>0.57222013623278789</v>
      </c>
      <c r="I3" s="18"/>
      <c r="J3" s="10"/>
      <c r="K3" s="10"/>
      <c r="L3" s="10"/>
      <c r="M3" s="10"/>
      <c r="N3" s="28"/>
      <c r="O3" s="28"/>
      <c r="P3" s="28"/>
      <c r="Q3" s="29"/>
    </row>
    <row r="4" spans="1:17" ht="15.75" customHeight="1" x14ac:dyDescent="0.25">
      <c r="A4" s="3">
        <v>2</v>
      </c>
      <c r="B4" s="5">
        <v>1817938</v>
      </c>
      <c r="C4" s="8">
        <v>2315556</v>
      </c>
      <c r="D4" s="12">
        <f t="shared" si="0"/>
        <v>4133494</v>
      </c>
      <c r="E4" s="13">
        <f t="shared" si="1"/>
        <v>0.43980661396871507</v>
      </c>
      <c r="F4" s="16">
        <f t="shared" si="2"/>
        <v>0.56019338603128488</v>
      </c>
      <c r="G4" s="14" t="str">
        <f t="shared" si="3"/>
        <v/>
      </c>
      <c r="H4" s="17">
        <f t="shared" si="4"/>
        <v>0.56019338603128488</v>
      </c>
      <c r="I4" s="18"/>
      <c r="J4" s="55" t="s">
        <v>8</v>
      </c>
      <c r="K4" s="56"/>
      <c r="L4" s="56"/>
      <c r="M4" s="57"/>
      <c r="N4" s="28"/>
      <c r="O4" s="28"/>
      <c r="P4" s="28"/>
      <c r="Q4" s="29"/>
    </row>
    <row r="5" spans="1:17" ht="15.75" customHeight="1" x14ac:dyDescent="0.25">
      <c r="A5" s="3">
        <v>3</v>
      </c>
      <c r="B5" s="5">
        <v>1934335</v>
      </c>
      <c r="C5" s="8">
        <v>2274820</v>
      </c>
      <c r="D5" s="12">
        <f t="shared" si="0"/>
        <v>4209155</v>
      </c>
      <c r="E5" s="13">
        <f t="shared" si="1"/>
        <v>0.45955423356944564</v>
      </c>
      <c r="F5" s="16">
        <f t="shared" si="2"/>
        <v>0.54044576643055431</v>
      </c>
      <c r="G5" s="14" t="str">
        <f t="shared" si="3"/>
        <v/>
      </c>
      <c r="H5" s="17">
        <f t="shared" si="4"/>
        <v>0.54044576643055431</v>
      </c>
      <c r="I5" s="18"/>
      <c r="J5" s="19" t="str">
        <f>IF(MAX(M1:M2)=M1,K2,K1)</f>
        <v>Rep</v>
      </c>
      <c r="K5" s="58" t="s">
        <v>9</v>
      </c>
      <c r="L5" s="58"/>
      <c r="M5" s="59"/>
      <c r="N5" s="28"/>
      <c r="O5" s="28"/>
      <c r="P5" s="28"/>
      <c r="Q5" s="28"/>
    </row>
    <row r="6" spans="1:17" ht="16.5" customHeight="1" x14ac:dyDescent="0.25">
      <c r="A6" s="3">
        <v>4</v>
      </c>
      <c r="B6" s="5">
        <v>1884407</v>
      </c>
      <c r="C6" s="8">
        <v>2365369</v>
      </c>
      <c r="D6" s="12">
        <f t="shared" si="0"/>
        <v>4249776</v>
      </c>
      <c r="E6" s="13">
        <f t="shared" si="1"/>
        <v>0.44341325283967908</v>
      </c>
      <c r="F6" s="16">
        <f t="shared" si="2"/>
        <v>0.55658674716032097</v>
      </c>
      <c r="G6" s="14" t="str">
        <f t="shared" si="3"/>
        <v/>
      </c>
      <c r="H6" s="17">
        <f t="shared" si="4"/>
        <v>0.55658674716032097</v>
      </c>
      <c r="I6" s="18"/>
      <c r="J6" s="20"/>
      <c r="K6" s="60">
        <f>MAX(M1:M2)-MIN(M1:M2)</f>
        <v>4.1623462783620946E-2</v>
      </c>
      <c r="L6" s="61"/>
      <c r="M6" s="62"/>
      <c r="N6" s="28"/>
      <c r="O6" s="28"/>
      <c r="P6" s="28"/>
      <c r="Q6" s="28"/>
    </row>
    <row r="7" spans="1:17" ht="15.75" customHeight="1" x14ac:dyDescent="0.25">
      <c r="A7" s="3">
        <v>5</v>
      </c>
      <c r="B7" s="5">
        <v>1688764</v>
      </c>
      <c r="C7" s="8">
        <v>2371044</v>
      </c>
      <c r="D7" s="12">
        <f t="shared" si="0"/>
        <v>4059808</v>
      </c>
      <c r="E7" s="13">
        <f t="shared" si="1"/>
        <v>0.41597139569161889</v>
      </c>
      <c r="F7" s="16">
        <f t="shared" si="2"/>
        <v>0.58402860430838111</v>
      </c>
      <c r="G7" s="14" t="str">
        <f t="shared" si="3"/>
        <v/>
      </c>
      <c r="H7" s="17">
        <f t="shared" si="4"/>
        <v>0.58402860430838111</v>
      </c>
      <c r="I7" s="18"/>
      <c r="J7" s="10"/>
      <c r="K7" s="10"/>
      <c r="L7" s="10"/>
      <c r="M7" s="10"/>
      <c r="N7" s="28"/>
      <c r="O7" s="28"/>
      <c r="P7" s="28"/>
      <c r="Q7" s="28"/>
    </row>
    <row r="8" spans="1:17" ht="15.75" customHeight="1" x14ac:dyDescent="0.25">
      <c r="A8" s="3">
        <v>6</v>
      </c>
      <c r="B8" s="6">
        <v>2818856</v>
      </c>
      <c r="C8" s="9">
        <v>1778999</v>
      </c>
      <c r="D8" s="12">
        <f t="shared" si="0"/>
        <v>4597855</v>
      </c>
      <c r="E8" s="14">
        <f t="shared" si="1"/>
        <v>0.61308066478825451</v>
      </c>
      <c r="F8" s="17">
        <f t="shared" si="2"/>
        <v>0.38691933521174549</v>
      </c>
      <c r="G8" s="14">
        <f t="shared" si="3"/>
        <v>0.61308066478825451</v>
      </c>
      <c r="H8" s="17" t="str">
        <f t="shared" si="4"/>
        <v/>
      </c>
      <c r="I8" s="18"/>
      <c r="J8" s="10"/>
      <c r="K8" s="10"/>
      <c r="L8" s="10"/>
      <c r="M8" s="10"/>
    </row>
    <row r="9" spans="1:17" ht="15.75" customHeight="1" x14ac:dyDescent="0.25">
      <c r="A9" s="3">
        <v>7</v>
      </c>
      <c r="B9" s="6">
        <v>2210483</v>
      </c>
      <c r="C9" s="9">
        <v>2141830</v>
      </c>
      <c r="D9" s="12">
        <f t="shared" si="0"/>
        <v>4352313</v>
      </c>
      <c r="E9" s="14">
        <f t="shared" si="1"/>
        <v>0.50788695574054532</v>
      </c>
      <c r="F9" s="17">
        <f t="shared" si="2"/>
        <v>0.49211304425945468</v>
      </c>
      <c r="G9" s="14">
        <f t="shared" si="3"/>
        <v>0.50788695574054532</v>
      </c>
      <c r="H9" s="17" t="str">
        <f t="shared" si="4"/>
        <v/>
      </c>
      <c r="I9" s="18"/>
      <c r="J9" s="10"/>
      <c r="K9" s="10"/>
      <c r="L9" s="10"/>
      <c r="M9" s="10"/>
    </row>
    <row r="10" spans="1:17" ht="15.75" customHeight="1" x14ac:dyDescent="0.25">
      <c r="A10" s="3">
        <v>8</v>
      </c>
      <c r="B10" s="6">
        <v>2439547</v>
      </c>
      <c r="C10" s="9">
        <v>2038379</v>
      </c>
      <c r="D10" s="12">
        <f t="shared" si="0"/>
        <v>4477926</v>
      </c>
      <c r="E10" s="14">
        <f t="shared" si="1"/>
        <v>0.54479395148557619</v>
      </c>
      <c r="F10" s="17">
        <f t="shared" si="2"/>
        <v>0.45520604851442387</v>
      </c>
      <c r="G10" s="14">
        <f t="shared" si="3"/>
        <v>0.54479395148557619</v>
      </c>
      <c r="H10" s="17" t="str">
        <f t="shared" si="4"/>
        <v/>
      </c>
      <c r="I10" s="18"/>
      <c r="J10" s="10"/>
      <c r="K10" s="10"/>
      <c r="L10" s="10"/>
      <c r="M10" s="10"/>
    </row>
    <row r="11" spans="1:17" ht="15.75" customHeight="1" x14ac:dyDescent="0.25">
      <c r="A11" s="3">
        <v>9</v>
      </c>
      <c r="B11" s="6">
        <v>1764502</v>
      </c>
      <c r="C11" s="9">
        <v>2799817</v>
      </c>
      <c r="D11" s="12">
        <f t="shared" si="0"/>
        <v>4564319</v>
      </c>
      <c r="E11" s="14">
        <f t="shared" si="1"/>
        <v>0.38658603835533845</v>
      </c>
      <c r="F11" s="17">
        <f t="shared" si="2"/>
        <v>0.61341396164466155</v>
      </c>
      <c r="G11" s="14" t="str">
        <f t="shared" si="3"/>
        <v/>
      </c>
      <c r="H11" s="17">
        <f t="shared" si="4"/>
        <v>0.61341396164466155</v>
      </c>
      <c r="I11" s="18"/>
      <c r="J11" s="10"/>
      <c r="K11" s="10"/>
      <c r="L11" s="10"/>
      <c r="M11" s="10"/>
    </row>
    <row r="12" spans="1:17" ht="15.75" customHeight="1" x14ac:dyDescent="0.25">
      <c r="A12" s="3">
        <v>10</v>
      </c>
      <c r="B12" s="6">
        <v>2541775</v>
      </c>
      <c r="C12" s="9">
        <v>2011463</v>
      </c>
      <c r="D12" s="12">
        <f t="shared" si="0"/>
        <v>4553238</v>
      </c>
      <c r="E12" s="14">
        <f t="shared" si="1"/>
        <v>0.55823460139795023</v>
      </c>
      <c r="F12" s="17">
        <f t="shared" si="2"/>
        <v>0.44176539860204977</v>
      </c>
      <c r="G12" s="14">
        <f t="shared" si="3"/>
        <v>0.55823460139795023</v>
      </c>
      <c r="H12" s="17" t="str">
        <f t="shared" si="4"/>
        <v/>
      </c>
      <c r="I12" s="18"/>
      <c r="J12" s="10"/>
      <c r="K12" s="10"/>
      <c r="L12" s="10"/>
      <c r="M12" s="10"/>
    </row>
    <row r="13" spans="1:17" ht="15.75" customHeight="1" x14ac:dyDescent="0.25">
      <c r="A13" s="3">
        <v>11</v>
      </c>
      <c r="B13" s="6">
        <v>2664054</v>
      </c>
      <c r="C13" s="9">
        <v>2073586</v>
      </c>
      <c r="D13" s="12">
        <f t="shared" si="0"/>
        <v>4737640</v>
      </c>
      <c r="E13" s="14">
        <f t="shared" si="1"/>
        <v>0.56231668087908748</v>
      </c>
      <c r="F13" s="17">
        <f t="shared" si="2"/>
        <v>0.43768331912091252</v>
      </c>
      <c r="G13" s="14">
        <f t="shared" si="3"/>
        <v>0.56231668087908748</v>
      </c>
      <c r="H13" s="17" t="str">
        <f t="shared" si="4"/>
        <v/>
      </c>
      <c r="I13" s="18"/>
      <c r="J13" s="10"/>
      <c r="K13" s="10"/>
      <c r="L13" s="10"/>
      <c r="M13" s="10"/>
    </row>
    <row r="14" spans="1:17" ht="15.75" customHeight="1" x14ac:dyDescent="0.25">
      <c r="A14" s="3">
        <v>12</v>
      </c>
      <c r="B14" s="6">
        <v>2824597</v>
      </c>
      <c r="C14" s="9">
        <v>971837</v>
      </c>
      <c r="D14" s="12">
        <f t="shared" si="0"/>
        <v>3796434</v>
      </c>
      <c r="E14" s="14">
        <f t="shared" si="1"/>
        <v>0.74401319764810869</v>
      </c>
      <c r="F14" s="17">
        <f t="shared" si="2"/>
        <v>0.25598680235189125</v>
      </c>
      <c r="G14" s="14">
        <f t="shared" si="3"/>
        <v>0.74401319764810869</v>
      </c>
      <c r="H14" s="17" t="str">
        <f t="shared" si="4"/>
        <v/>
      </c>
      <c r="I14" s="18"/>
      <c r="J14" s="10"/>
      <c r="K14" s="10"/>
      <c r="L14" s="10"/>
      <c r="M14" s="10"/>
    </row>
    <row r="15" spans="1:17" ht="15.75" customHeight="1" x14ac:dyDescent="0.25">
      <c r="A15" s="3">
        <v>13</v>
      </c>
      <c r="B15" s="6">
        <v>2672708</v>
      </c>
      <c r="C15" s="9">
        <v>848299</v>
      </c>
      <c r="D15" s="12">
        <f t="shared" si="0"/>
        <v>3521007</v>
      </c>
      <c r="E15" s="14">
        <f t="shared" si="1"/>
        <v>0.75907488965514691</v>
      </c>
      <c r="F15" s="17">
        <f t="shared" si="2"/>
        <v>0.24092511034485306</v>
      </c>
      <c r="G15" s="14">
        <f t="shared" si="3"/>
        <v>0.75907488965514691</v>
      </c>
      <c r="H15" s="17" t="str">
        <f t="shared" si="4"/>
        <v/>
      </c>
      <c r="I15" s="18"/>
      <c r="J15" s="10"/>
      <c r="K15" s="10"/>
      <c r="L15" s="10"/>
      <c r="M15" s="10"/>
    </row>
    <row r="16" spans="1:17" ht="15.75" customHeight="1" x14ac:dyDescent="0.25">
      <c r="J16" s="10"/>
      <c r="K16" s="10"/>
      <c r="L16" s="10"/>
      <c r="M16" s="10"/>
    </row>
  </sheetData>
  <mergeCells count="7">
    <mergeCell ref="J1:J2"/>
    <mergeCell ref="J4:M4"/>
    <mergeCell ref="K5:M5"/>
    <mergeCell ref="K6:M6"/>
    <mergeCell ref="B1:C1"/>
    <mergeCell ref="E1:F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>
      <selection activeCell="A2" sqref="A2"/>
    </sheetView>
  </sheetViews>
  <sheetFormatPr defaultColWidth="9.28515625" defaultRowHeight="12.75" x14ac:dyDescent="0.2"/>
  <cols>
    <col min="1" max="1" width="9.42578125" customWidth="1"/>
    <col min="2" max="3" width="7.140625" customWidth="1"/>
    <col min="4" max="4" width="3.28515625" hidden="1" customWidth="1"/>
    <col min="5" max="5" width="0" hidden="1" customWidth="1"/>
    <col min="6" max="7" width="8.5703125" hidden="1" customWidth="1"/>
    <col min="9" max="9" width="29" customWidth="1"/>
    <col min="10" max="10" width="14.28515625" customWidth="1"/>
    <col min="11" max="12" width="14.140625" customWidth="1"/>
  </cols>
  <sheetData>
    <row r="1" spans="1:12" ht="15.75" customHeight="1" x14ac:dyDescent="0.25">
      <c r="A1" s="30"/>
      <c r="B1" s="63" t="s">
        <v>1</v>
      </c>
      <c r="C1" s="64"/>
      <c r="D1" s="33"/>
      <c r="E1" s="69" t="s">
        <v>10</v>
      </c>
      <c r="F1" s="70"/>
      <c r="G1" s="71"/>
      <c r="H1" s="18"/>
      <c r="I1" s="53" t="s">
        <v>11</v>
      </c>
      <c r="J1" s="21" t="s">
        <v>2</v>
      </c>
      <c r="K1" s="24"/>
      <c r="L1" s="41">
        <f>MEDIAN(B2:B15)</f>
        <v>0.50788695574054532</v>
      </c>
    </row>
    <row r="2" spans="1:12" ht="16.5" customHeight="1" x14ac:dyDescent="0.25">
      <c r="A2" s="2" t="s">
        <v>0</v>
      </c>
      <c r="B2" s="31" t="s">
        <v>2</v>
      </c>
      <c r="C2" s="32" t="s">
        <v>3</v>
      </c>
      <c r="D2" s="33"/>
      <c r="E2" s="34" t="s">
        <v>0</v>
      </c>
      <c r="F2" s="36" t="s">
        <v>2</v>
      </c>
      <c r="G2" s="39" t="s">
        <v>3</v>
      </c>
      <c r="H2" s="18"/>
      <c r="I2" s="54"/>
      <c r="J2" s="22" t="s">
        <v>3</v>
      </c>
      <c r="K2" s="25"/>
      <c r="L2" s="42">
        <f>MEDIAN(C2:C15)</f>
        <v>0.49211304425945468</v>
      </c>
    </row>
    <row r="3" spans="1:12" ht="15.75" customHeight="1" x14ac:dyDescent="0.25">
      <c r="A3" s="2">
        <v>1</v>
      </c>
      <c r="B3" s="13">
        <f>'Lopsided Margins'!E3</f>
        <v>0.42777986376721205</v>
      </c>
      <c r="C3" s="16">
        <f>'Lopsided Margins'!F3</f>
        <v>0.57222013623278789</v>
      </c>
      <c r="D3" s="33">
        <f>RANK(B3,$B$3:$B$3)</f>
        <v>1</v>
      </c>
      <c r="E3" s="34">
        <v>1</v>
      </c>
      <c r="F3" s="37" t="e">
        <f t="shared" ref="F3:F15" si="0">INDEX($B$3:$B$3,MATCH(14,$D$3:$D$3,0))</f>
        <v>#N/A</v>
      </c>
      <c r="G3" s="40" t="e">
        <f t="shared" ref="G3:G15" si="1">INDEX($C$3:$C$3,MATCH(14,$D$3:$D$3,0))</f>
        <v>#N/A</v>
      </c>
      <c r="H3" s="18"/>
      <c r="I3" s="53" t="s">
        <v>12</v>
      </c>
      <c r="J3" s="21" t="s">
        <v>2</v>
      </c>
      <c r="K3" s="24"/>
      <c r="L3" s="41">
        <f>AVERAGE(B2:B15)</f>
        <v>0.52788556459897529</v>
      </c>
    </row>
    <row r="4" spans="1:12" ht="16.5" customHeight="1" x14ac:dyDescent="0.25">
      <c r="A4" s="3">
        <v>2</v>
      </c>
      <c r="B4" s="14">
        <f>'Lopsided Margins'!E4</f>
        <v>0.43980661396871507</v>
      </c>
      <c r="C4" s="17">
        <f>'Lopsided Margins'!F4</f>
        <v>0.56019338603128488</v>
      </c>
      <c r="E4" s="35">
        <v>2</v>
      </c>
      <c r="F4" s="38" t="e">
        <f t="shared" si="0"/>
        <v>#N/A</v>
      </c>
      <c r="G4" s="38" t="e">
        <f t="shared" si="1"/>
        <v>#N/A</v>
      </c>
      <c r="H4" s="18"/>
      <c r="I4" s="54"/>
      <c r="J4" s="22" t="s">
        <v>3</v>
      </c>
      <c r="K4" s="25"/>
      <c r="L4" s="42">
        <f>AVERAGE(C2:C15)</f>
        <v>0.47211443540102471</v>
      </c>
    </row>
    <row r="5" spans="1:12" ht="15.75" customHeight="1" x14ac:dyDescent="0.25">
      <c r="A5" s="3">
        <v>3</v>
      </c>
      <c r="B5" s="14">
        <f>'Lopsided Margins'!E5</f>
        <v>0.45955423356944564</v>
      </c>
      <c r="C5" s="17">
        <f>'Lopsided Margins'!F5</f>
        <v>0.54044576643055431</v>
      </c>
      <c r="E5" s="35">
        <v>3</v>
      </c>
      <c r="F5" s="38" t="e">
        <f t="shared" si="0"/>
        <v>#N/A</v>
      </c>
      <c r="G5" s="38" t="e">
        <f t="shared" si="1"/>
        <v>#N/A</v>
      </c>
      <c r="H5" s="18"/>
      <c r="I5" s="53" t="s">
        <v>13</v>
      </c>
      <c r="J5" s="21" t="s">
        <v>2</v>
      </c>
      <c r="K5" s="24"/>
      <c r="L5" s="41">
        <f>L3-L1</f>
        <v>1.9998608858429967E-2</v>
      </c>
    </row>
    <row r="6" spans="1:12" ht="16.5" customHeight="1" x14ac:dyDescent="0.25">
      <c r="A6" s="3">
        <v>4</v>
      </c>
      <c r="B6" s="14">
        <f>'Lopsided Margins'!E6</f>
        <v>0.44341325283967908</v>
      </c>
      <c r="C6" s="17">
        <f>'Lopsided Margins'!F6</f>
        <v>0.55658674716032097</v>
      </c>
      <c r="E6" s="35">
        <v>4</v>
      </c>
      <c r="F6" s="38" t="e">
        <f t="shared" si="0"/>
        <v>#N/A</v>
      </c>
      <c r="G6" s="38" t="e">
        <f t="shared" si="1"/>
        <v>#N/A</v>
      </c>
      <c r="H6" s="18"/>
      <c r="I6" s="54"/>
      <c r="J6" s="22" t="s">
        <v>3</v>
      </c>
      <c r="K6" s="25"/>
      <c r="L6" s="42">
        <f>L4-L2</f>
        <v>-1.9998608858429967E-2</v>
      </c>
    </row>
    <row r="7" spans="1:12" ht="16.5" customHeight="1" x14ac:dyDescent="0.25">
      <c r="A7" s="3">
        <v>5</v>
      </c>
      <c r="B7" s="14">
        <f>'Lopsided Margins'!E7</f>
        <v>0.41597139569161889</v>
      </c>
      <c r="C7" s="17">
        <f>'Lopsided Margins'!F7</f>
        <v>0.58402860430838111</v>
      </c>
      <c r="E7" s="35">
        <v>5</v>
      </c>
      <c r="F7" s="38" t="e">
        <f t="shared" si="0"/>
        <v>#N/A</v>
      </c>
      <c r="G7" s="38" t="e">
        <f t="shared" si="1"/>
        <v>#N/A</v>
      </c>
      <c r="H7" s="18"/>
      <c r="I7" s="10"/>
      <c r="J7" s="10"/>
      <c r="K7" s="10"/>
      <c r="L7" s="10"/>
    </row>
    <row r="8" spans="1:12" ht="15.75" customHeight="1" x14ac:dyDescent="0.25">
      <c r="A8" s="3">
        <v>6</v>
      </c>
      <c r="B8" s="14">
        <f>'Lopsided Margins'!E8</f>
        <v>0.61308066478825451</v>
      </c>
      <c r="C8" s="17">
        <f>'Lopsided Margins'!F8</f>
        <v>0.38691933521174549</v>
      </c>
      <c r="E8" s="35">
        <v>6</v>
      </c>
      <c r="F8" s="38" t="e">
        <f t="shared" si="0"/>
        <v>#N/A</v>
      </c>
      <c r="G8" s="38" t="e">
        <f t="shared" si="1"/>
        <v>#N/A</v>
      </c>
      <c r="H8" s="18"/>
      <c r="I8" s="55" t="s">
        <v>14</v>
      </c>
      <c r="J8" s="56"/>
      <c r="K8" s="56"/>
      <c r="L8" s="57"/>
    </row>
    <row r="9" spans="1:12" ht="15.75" customHeight="1" x14ac:dyDescent="0.25">
      <c r="A9" s="3">
        <v>7</v>
      </c>
      <c r="B9" s="14">
        <f>'Lopsided Margins'!E9</f>
        <v>0.50788695574054532</v>
      </c>
      <c r="C9" s="17">
        <f>'Lopsided Margins'!F9</f>
        <v>0.49211304425945468</v>
      </c>
      <c r="E9" s="35">
        <v>7</v>
      </c>
      <c r="F9" s="38" t="e">
        <f t="shared" si="0"/>
        <v>#N/A</v>
      </c>
      <c r="G9" s="38" t="e">
        <f t="shared" si="1"/>
        <v>#N/A</v>
      </c>
      <c r="H9" s="18"/>
      <c r="I9" s="19" t="str">
        <f>IF(MAX(L5:L6)=L5,J6,J5)</f>
        <v>Rep</v>
      </c>
      <c r="J9" s="58" t="s">
        <v>15</v>
      </c>
      <c r="K9" s="58"/>
      <c r="L9" s="59"/>
    </row>
    <row r="10" spans="1:12" ht="16.5" customHeight="1" x14ac:dyDescent="0.25">
      <c r="A10" s="3">
        <v>8</v>
      </c>
      <c r="B10" s="14">
        <f>'Lopsided Margins'!E10</f>
        <v>0.54479395148557619</v>
      </c>
      <c r="C10" s="17">
        <f>'Lopsided Margins'!F10</f>
        <v>0.45520604851442387</v>
      </c>
      <c r="E10" s="35">
        <v>8</v>
      </c>
      <c r="F10" s="38" t="e">
        <f t="shared" si="0"/>
        <v>#N/A</v>
      </c>
      <c r="G10" s="38" t="e">
        <f t="shared" si="1"/>
        <v>#N/A</v>
      </c>
      <c r="H10" s="18"/>
      <c r="I10" s="20"/>
      <c r="J10" s="60">
        <f>ABS(MIN(L5:L6))</f>
        <v>1.9998608858429967E-2</v>
      </c>
      <c r="K10" s="61"/>
      <c r="L10" s="62"/>
    </row>
    <row r="11" spans="1:12" ht="15.75" customHeight="1" x14ac:dyDescent="0.25">
      <c r="A11" s="3">
        <v>9</v>
      </c>
      <c r="B11" s="14">
        <f>'Lopsided Margins'!E11</f>
        <v>0.38658603835533845</v>
      </c>
      <c r="C11" s="17">
        <f>'Lopsided Margins'!F11</f>
        <v>0.61341396164466155</v>
      </c>
      <c r="E11" s="35">
        <v>9</v>
      </c>
      <c r="F11" s="38" t="e">
        <f t="shared" si="0"/>
        <v>#N/A</v>
      </c>
      <c r="G11" s="38" t="e">
        <f t="shared" si="1"/>
        <v>#N/A</v>
      </c>
      <c r="H11" s="18"/>
      <c r="I11" s="10"/>
      <c r="J11" s="10"/>
      <c r="K11" s="10"/>
      <c r="L11" s="10"/>
    </row>
    <row r="12" spans="1:12" ht="15.75" customHeight="1" x14ac:dyDescent="0.25">
      <c r="A12" s="3">
        <v>10</v>
      </c>
      <c r="B12" s="14">
        <f>'Lopsided Margins'!E12</f>
        <v>0.55823460139795023</v>
      </c>
      <c r="C12" s="17">
        <f>'Lopsided Margins'!F12</f>
        <v>0.44176539860204977</v>
      </c>
      <c r="E12" s="35">
        <v>10</v>
      </c>
      <c r="F12" s="38" t="e">
        <f t="shared" si="0"/>
        <v>#N/A</v>
      </c>
      <c r="G12" s="38" t="e">
        <f t="shared" si="1"/>
        <v>#N/A</v>
      </c>
      <c r="H12" s="18"/>
      <c r="I12" s="10"/>
      <c r="J12" s="10"/>
      <c r="K12" s="10"/>
      <c r="L12" s="10"/>
    </row>
    <row r="13" spans="1:12" ht="15.75" customHeight="1" x14ac:dyDescent="0.25">
      <c r="A13" s="3">
        <v>11</v>
      </c>
      <c r="B13" s="14">
        <f>'Lopsided Margins'!E13</f>
        <v>0.56231668087908748</v>
      </c>
      <c r="C13" s="17">
        <f>'Lopsided Margins'!F13</f>
        <v>0.43768331912091252</v>
      </c>
      <c r="E13" s="35">
        <v>11</v>
      </c>
      <c r="F13" s="38" t="e">
        <f t="shared" si="0"/>
        <v>#N/A</v>
      </c>
      <c r="G13" s="38" t="e">
        <f t="shared" si="1"/>
        <v>#N/A</v>
      </c>
      <c r="H13" s="18"/>
      <c r="I13" s="10"/>
      <c r="J13" s="10"/>
      <c r="K13" s="10"/>
      <c r="L13" s="10"/>
    </row>
    <row r="14" spans="1:12" ht="15.75" customHeight="1" x14ac:dyDescent="0.25">
      <c r="A14" s="3">
        <v>12</v>
      </c>
      <c r="B14" s="14">
        <f>'Lopsided Margins'!E14</f>
        <v>0.74401319764810869</v>
      </c>
      <c r="C14" s="17">
        <f>'Lopsided Margins'!F14</f>
        <v>0.25598680235189125</v>
      </c>
      <c r="E14" s="35">
        <v>12</v>
      </c>
      <c r="F14" s="38" t="e">
        <f t="shared" si="0"/>
        <v>#N/A</v>
      </c>
      <c r="G14" s="38" t="e">
        <f t="shared" si="1"/>
        <v>#N/A</v>
      </c>
      <c r="H14" s="18"/>
      <c r="I14" s="10"/>
      <c r="J14" s="10"/>
      <c r="K14" s="10"/>
      <c r="L14" s="10"/>
    </row>
    <row r="15" spans="1:12" ht="15.75" customHeight="1" x14ac:dyDescent="0.25">
      <c r="A15" s="3">
        <v>13</v>
      </c>
      <c r="B15" s="14">
        <f>'Lopsided Margins'!E15</f>
        <v>0.75907488965514691</v>
      </c>
      <c r="C15" s="17">
        <f>'Lopsided Margins'!F15</f>
        <v>0.24092511034485306</v>
      </c>
      <c r="E15" s="35">
        <v>13</v>
      </c>
      <c r="F15" s="38" t="e">
        <f t="shared" si="0"/>
        <v>#N/A</v>
      </c>
      <c r="G15" s="38" t="e">
        <f t="shared" si="1"/>
        <v>#N/A</v>
      </c>
      <c r="H15" s="18"/>
      <c r="I15" s="10"/>
      <c r="J15" s="10"/>
      <c r="K15" s="10"/>
      <c r="L15" s="10"/>
    </row>
    <row r="16" spans="1:12" ht="15.75" customHeight="1" x14ac:dyDescent="0.25">
      <c r="I16" s="10"/>
      <c r="J16" s="10"/>
      <c r="K16" s="10"/>
      <c r="L16" s="10"/>
    </row>
  </sheetData>
  <sheetProtection sheet="1"/>
  <mergeCells count="8">
    <mergeCell ref="J10:L10"/>
    <mergeCell ref="B1:C1"/>
    <mergeCell ref="I1:I2"/>
    <mergeCell ref="I3:I4"/>
    <mergeCell ref="I5:I6"/>
    <mergeCell ref="I8:L8"/>
    <mergeCell ref="J9:L9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workbookViewId="0">
      <selection activeCell="A2" sqref="A2"/>
    </sheetView>
  </sheetViews>
  <sheetFormatPr defaultColWidth="9.140625" defaultRowHeight="15.75" x14ac:dyDescent="0.25"/>
  <cols>
    <col min="1" max="1" width="9.42578125" style="10" customWidth="1"/>
    <col min="2" max="3" width="10.140625" style="10" customWidth="1"/>
    <col min="4" max="4" width="12" style="10" customWidth="1"/>
    <col min="5" max="6" width="10.140625" style="10" customWidth="1"/>
    <col min="7" max="7" width="17.5703125" style="10" customWidth="1"/>
    <col min="8" max="8" width="10.140625" style="10" customWidth="1"/>
    <col min="9" max="9" width="9.28515625" style="10" customWidth="1"/>
    <col min="10" max="11" width="11.42578125" style="10" customWidth="1"/>
    <col min="12" max="12" width="9.140625" style="10" bestFit="1"/>
    <col min="13" max="13" width="27.7109375" style="10" customWidth="1"/>
    <col min="14" max="14" width="9" style="10" customWidth="1"/>
    <col min="15" max="15" width="20.28515625" style="10" customWidth="1"/>
    <col min="16" max="17" width="30.42578125" style="10" customWidth="1"/>
    <col min="18" max="18" width="9.140625" style="10" bestFit="1"/>
    <col min="19" max="16384" width="9.140625" style="10"/>
  </cols>
  <sheetData>
    <row r="1" spans="1:17" ht="16.5" customHeight="1" x14ac:dyDescent="0.25">
      <c r="A1" s="1"/>
      <c r="B1" s="63" t="s">
        <v>1</v>
      </c>
      <c r="C1" s="64"/>
      <c r="E1" s="65" t="s">
        <v>16</v>
      </c>
      <c r="F1" s="66"/>
      <c r="H1" s="65" t="s">
        <v>18</v>
      </c>
      <c r="I1" s="66"/>
      <c r="J1" s="65" t="s">
        <v>19</v>
      </c>
      <c r="K1" s="66"/>
      <c r="L1" s="18"/>
      <c r="O1" s="45" t="s">
        <v>19</v>
      </c>
      <c r="P1" s="45" t="s">
        <v>22</v>
      </c>
    </row>
    <row r="2" spans="1:17" ht="16.5" customHeight="1" x14ac:dyDescent="0.25">
      <c r="A2" s="2" t="s">
        <v>0</v>
      </c>
      <c r="B2" s="4" t="s">
        <v>2</v>
      </c>
      <c r="C2" s="15" t="s">
        <v>3</v>
      </c>
      <c r="D2" s="11" t="s">
        <v>4</v>
      </c>
      <c r="E2" s="4" t="s">
        <v>2</v>
      </c>
      <c r="F2" s="15" t="s">
        <v>3</v>
      </c>
      <c r="G2" s="11" t="s">
        <v>17</v>
      </c>
      <c r="H2" s="4" t="s">
        <v>2</v>
      </c>
      <c r="I2" s="15" t="s">
        <v>3</v>
      </c>
      <c r="J2" s="4" t="s">
        <v>2</v>
      </c>
      <c r="K2" s="15" t="s">
        <v>3</v>
      </c>
      <c r="L2" s="18"/>
      <c r="M2" s="53" t="s">
        <v>20</v>
      </c>
      <c r="N2" s="21" t="s">
        <v>2</v>
      </c>
      <c r="O2" s="46">
        <f>SUM(J2:J15)</f>
        <v>14260309.5</v>
      </c>
      <c r="P2" s="48">
        <f>O2/SUM(D2:D15)</f>
        <v>0.25479873793383973</v>
      </c>
      <c r="Q2" s="50"/>
    </row>
    <row r="3" spans="1:17" ht="16.5" customHeight="1" x14ac:dyDescent="0.25">
      <c r="A3" s="2">
        <v>1</v>
      </c>
      <c r="B3" s="6">
        <f>'Lopsided Margins'!B3</f>
        <v>2016550</v>
      </c>
      <c r="C3" s="9">
        <f>'Lopsided Margins'!C3</f>
        <v>2697440</v>
      </c>
      <c r="D3" s="12">
        <f t="shared" ref="D3:D15" si="0">SUM(B3:C3)</f>
        <v>4713990</v>
      </c>
      <c r="E3" s="43">
        <f t="shared" ref="E3:E15" si="1">IF(MAX(B3:C3)=B3,0,B3)</f>
        <v>2016550</v>
      </c>
      <c r="F3" s="44">
        <f t="shared" ref="F3:F15" si="2">IF(MAX(B3:C3)=B3,C3,0)</f>
        <v>0</v>
      </c>
      <c r="G3" s="12">
        <f t="shared" ref="G3:G15" si="3">D3/2</f>
        <v>2356995</v>
      </c>
      <c r="H3" s="43">
        <f t="shared" ref="H3:H15" si="4">IF(MAX(B3:C3)=B3,B3-G3,0)</f>
        <v>0</v>
      </c>
      <c r="I3" s="44">
        <f t="shared" ref="I3:I15" si="5">IF(MAX(B3:C3)=B3,0,C3-G3)</f>
        <v>340445</v>
      </c>
      <c r="J3" s="43">
        <f t="shared" ref="J3:J15" si="6">MAX(E3,H3)</f>
        <v>2016550</v>
      </c>
      <c r="K3" s="44">
        <f t="shared" ref="K3:K15" si="7">MAX(F3,I3)</f>
        <v>340445</v>
      </c>
      <c r="L3" s="18"/>
      <c r="M3" s="54"/>
      <c r="N3" s="22" t="s">
        <v>3</v>
      </c>
      <c r="O3" s="47">
        <f>SUM(K2:K15)</f>
        <v>13723168</v>
      </c>
      <c r="P3" s="49">
        <f>O3/SUM(D2:D15)</f>
        <v>0.2452012620661603</v>
      </c>
      <c r="Q3" s="50"/>
    </row>
    <row r="4" spans="1:17" ht="16.5" customHeight="1" x14ac:dyDescent="0.25">
      <c r="A4" s="3">
        <v>2</v>
      </c>
      <c r="B4" s="6">
        <f>'Lopsided Margins'!B4</f>
        <v>1817938</v>
      </c>
      <c r="C4" s="9">
        <f>'Lopsided Margins'!C4</f>
        <v>2315556</v>
      </c>
      <c r="D4" s="12">
        <f t="shared" si="0"/>
        <v>4133494</v>
      </c>
      <c r="E4" s="6">
        <f t="shared" si="1"/>
        <v>1817938</v>
      </c>
      <c r="F4" s="9">
        <f t="shared" si="2"/>
        <v>0</v>
      </c>
      <c r="G4" s="12">
        <f t="shared" si="3"/>
        <v>2066747</v>
      </c>
      <c r="H4" s="6">
        <f t="shared" si="4"/>
        <v>0</v>
      </c>
      <c r="I4" s="9">
        <f t="shared" si="5"/>
        <v>248809</v>
      </c>
      <c r="J4" s="6">
        <f t="shared" si="6"/>
        <v>1817938</v>
      </c>
      <c r="K4" s="9">
        <f t="shared" si="7"/>
        <v>248809</v>
      </c>
      <c r="L4" s="18"/>
    </row>
    <row r="5" spans="1:17" x14ac:dyDescent="0.25">
      <c r="A5" s="3">
        <v>3</v>
      </c>
      <c r="B5" s="6">
        <f>'Lopsided Margins'!B5</f>
        <v>1934335</v>
      </c>
      <c r="C5" s="9">
        <f>'Lopsided Margins'!C5</f>
        <v>2274820</v>
      </c>
      <c r="D5" s="12">
        <f t="shared" si="0"/>
        <v>4209155</v>
      </c>
      <c r="E5" s="6">
        <f t="shared" si="1"/>
        <v>1934335</v>
      </c>
      <c r="F5" s="9">
        <f t="shared" si="2"/>
        <v>0</v>
      </c>
      <c r="G5" s="12">
        <f t="shared" si="3"/>
        <v>2104577.5</v>
      </c>
      <c r="H5" s="6">
        <f t="shared" si="4"/>
        <v>0</v>
      </c>
      <c r="I5" s="9">
        <f t="shared" si="5"/>
        <v>170242.5</v>
      </c>
      <c r="J5" s="6">
        <f t="shared" si="6"/>
        <v>1934335</v>
      </c>
      <c r="K5" s="9">
        <f t="shared" si="7"/>
        <v>170242.5</v>
      </c>
      <c r="L5" s="18"/>
      <c r="M5" s="55" t="s">
        <v>8</v>
      </c>
      <c r="N5" s="56"/>
      <c r="O5" s="56"/>
      <c r="P5" s="57"/>
      <c r="Q5" s="50"/>
    </row>
    <row r="6" spans="1:17" x14ac:dyDescent="0.25">
      <c r="A6" s="3">
        <v>4</v>
      </c>
      <c r="B6" s="6">
        <f>'Lopsided Margins'!B6</f>
        <v>1884407</v>
      </c>
      <c r="C6" s="9">
        <f>'Lopsided Margins'!C6</f>
        <v>2365369</v>
      </c>
      <c r="D6" s="12">
        <f t="shared" si="0"/>
        <v>4249776</v>
      </c>
      <c r="E6" s="6">
        <f t="shared" si="1"/>
        <v>1884407</v>
      </c>
      <c r="F6" s="9">
        <f t="shared" si="2"/>
        <v>0</v>
      </c>
      <c r="G6" s="12">
        <f t="shared" si="3"/>
        <v>2124888</v>
      </c>
      <c r="H6" s="6">
        <f t="shared" si="4"/>
        <v>0</v>
      </c>
      <c r="I6" s="9">
        <f t="shared" si="5"/>
        <v>240481</v>
      </c>
      <c r="J6" s="6">
        <f t="shared" si="6"/>
        <v>1884407</v>
      </c>
      <c r="K6" s="9">
        <f t="shared" si="7"/>
        <v>240481</v>
      </c>
      <c r="L6" s="18"/>
      <c r="M6" s="19" t="str">
        <f>IF(MAX(P2:P3)=P2,N3,N2)</f>
        <v>Rep</v>
      </c>
      <c r="N6" s="58" t="s">
        <v>21</v>
      </c>
      <c r="O6" s="58"/>
      <c r="P6" s="59"/>
    </row>
    <row r="7" spans="1:17" ht="16.5" customHeight="1" x14ac:dyDescent="0.25">
      <c r="A7" s="3">
        <v>5</v>
      </c>
      <c r="B7" s="6">
        <f>'Lopsided Margins'!B7</f>
        <v>1688764</v>
      </c>
      <c r="C7" s="9">
        <f>'Lopsided Margins'!C7</f>
        <v>2371044</v>
      </c>
      <c r="D7" s="12">
        <f t="shared" si="0"/>
        <v>4059808</v>
      </c>
      <c r="E7" s="6">
        <f t="shared" si="1"/>
        <v>1688764</v>
      </c>
      <c r="F7" s="9">
        <f t="shared" si="2"/>
        <v>0</v>
      </c>
      <c r="G7" s="12">
        <f t="shared" si="3"/>
        <v>2029904</v>
      </c>
      <c r="H7" s="6">
        <f t="shared" si="4"/>
        <v>0</v>
      </c>
      <c r="I7" s="9">
        <f t="shared" si="5"/>
        <v>341140</v>
      </c>
      <c r="J7" s="6">
        <f t="shared" si="6"/>
        <v>1688764</v>
      </c>
      <c r="K7" s="9">
        <f t="shared" si="7"/>
        <v>341140</v>
      </c>
      <c r="L7" s="18"/>
      <c r="M7" s="20"/>
      <c r="N7" s="60">
        <f>(MAX(O2:O3)-MIN(O2:O3))/SUM(D2:D15)</f>
        <v>9.597475867679419E-3</v>
      </c>
      <c r="O7" s="61"/>
      <c r="P7" s="62"/>
    </row>
    <row r="8" spans="1:17" x14ac:dyDescent="0.25">
      <c r="A8" s="3">
        <v>6</v>
      </c>
      <c r="B8" s="6">
        <f>'Lopsided Margins'!B8</f>
        <v>2818856</v>
      </c>
      <c r="C8" s="9">
        <f>'Lopsided Margins'!C8</f>
        <v>1778999</v>
      </c>
      <c r="D8" s="12">
        <f t="shared" si="0"/>
        <v>4597855</v>
      </c>
      <c r="E8" s="6">
        <f t="shared" si="1"/>
        <v>0</v>
      </c>
      <c r="F8" s="9">
        <f t="shared" si="2"/>
        <v>1778999</v>
      </c>
      <c r="G8" s="12">
        <f t="shared" si="3"/>
        <v>2298927.5</v>
      </c>
      <c r="H8" s="6">
        <f t="shared" si="4"/>
        <v>519928.5</v>
      </c>
      <c r="I8" s="9">
        <f t="shared" si="5"/>
        <v>0</v>
      </c>
      <c r="J8" s="6">
        <f t="shared" si="6"/>
        <v>519928.5</v>
      </c>
      <c r="K8" s="9">
        <f t="shared" si="7"/>
        <v>1778999</v>
      </c>
      <c r="L8" s="18"/>
    </row>
    <row r="9" spans="1:17" x14ac:dyDescent="0.25">
      <c r="A9" s="3">
        <v>7</v>
      </c>
      <c r="B9" s="6">
        <f>'Lopsided Margins'!B9</f>
        <v>2210483</v>
      </c>
      <c r="C9" s="9">
        <f>'Lopsided Margins'!C9</f>
        <v>2141830</v>
      </c>
      <c r="D9" s="12">
        <f t="shared" si="0"/>
        <v>4352313</v>
      </c>
      <c r="E9" s="6">
        <f t="shared" si="1"/>
        <v>0</v>
      </c>
      <c r="F9" s="9">
        <f t="shared" si="2"/>
        <v>2141830</v>
      </c>
      <c r="G9" s="12">
        <f t="shared" si="3"/>
        <v>2176156.5</v>
      </c>
      <c r="H9" s="6">
        <f t="shared" si="4"/>
        <v>34326.5</v>
      </c>
      <c r="I9" s="9">
        <f t="shared" si="5"/>
        <v>0</v>
      </c>
      <c r="J9" s="6">
        <f t="shared" si="6"/>
        <v>34326.5</v>
      </c>
      <c r="K9" s="9">
        <f t="shared" si="7"/>
        <v>2141830</v>
      </c>
      <c r="L9" s="18"/>
    </row>
    <row r="10" spans="1:17" x14ac:dyDescent="0.25">
      <c r="A10" s="3">
        <v>8</v>
      </c>
      <c r="B10" s="6">
        <f>'Lopsided Margins'!B10</f>
        <v>2439547</v>
      </c>
      <c r="C10" s="9">
        <f>'Lopsided Margins'!C10</f>
        <v>2038379</v>
      </c>
      <c r="D10" s="12">
        <f t="shared" si="0"/>
        <v>4477926</v>
      </c>
      <c r="E10" s="6">
        <f t="shared" si="1"/>
        <v>0</v>
      </c>
      <c r="F10" s="9">
        <f t="shared" si="2"/>
        <v>2038379</v>
      </c>
      <c r="G10" s="12">
        <f t="shared" si="3"/>
        <v>2238963</v>
      </c>
      <c r="H10" s="6">
        <f t="shared" si="4"/>
        <v>200584</v>
      </c>
      <c r="I10" s="9">
        <f t="shared" si="5"/>
        <v>0</v>
      </c>
      <c r="J10" s="6">
        <f t="shared" si="6"/>
        <v>200584</v>
      </c>
      <c r="K10" s="9">
        <f t="shared" si="7"/>
        <v>2038379</v>
      </c>
      <c r="L10" s="18"/>
    </row>
    <row r="11" spans="1:17" x14ac:dyDescent="0.25">
      <c r="A11" s="3">
        <v>9</v>
      </c>
      <c r="B11" s="6">
        <f>'Lopsided Margins'!B11</f>
        <v>1764502</v>
      </c>
      <c r="C11" s="9">
        <f>'Lopsided Margins'!C11</f>
        <v>2799817</v>
      </c>
      <c r="D11" s="12">
        <f t="shared" si="0"/>
        <v>4564319</v>
      </c>
      <c r="E11" s="6">
        <f t="shared" si="1"/>
        <v>1764502</v>
      </c>
      <c r="F11" s="9">
        <f t="shared" si="2"/>
        <v>0</v>
      </c>
      <c r="G11" s="12">
        <f t="shared" si="3"/>
        <v>2282159.5</v>
      </c>
      <c r="H11" s="6">
        <f t="shared" si="4"/>
        <v>0</v>
      </c>
      <c r="I11" s="9">
        <f t="shared" si="5"/>
        <v>517657.5</v>
      </c>
      <c r="J11" s="6">
        <f t="shared" si="6"/>
        <v>1764502</v>
      </c>
      <c r="K11" s="9">
        <f t="shared" si="7"/>
        <v>517657.5</v>
      </c>
      <c r="L11" s="18"/>
    </row>
    <row r="12" spans="1:17" x14ac:dyDescent="0.25">
      <c r="A12" s="3">
        <v>10</v>
      </c>
      <c r="B12" s="6">
        <f>'Lopsided Margins'!B12</f>
        <v>2541775</v>
      </c>
      <c r="C12" s="9">
        <f>'Lopsided Margins'!C12</f>
        <v>2011463</v>
      </c>
      <c r="D12" s="12">
        <f t="shared" si="0"/>
        <v>4553238</v>
      </c>
      <c r="E12" s="6">
        <f t="shared" si="1"/>
        <v>0</v>
      </c>
      <c r="F12" s="9">
        <f t="shared" si="2"/>
        <v>2011463</v>
      </c>
      <c r="G12" s="12">
        <f t="shared" si="3"/>
        <v>2276619</v>
      </c>
      <c r="H12" s="6">
        <f t="shared" si="4"/>
        <v>265156</v>
      </c>
      <c r="I12" s="9">
        <f t="shared" si="5"/>
        <v>0</v>
      </c>
      <c r="J12" s="6">
        <f t="shared" si="6"/>
        <v>265156</v>
      </c>
      <c r="K12" s="9">
        <f t="shared" si="7"/>
        <v>2011463</v>
      </c>
      <c r="L12" s="18"/>
    </row>
    <row r="13" spans="1:17" x14ac:dyDescent="0.25">
      <c r="A13" s="3">
        <v>11</v>
      </c>
      <c r="B13" s="6">
        <f>'Lopsided Margins'!B13</f>
        <v>2664054</v>
      </c>
      <c r="C13" s="9">
        <f>'Lopsided Margins'!C13</f>
        <v>2073586</v>
      </c>
      <c r="D13" s="12">
        <f t="shared" si="0"/>
        <v>4737640</v>
      </c>
      <c r="E13" s="6">
        <f t="shared" si="1"/>
        <v>0</v>
      </c>
      <c r="F13" s="9">
        <f t="shared" si="2"/>
        <v>2073586</v>
      </c>
      <c r="G13" s="12">
        <f t="shared" si="3"/>
        <v>2368820</v>
      </c>
      <c r="H13" s="6">
        <f t="shared" si="4"/>
        <v>295234</v>
      </c>
      <c r="I13" s="9">
        <f t="shared" si="5"/>
        <v>0</v>
      </c>
      <c r="J13" s="6">
        <f t="shared" si="6"/>
        <v>295234</v>
      </c>
      <c r="K13" s="9">
        <f t="shared" si="7"/>
        <v>2073586</v>
      </c>
      <c r="L13" s="18"/>
    </row>
    <row r="14" spans="1:17" x14ac:dyDescent="0.25">
      <c r="A14" s="3">
        <v>12</v>
      </c>
      <c r="B14" s="6">
        <f>'Lopsided Margins'!B14</f>
        <v>2824597</v>
      </c>
      <c r="C14" s="9">
        <f>'Lopsided Margins'!C14</f>
        <v>971837</v>
      </c>
      <c r="D14" s="12">
        <f t="shared" si="0"/>
        <v>3796434</v>
      </c>
      <c r="E14" s="6">
        <f t="shared" si="1"/>
        <v>0</v>
      </c>
      <c r="F14" s="9">
        <f t="shared" si="2"/>
        <v>971837</v>
      </c>
      <c r="G14" s="12">
        <f t="shared" si="3"/>
        <v>1898217</v>
      </c>
      <c r="H14" s="6">
        <f t="shared" si="4"/>
        <v>926380</v>
      </c>
      <c r="I14" s="9">
        <f t="shared" si="5"/>
        <v>0</v>
      </c>
      <c r="J14" s="6">
        <f t="shared" si="6"/>
        <v>926380</v>
      </c>
      <c r="K14" s="9">
        <f t="shared" si="7"/>
        <v>971837</v>
      </c>
      <c r="L14" s="18"/>
    </row>
    <row r="15" spans="1:17" x14ac:dyDescent="0.25">
      <c r="A15" s="3">
        <v>13</v>
      </c>
      <c r="B15" s="6">
        <f>'Lopsided Margins'!B15</f>
        <v>2672708</v>
      </c>
      <c r="C15" s="9">
        <f>'Lopsided Margins'!C15</f>
        <v>848299</v>
      </c>
      <c r="D15" s="12">
        <f t="shared" si="0"/>
        <v>3521007</v>
      </c>
      <c r="E15" s="6">
        <f t="shared" si="1"/>
        <v>0</v>
      </c>
      <c r="F15" s="9">
        <f t="shared" si="2"/>
        <v>848299</v>
      </c>
      <c r="G15" s="12">
        <f t="shared" si="3"/>
        <v>1760503.5</v>
      </c>
      <c r="H15" s="6">
        <f t="shared" si="4"/>
        <v>912204.5</v>
      </c>
      <c r="I15" s="9">
        <f t="shared" si="5"/>
        <v>0</v>
      </c>
      <c r="J15" s="6">
        <f t="shared" si="6"/>
        <v>912204.5</v>
      </c>
      <c r="K15" s="9">
        <f t="shared" si="7"/>
        <v>848299</v>
      </c>
      <c r="L15" s="18"/>
    </row>
  </sheetData>
  <sheetProtection sheet="1"/>
  <mergeCells count="8">
    <mergeCell ref="M2:M3"/>
    <mergeCell ref="M5:P5"/>
    <mergeCell ref="N6:P6"/>
    <mergeCell ref="N7:P7"/>
    <mergeCell ref="B1:C1"/>
    <mergeCell ref="E1:F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"/>
  <sheetViews>
    <sheetView workbookViewId="0">
      <selection activeCell="A2" sqref="A2"/>
    </sheetView>
  </sheetViews>
  <sheetFormatPr defaultColWidth="9.140625" defaultRowHeight="15.75" x14ac:dyDescent="0.25"/>
  <cols>
    <col min="1" max="1" width="9.42578125" style="10" customWidth="1"/>
    <col min="2" max="2" width="10.140625" style="10" customWidth="1"/>
    <col min="3" max="3" width="7.42578125" style="10" customWidth="1"/>
    <col min="4" max="4" width="10.140625" style="10" customWidth="1"/>
    <col min="5" max="5" width="6.85546875" style="10" customWidth="1"/>
    <col min="6" max="6" width="9.140625" style="10" bestFit="1"/>
    <col min="7" max="7" width="9.28515625" style="10" customWidth="1"/>
    <col min="8" max="8" width="11" style="10" customWidth="1"/>
    <col min="9" max="9" width="14.5703125" style="10" customWidth="1"/>
    <col min="10" max="10" width="10.5703125" style="10" customWidth="1"/>
    <col min="11" max="11" width="19.42578125" style="10" customWidth="1"/>
    <col min="12" max="12" width="9.140625" style="10" bestFit="1"/>
    <col min="13" max="16384" width="9.140625" style="10"/>
  </cols>
  <sheetData>
    <row r="1" spans="1:11" ht="16.5" customHeight="1" x14ac:dyDescent="0.25">
      <c r="A1" s="1"/>
      <c r="B1" s="63" t="s">
        <v>23</v>
      </c>
      <c r="C1" s="72"/>
      <c r="D1" s="72"/>
      <c r="E1" s="64"/>
      <c r="H1" s="23" t="s">
        <v>26</v>
      </c>
      <c r="I1" s="23" t="s">
        <v>27</v>
      </c>
      <c r="J1" s="23" t="s">
        <v>28</v>
      </c>
      <c r="K1" s="23" t="s">
        <v>29</v>
      </c>
    </row>
    <row r="2" spans="1:11" ht="16.5" customHeight="1" x14ac:dyDescent="0.25">
      <c r="A2" s="2" t="s">
        <v>0</v>
      </c>
      <c r="B2" s="31" t="s">
        <v>2</v>
      </c>
      <c r="C2" s="51" t="s">
        <v>24</v>
      </c>
      <c r="D2" s="52" t="s">
        <v>3</v>
      </c>
      <c r="E2" s="32" t="s">
        <v>25</v>
      </c>
      <c r="G2" s="21" t="s">
        <v>2</v>
      </c>
      <c r="H2" s="38">
        <f>SUM(B2:B15)/(SUM(B2:B15)+SUM(D2:D15))</f>
        <v>0.52313934177766153</v>
      </c>
      <c r="I2" s="23">
        <f>COUNT('Lopsided Margins'!G2:G15)</f>
        <v>7</v>
      </c>
      <c r="J2" s="37">
        <f>I2/(I2+I3)</f>
        <v>0.53846153846153844</v>
      </c>
      <c r="K2" s="38">
        <f>J2-H2</f>
        <v>1.532219668387691E-2</v>
      </c>
    </row>
    <row r="3" spans="1:11" ht="16.5" customHeight="1" x14ac:dyDescent="0.25">
      <c r="A3" s="2">
        <v>1</v>
      </c>
      <c r="B3" s="6">
        <f>'Lopsided Margins'!B3</f>
        <v>2016550</v>
      </c>
      <c r="C3" s="14">
        <f>'Lopsided Margins'!E3</f>
        <v>0.42777986376721205</v>
      </c>
      <c r="D3" s="9">
        <f>'Lopsided Margins'!C3</f>
        <v>2697440</v>
      </c>
      <c r="E3" s="17">
        <f>'Lopsided Margins'!F3</f>
        <v>0.57222013623278789</v>
      </c>
      <c r="G3" s="22" t="s">
        <v>3</v>
      </c>
      <c r="H3" s="38">
        <f>SUM(D2:D15)/(SUM(B2:B15)+SUM(D2:D15))</f>
        <v>0.47686065822233853</v>
      </c>
      <c r="I3" s="23">
        <f>COUNT('Lopsided Margins'!H2:H115)</f>
        <v>6</v>
      </c>
      <c r="J3" s="37">
        <f>I3/(I2+I3)</f>
        <v>0.46153846153846156</v>
      </c>
      <c r="K3" s="38">
        <f>J3-H3</f>
        <v>-1.5322196683876965E-2</v>
      </c>
    </row>
    <row r="4" spans="1:11" x14ac:dyDescent="0.25">
      <c r="A4" s="3">
        <v>2</v>
      </c>
      <c r="B4" s="6">
        <f>'Lopsided Margins'!B4</f>
        <v>1817938</v>
      </c>
      <c r="C4" s="14">
        <f>'Lopsided Margins'!E4</f>
        <v>0.43980661396871507</v>
      </c>
      <c r="D4" s="9">
        <f>'Lopsided Margins'!C4</f>
        <v>2315556</v>
      </c>
      <c r="E4" s="17">
        <f>'Lopsided Margins'!F4</f>
        <v>0.56019338603128488</v>
      </c>
    </row>
    <row r="5" spans="1:11" x14ac:dyDescent="0.25">
      <c r="A5" s="3">
        <v>3</v>
      </c>
      <c r="B5" s="6">
        <f>'Lopsided Margins'!B5</f>
        <v>1934335</v>
      </c>
      <c r="C5" s="14">
        <f>'Lopsided Margins'!E5</f>
        <v>0.45955423356944564</v>
      </c>
      <c r="D5" s="9">
        <f>'Lopsided Margins'!C5</f>
        <v>2274820</v>
      </c>
      <c r="E5" s="17">
        <f>'Lopsided Margins'!F5</f>
        <v>0.54044576643055431</v>
      </c>
    </row>
    <row r="6" spans="1:11" x14ac:dyDescent="0.25">
      <c r="A6" s="3">
        <v>4</v>
      </c>
      <c r="B6" s="6">
        <f>'Lopsided Margins'!B6</f>
        <v>1884407</v>
      </c>
      <c r="C6" s="14">
        <f>'Lopsided Margins'!E6</f>
        <v>0.44341325283967908</v>
      </c>
      <c r="D6" s="9">
        <f>'Lopsided Margins'!C6</f>
        <v>2365369</v>
      </c>
      <c r="E6" s="17">
        <f>'Lopsided Margins'!F6</f>
        <v>0.55658674716032097</v>
      </c>
    </row>
    <row r="7" spans="1:11" x14ac:dyDescent="0.25">
      <c r="A7" s="3">
        <v>5</v>
      </c>
      <c r="B7" s="6">
        <f>'Lopsided Margins'!B7</f>
        <v>1688764</v>
      </c>
      <c r="C7" s="14">
        <f>'Lopsided Margins'!E7</f>
        <v>0.41597139569161889</v>
      </c>
      <c r="D7" s="9">
        <f>'Lopsided Margins'!C7</f>
        <v>2371044</v>
      </c>
      <c r="E7" s="17">
        <f>'Lopsided Margins'!F7</f>
        <v>0.58402860430838111</v>
      </c>
    </row>
    <row r="8" spans="1:11" x14ac:dyDescent="0.25">
      <c r="A8" s="3">
        <v>6</v>
      </c>
      <c r="B8" s="6">
        <f>'Lopsided Margins'!B8</f>
        <v>2818856</v>
      </c>
      <c r="C8" s="14">
        <f>'Lopsided Margins'!E8</f>
        <v>0.61308066478825451</v>
      </c>
      <c r="D8" s="9">
        <f>'Lopsided Margins'!C8</f>
        <v>1778999</v>
      </c>
      <c r="E8" s="17">
        <f>'Lopsided Margins'!F8</f>
        <v>0.38691933521174549</v>
      </c>
    </row>
    <row r="9" spans="1:11" x14ac:dyDescent="0.25">
      <c r="A9" s="3">
        <v>7</v>
      </c>
      <c r="B9" s="6">
        <f>'Lopsided Margins'!B9</f>
        <v>2210483</v>
      </c>
      <c r="C9" s="14">
        <f>'Lopsided Margins'!E9</f>
        <v>0.50788695574054532</v>
      </c>
      <c r="D9" s="9">
        <f>'Lopsided Margins'!C9</f>
        <v>2141830</v>
      </c>
      <c r="E9" s="17">
        <f>'Lopsided Margins'!F9</f>
        <v>0.49211304425945468</v>
      </c>
    </row>
    <row r="10" spans="1:11" x14ac:dyDescent="0.25">
      <c r="A10" s="3">
        <v>8</v>
      </c>
      <c r="B10" s="6">
        <f>'Lopsided Margins'!B10</f>
        <v>2439547</v>
      </c>
      <c r="C10" s="14">
        <f>'Lopsided Margins'!E10</f>
        <v>0.54479395148557619</v>
      </c>
      <c r="D10" s="9">
        <f>'Lopsided Margins'!C10</f>
        <v>2038379</v>
      </c>
      <c r="E10" s="17">
        <f>'Lopsided Margins'!F10</f>
        <v>0.45520604851442387</v>
      </c>
    </row>
    <row r="11" spans="1:11" x14ac:dyDescent="0.25">
      <c r="A11" s="3">
        <v>9</v>
      </c>
      <c r="B11" s="6">
        <f>'Lopsided Margins'!B11</f>
        <v>1764502</v>
      </c>
      <c r="C11" s="14">
        <f>'Lopsided Margins'!E11</f>
        <v>0.38658603835533845</v>
      </c>
      <c r="D11" s="9">
        <f>'Lopsided Margins'!C11</f>
        <v>2799817</v>
      </c>
      <c r="E11" s="17">
        <f>'Lopsided Margins'!F11</f>
        <v>0.61341396164466155</v>
      </c>
    </row>
    <row r="12" spans="1:11" x14ac:dyDescent="0.25">
      <c r="A12" s="3">
        <v>10</v>
      </c>
      <c r="B12" s="6">
        <f>'Lopsided Margins'!B12</f>
        <v>2541775</v>
      </c>
      <c r="C12" s="14">
        <f>'Lopsided Margins'!E12</f>
        <v>0.55823460139795023</v>
      </c>
      <c r="D12" s="9">
        <f>'Lopsided Margins'!C12</f>
        <v>2011463</v>
      </c>
      <c r="E12" s="17">
        <f>'Lopsided Margins'!F12</f>
        <v>0.44176539860204977</v>
      </c>
    </row>
    <row r="13" spans="1:11" x14ac:dyDescent="0.25">
      <c r="A13" s="3">
        <v>11</v>
      </c>
      <c r="B13" s="6">
        <f>'Lopsided Margins'!B13</f>
        <v>2664054</v>
      </c>
      <c r="C13" s="14">
        <f>'Lopsided Margins'!E13</f>
        <v>0.56231668087908748</v>
      </c>
      <c r="D13" s="9">
        <f>'Lopsided Margins'!C13</f>
        <v>2073586</v>
      </c>
      <c r="E13" s="17">
        <f>'Lopsided Margins'!F13</f>
        <v>0.43768331912091252</v>
      </c>
    </row>
    <row r="14" spans="1:11" x14ac:dyDescent="0.25">
      <c r="A14" s="3">
        <v>12</v>
      </c>
      <c r="B14" s="6">
        <f>'Lopsided Margins'!B14</f>
        <v>2824597</v>
      </c>
      <c r="C14" s="14">
        <f>'Lopsided Margins'!E14</f>
        <v>0.74401319764810869</v>
      </c>
      <c r="D14" s="9">
        <f>'Lopsided Margins'!C14</f>
        <v>971837</v>
      </c>
      <c r="E14" s="17">
        <f>'Lopsided Margins'!F14</f>
        <v>0.25598680235189125</v>
      </c>
    </row>
    <row r="15" spans="1:11" x14ac:dyDescent="0.25">
      <c r="A15" s="3">
        <v>13</v>
      </c>
      <c r="B15" s="6">
        <f>'Lopsided Margins'!B15</f>
        <v>2672708</v>
      </c>
      <c r="C15" s="14">
        <f>'Lopsided Margins'!E15</f>
        <v>0.75907488965514691</v>
      </c>
      <c r="D15" s="9">
        <f>'Lopsided Margins'!C15</f>
        <v>848299</v>
      </c>
      <c r="E15" s="17">
        <f>'Lopsided Margins'!F15</f>
        <v>0.24092511034485306</v>
      </c>
    </row>
  </sheetData>
  <sheetProtection sheet="1"/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Lopsided Margins</vt:lpstr>
      <vt:lpstr>Mean-Median Difference</vt:lpstr>
      <vt:lpstr>Efficiency Gap</vt:lpstr>
      <vt:lpstr>Seats Votes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Stigall</dc:creator>
  <cp:lastModifiedBy>Kent Stigall</cp:lastModifiedBy>
  <dcterms:created xsi:type="dcterms:W3CDTF">2021-11-10T01:46:41Z</dcterms:created>
  <dcterms:modified xsi:type="dcterms:W3CDTF">2021-11-10T01:48:07Z</dcterms:modified>
</cp:coreProperties>
</file>