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qihualiang/Dropbox/pan_genome/manuscript/"/>
    </mc:Choice>
  </mc:AlternateContent>
  <xr:revisionPtr revIDLastSave="0" documentId="13_ncr:1_{EA4FFCB1-9C39-3541-B383-6D632DA2B874}" xr6:coauthVersionLast="45" xr6:coauthVersionMax="45" xr10:uidLastSave="{00000000-0000-0000-0000-000000000000}"/>
  <bookViews>
    <workbookView xWindow="2300" yWindow="1300" windowWidth="25600" windowHeight="16000" tabRatio="500" activeTab="2" xr2:uid="{00000000-000D-0000-FFFF-FFFF00000000}"/>
  </bookViews>
  <sheets>
    <sheet name="SNPs" sheetId="2" r:id="rId1"/>
    <sheet name="indels" sheetId="3" r:id="rId2"/>
    <sheet name="sta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T113" i="2" l="1"/>
  <c r="T112" i="2"/>
  <c r="T111" i="2"/>
  <c r="T110" i="2"/>
  <c r="T109" i="2"/>
  <c r="T108" i="2"/>
  <c r="T107" i="2"/>
  <c r="T106" i="2"/>
  <c r="T105" i="2"/>
  <c r="T104" i="2"/>
  <c r="T103" i="2"/>
  <c r="T102" i="2"/>
  <c r="T98" i="2"/>
  <c r="T97" i="2"/>
  <c r="T96" i="2"/>
  <c r="T95" i="2"/>
  <c r="T94" i="2"/>
  <c r="T93" i="2"/>
  <c r="T92" i="2"/>
  <c r="T91" i="2"/>
  <c r="T90" i="2"/>
  <c r="T89" i="2"/>
  <c r="T88" i="2"/>
  <c r="T87" i="2"/>
  <c r="T83" i="2"/>
  <c r="T82" i="2"/>
  <c r="T81" i="2"/>
  <c r="T80" i="2"/>
  <c r="T79" i="2"/>
  <c r="T78" i="2"/>
  <c r="T77" i="2"/>
  <c r="T76" i="2"/>
  <c r="T75" i="2"/>
  <c r="T74" i="2"/>
  <c r="T73" i="2"/>
  <c r="T72" i="2"/>
  <c r="T68" i="2"/>
  <c r="T67" i="2"/>
  <c r="T66" i="2"/>
  <c r="T65" i="2"/>
  <c r="T64" i="2"/>
  <c r="T63" i="2"/>
  <c r="T62" i="2"/>
  <c r="T61" i="2"/>
  <c r="T60" i="2"/>
  <c r="T59" i="2"/>
  <c r="T58" i="2"/>
  <c r="T57" i="2"/>
  <c r="T53" i="2"/>
  <c r="T52" i="2"/>
  <c r="T51" i="2"/>
  <c r="T50" i="2"/>
  <c r="T49" i="2"/>
  <c r="T48" i="2"/>
  <c r="T47" i="2"/>
  <c r="T46" i="2"/>
  <c r="T45" i="2"/>
  <c r="T44" i="2"/>
  <c r="T43" i="2"/>
  <c r="T42" i="2"/>
  <c r="T38" i="2"/>
  <c r="T37" i="2"/>
  <c r="T36" i="2"/>
  <c r="T35" i="2"/>
  <c r="T34" i="2"/>
  <c r="T33" i="2"/>
  <c r="T32" i="2"/>
  <c r="T31" i="2"/>
  <c r="T30" i="2"/>
  <c r="T29" i="2"/>
  <c r="T28" i="2"/>
  <c r="T27" i="2"/>
  <c r="T23" i="2"/>
  <c r="T22" i="2"/>
  <c r="T21" i="2"/>
  <c r="T20" i="2"/>
  <c r="T19" i="2"/>
  <c r="T18" i="2"/>
  <c r="T17" i="2"/>
  <c r="T16" i="2"/>
  <c r="T15" i="2"/>
  <c r="T14" i="2"/>
  <c r="T13" i="2"/>
  <c r="T12" i="2"/>
  <c r="T8" i="2"/>
  <c r="T7" i="2"/>
  <c r="T6" i="2"/>
  <c r="T5" i="2"/>
  <c r="T4" i="2"/>
  <c r="T3" i="2"/>
  <c r="T2" i="2"/>
  <c r="S128" i="2"/>
  <c r="R128" i="2"/>
  <c r="Q128" i="2"/>
  <c r="P128" i="2"/>
  <c r="O128" i="2"/>
  <c r="N128" i="2"/>
  <c r="M128" i="2"/>
  <c r="S127" i="2"/>
  <c r="R127" i="2"/>
  <c r="Q127" i="2"/>
  <c r="P127" i="2"/>
  <c r="O127" i="2"/>
  <c r="N127" i="2"/>
  <c r="M127" i="2"/>
  <c r="S126" i="2"/>
  <c r="R126" i="2"/>
  <c r="Q126" i="2"/>
  <c r="P126" i="2"/>
  <c r="O126" i="2"/>
  <c r="N126" i="2"/>
  <c r="M126" i="2"/>
  <c r="S125" i="2"/>
  <c r="R125" i="2"/>
  <c r="Q125" i="2"/>
  <c r="P125" i="2"/>
  <c r="O125" i="2"/>
  <c r="N125" i="2"/>
  <c r="M125" i="2"/>
  <c r="S124" i="2"/>
  <c r="R124" i="2"/>
  <c r="Q124" i="2"/>
  <c r="P124" i="2"/>
  <c r="O124" i="2"/>
  <c r="N124" i="2"/>
  <c r="M124" i="2"/>
  <c r="S123" i="2"/>
  <c r="R123" i="2"/>
  <c r="Q123" i="2"/>
  <c r="P123" i="2"/>
  <c r="O123" i="2"/>
  <c r="N123" i="2"/>
  <c r="M123" i="2"/>
  <c r="S122" i="2"/>
  <c r="R122" i="2"/>
  <c r="Q122" i="2"/>
  <c r="P122" i="2"/>
  <c r="O122" i="2"/>
  <c r="N122" i="2"/>
  <c r="M122" i="2"/>
  <c r="S121" i="2"/>
  <c r="R121" i="2"/>
  <c r="Q121" i="2"/>
  <c r="P121" i="2"/>
  <c r="O121" i="2"/>
  <c r="N121" i="2"/>
  <c r="M121" i="2"/>
  <c r="S120" i="2"/>
  <c r="R120" i="2"/>
  <c r="Q120" i="2"/>
  <c r="P120" i="2"/>
  <c r="O120" i="2"/>
  <c r="N120" i="2"/>
  <c r="M120" i="2"/>
  <c r="S119" i="2"/>
  <c r="R119" i="2"/>
  <c r="Q119" i="2"/>
  <c r="P119" i="2"/>
  <c r="O119" i="2"/>
  <c r="N119" i="2"/>
  <c r="M119" i="2"/>
  <c r="S118" i="2"/>
  <c r="R118" i="2"/>
  <c r="Q118" i="2"/>
  <c r="P118" i="2"/>
  <c r="O118" i="2"/>
  <c r="N118" i="2"/>
  <c r="M118" i="2"/>
  <c r="S117" i="2"/>
  <c r="R117" i="2"/>
  <c r="Q117" i="2"/>
  <c r="P117" i="2"/>
  <c r="O117" i="2"/>
  <c r="N117" i="2"/>
  <c r="M117" i="2"/>
  <c r="R113" i="2" l="1"/>
  <c r="Q113" i="2"/>
  <c r="P113" i="2"/>
  <c r="O113" i="2"/>
  <c r="N113" i="2"/>
  <c r="M113" i="2"/>
  <c r="R112" i="2"/>
  <c r="Q112" i="2"/>
  <c r="P112" i="2"/>
  <c r="O112" i="2"/>
  <c r="N112" i="2"/>
  <c r="M112" i="2"/>
  <c r="R111" i="2"/>
  <c r="Q111" i="2"/>
  <c r="P111" i="2"/>
  <c r="O111" i="2"/>
  <c r="N111" i="2"/>
  <c r="M111" i="2"/>
  <c r="R110" i="2"/>
  <c r="Q110" i="2"/>
  <c r="P110" i="2"/>
  <c r="O110" i="2"/>
  <c r="N110" i="2"/>
  <c r="M110" i="2"/>
  <c r="R109" i="2"/>
  <c r="Q109" i="2"/>
  <c r="P109" i="2"/>
  <c r="O109" i="2"/>
  <c r="N109" i="2"/>
  <c r="M109" i="2"/>
  <c r="R108" i="2"/>
  <c r="Q108" i="2"/>
  <c r="P108" i="2"/>
  <c r="O108" i="2"/>
  <c r="N108" i="2"/>
  <c r="M108" i="2"/>
  <c r="R107" i="2"/>
  <c r="Q107" i="2"/>
  <c r="P107" i="2"/>
  <c r="O107" i="2"/>
  <c r="N107" i="2"/>
  <c r="M107" i="2"/>
  <c r="R106" i="2"/>
  <c r="Q106" i="2"/>
  <c r="P106" i="2"/>
  <c r="O106" i="2"/>
  <c r="N106" i="2"/>
  <c r="M106" i="2"/>
  <c r="R105" i="2"/>
  <c r="Q105" i="2"/>
  <c r="P105" i="2"/>
  <c r="O105" i="2"/>
  <c r="N105" i="2"/>
  <c r="M105" i="2"/>
  <c r="R104" i="2"/>
  <c r="Q104" i="2"/>
  <c r="P104" i="2"/>
  <c r="O104" i="2"/>
  <c r="N104" i="2"/>
  <c r="M104" i="2"/>
  <c r="R103" i="2"/>
  <c r="Q103" i="2"/>
  <c r="P103" i="2"/>
  <c r="O103" i="2"/>
  <c r="N103" i="2"/>
  <c r="M103" i="2"/>
  <c r="R102" i="2"/>
  <c r="Q102" i="2"/>
  <c r="P102" i="2"/>
  <c r="O102" i="2"/>
  <c r="N102" i="2"/>
  <c r="M102" i="2"/>
  <c r="S98" i="2"/>
  <c r="S97" i="2"/>
  <c r="S96" i="2"/>
  <c r="S95" i="2"/>
  <c r="S94" i="2"/>
  <c r="S93" i="2"/>
  <c r="S92" i="2"/>
  <c r="S91" i="2"/>
  <c r="S90" i="2"/>
  <c r="S89" i="2"/>
  <c r="S88" i="2"/>
  <c r="S87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M89" i="2"/>
  <c r="Q88" i="2"/>
  <c r="P88" i="2"/>
  <c r="O88" i="2"/>
  <c r="N88" i="2"/>
  <c r="M88" i="2"/>
  <c r="Q87" i="2"/>
  <c r="P87" i="2"/>
  <c r="O87" i="2"/>
  <c r="N87" i="2"/>
  <c r="M87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P83" i="2"/>
  <c r="O83" i="2"/>
  <c r="N83" i="2"/>
  <c r="M83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S53" i="2"/>
  <c r="R53" i="2"/>
  <c r="Q53" i="2"/>
  <c r="P53" i="2"/>
  <c r="N53" i="2"/>
  <c r="M53" i="2"/>
  <c r="S52" i="2"/>
  <c r="R52" i="2"/>
  <c r="Q52" i="2"/>
  <c r="P52" i="2"/>
  <c r="N52" i="2"/>
  <c r="M52" i="2"/>
  <c r="S51" i="2"/>
  <c r="R51" i="2"/>
  <c r="Q51" i="2"/>
  <c r="P51" i="2"/>
  <c r="N51" i="2"/>
  <c r="M51" i="2"/>
  <c r="S50" i="2"/>
  <c r="R50" i="2"/>
  <c r="Q50" i="2"/>
  <c r="P50" i="2"/>
  <c r="N50" i="2"/>
  <c r="M50" i="2"/>
  <c r="S49" i="2"/>
  <c r="R49" i="2"/>
  <c r="Q49" i="2"/>
  <c r="P49" i="2"/>
  <c r="N49" i="2"/>
  <c r="M49" i="2"/>
  <c r="S48" i="2"/>
  <c r="R48" i="2"/>
  <c r="Q48" i="2"/>
  <c r="P48" i="2"/>
  <c r="N48" i="2"/>
  <c r="M48" i="2"/>
  <c r="S47" i="2"/>
  <c r="R47" i="2"/>
  <c r="Q47" i="2"/>
  <c r="P47" i="2"/>
  <c r="N47" i="2"/>
  <c r="M47" i="2"/>
  <c r="S46" i="2"/>
  <c r="R46" i="2"/>
  <c r="Q46" i="2"/>
  <c r="P46" i="2"/>
  <c r="N46" i="2"/>
  <c r="M46" i="2"/>
  <c r="S45" i="2"/>
  <c r="R45" i="2"/>
  <c r="Q45" i="2"/>
  <c r="P45" i="2"/>
  <c r="N45" i="2"/>
  <c r="M45" i="2"/>
  <c r="S44" i="2"/>
  <c r="R44" i="2"/>
  <c r="Q44" i="2"/>
  <c r="P44" i="2"/>
  <c r="N44" i="2"/>
  <c r="M44" i="2"/>
  <c r="S43" i="2"/>
  <c r="R43" i="2"/>
  <c r="Q43" i="2"/>
  <c r="P43" i="2"/>
  <c r="N43" i="2"/>
  <c r="M43" i="2"/>
  <c r="S42" i="2"/>
  <c r="R42" i="2"/>
  <c r="Q42" i="2"/>
  <c r="P42" i="2"/>
  <c r="N42" i="2"/>
  <c r="M42" i="2"/>
  <c r="S38" i="2"/>
  <c r="R38" i="2"/>
  <c r="Q38" i="2"/>
  <c r="P38" i="2"/>
  <c r="O38" i="2"/>
  <c r="M38" i="2"/>
  <c r="S37" i="2"/>
  <c r="R37" i="2"/>
  <c r="Q37" i="2"/>
  <c r="P37" i="2"/>
  <c r="O37" i="2"/>
  <c r="M37" i="2"/>
  <c r="S36" i="2"/>
  <c r="R36" i="2"/>
  <c r="Q36" i="2"/>
  <c r="P36" i="2"/>
  <c r="O36" i="2"/>
  <c r="M36" i="2"/>
  <c r="S35" i="2"/>
  <c r="R35" i="2"/>
  <c r="Q35" i="2"/>
  <c r="P35" i="2"/>
  <c r="O35" i="2"/>
  <c r="M35" i="2"/>
  <c r="S34" i="2"/>
  <c r="R34" i="2"/>
  <c r="Q34" i="2"/>
  <c r="P34" i="2"/>
  <c r="O34" i="2"/>
  <c r="M34" i="2"/>
  <c r="S33" i="2"/>
  <c r="R33" i="2"/>
  <c r="Q33" i="2"/>
  <c r="P33" i="2"/>
  <c r="O33" i="2"/>
  <c r="M33" i="2"/>
  <c r="S32" i="2"/>
  <c r="R32" i="2"/>
  <c r="Q32" i="2"/>
  <c r="P32" i="2"/>
  <c r="O32" i="2"/>
  <c r="M32" i="2"/>
  <c r="S31" i="2"/>
  <c r="R31" i="2"/>
  <c r="Q31" i="2"/>
  <c r="P31" i="2"/>
  <c r="O31" i="2"/>
  <c r="M31" i="2"/>
  <c r="S30" i="2"/>
  <c r="R30" i="2"/>
  <c r="Q30" i="2"/>
  <c r="P30" i="2"/>
  <c r="O30" i="2"/>
  <c r="M30" i="2"/>
  <c r="S29" i="2"/>
  <c r="R29" i="2"/>
  <c r="Q29" i="2"/>
  <c r="P29" i="2"/>
  <c r="O29" i="2"/>
  <c r="M29" i="2"/>
  <c r="S28" i="2"/>
  <c r="R28" i="2"/>
  <c r="Q28" i="2"/>
  <c r="P28" i="2"/>
  <c r="O28" i="2"/>
  <c r="M28" i="2"/>
  <c r="S27" i="2"/>
  <c r="R27" i="2"/>
  <c r="Q27" i="2"/>
  <c r="P27" i="2"/>
  <c r="O27" i="2"/>
  <c r="M27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N19" i="2"/>
  <c r="S18" i="2"/>
  <c r="R18" i="2"/>
  <c r="Q18" i="2"/>
  <c r="P18" i="2"/>
  <c r="O18" i="2"/>
  <c r="N18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P14" i="2"/>
  <c r="O14" i="2"/>
  <c r="N14" i="2"/>
  <c r="S13" i="2"/>
  <c r="R13" i="2"/>
  <c r="Q13" i="2"/>
  <c r="P13" i="2"/>
  <c r="O13" i="2"/>
  <c r="N13" i="2"/>
  <c r="S12" i="2"/>
  <c r="R12" i="2"/>
  <c r="Q12" i="2"/>
  <c r="P12" i="2"/>
  <c r="O12" i="2"/>
  <c r="N12" i="2"/>
  <c r="R8" i="2"/>
  <c r="Q8" i="2"/>
  <c r="P8" i="2"/>
  <c r="O8" i="2"/>
  <c r="N8" i="2"/>
  <c r="M8" i="2"/>
  <c r="S7" i="2"/>
  <c r="Q7" i="2"/>
  <c r="P7" i="2"/>
  <c r="O7" i="2"/>
  <c r="N7" i="2"/>
  <c r="M7" i="2"/>
  <c r="S6" i="2"/>
  <c r="R6" i="2"/>
  <c r="P6" i="2"/>
  <c r="O6" i="2"/>
  <c r="N6" i="2"/>
  <c r="M6" i="2"/>
  <c r="S5" i="2"/>
  <c r="R5" i="2"/>
  <c r="Q5" i="2"/>
  <c r="O5" i="2"/>
  <c r="N5" i="2"/>
  <c r="M5" i="2"/>
  <c r="S4" i="2"/>
  <c r="R4" i="2"/>
  <c r="Q4" i="2"/>
  <c r="P4" i="2"/>
  <c r="N4" i="2"/>
  <c r="M4" i="2"/>
  <c r="S3" i="2"/>
  <c r="R3" i="2"/>
  <c r="Q3" i="2"/>
  <c r="P3" i="2"/>
  <c r="O3" i="2"/>
  <c r="M3" i="2"/>
  <c r="S2" i="2"/>
  <c r="R2" i="2"/>
  <c r="Q2" i="2"/>
  <c r="P2" i="2"/>
  <c r="O2" i="2"/>
  <c r="N2" i="2"/>
</calcChain>
</file>

<file path=xl/sharedStrings.xml><?xml version="1.0" encoding="utf-8"?>
<sst xmlns="http://schemas.openxmlformats.org/spreadsheetml/2006/main" count="1468" uniqueCount="543">
  <si>
    <t>IT97K</t>
  </si>
  <si>
    <t>CB5-2</t>
  </si>
  <si>
    <t>Suvita2</t>
  </si>
  <si>
    <t>Sanzi</t>
  </si>
  <si>
    <t>UCR779</t>
  </si>
  <si>
    <t>TZ30</t>
  </si>
  <si>
    <t>ZN016</t>
  </si>
  <si>
    <t>Suivta2</t>
  </si>
  <si>
    <t>Vu01</t>
  </si>
  <si>
    <t>Vu02</t>
  </si>
  <si>
    <t>Vu03</t>
  </si>
  <si>
    <t>Vu04</t>
  </si>
  <si>
    <t>Vu05</t>
  </si>
  <si>
    <t>Vu06</t>
  </si>
  <si>
    <t>Vu07</t>
  </si>
  <si>
    <t>Vu08</t>
  </si>
  <si>
    <t>Vu09</t>
  </si>
  <si>
    <t>Vu10</t>
  </si>
  <si>
    <t>Vu11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</si>
  <si>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</si>
  <si>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</si>
  <si>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</si>
  <si>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</si>
  <si>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</si>
  <si>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</si>
  <si>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</si>
  <si>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</si>
  <si>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</si>
  <si>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</si>
  <si>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</si>
  <si>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s</t>
  </si>
  <si>
    <t>Combined</t>
  </si>
  <si>
    <t>combined SNPs</t>
  </si>
  <si>
    <t># SNPs</t>
  </si>
  <si>
    <t># SNPs on IT97K</t>
  </si>
  <si>
    <t>Whole Genome</t>
  </si>
  <si>
    <t># SNPs on CB5-2</t>
  </si>
  <si>
    <t># SNPs on ZN016</t>
  </si>
  <si>
    <t># SNPs on TZ30</t>
  </si>
  <si>
    <t># SNPs on UCR779</t>
  </si>
  <si>
    <t># SNPs on Sanzi</t>
  </si>
  <si>
    <t># SNPs on Suvita2</t>
  </si>
  <si>
    <t>SNPs frequency</t>
  </si>
  <si>
    <t>SNPs frequency on IT97K</t>
  </si>
  <si>
    <t>SNPs frequency on CB5-2</t>
  </si>
  <si>
    <t>SNPs frequency on Suvita2</t>
  </si>
  <si>
    <t>SNPs frequency on Sanzi</t>
  </si>
  <si>
    <t>SNPs frequency on UCR779</t>
  </si>
  <si>
    <t>SNPs frequency on TZ30</t>
  </si>
  <si>
    <t>SNPs frequency on ZN016</t>
  </si>
  <si>
    <t>1/1088</t>
  </si>
  <si>
    <t>1/1017</t>
  </si>
  <si>
    <t>1/1129</t>
  </si>
  <si>
    <t>1/1168</t>
  </si>
  <si>
    <t>1/878</t>
  </si>
  <si>
    <t>1/880</t>
  </si>
  <si>
    <t>1/559</t>
  </si>
  <si>
    <t>1/1197</t>
  </si>
  <si>
    <t>1/1298</t>
  </si>
  <si>
    <t>1/1178</t>
  </si>
  <si>
    <t>1/1009</t>
  </si>
  <si>
    <t>1/1065</t>
  </si>
  <si>
    <t>1/1201</t>
  </si>
  <si>
    <t>1/574</t>
  </si>
  <si>
    <t>1/1227</t>
  </si>
  <si>
    <t>1/1440</t>
  </si>
  <si>
    <t>1/1128</t>
  </si>
  <si>
    <t>1/861</t>
  </si>
  <si>
    <t>1/1025</t>
  </si>
  <si>
    <t>1/526</t>
  </si>
  <si>
    <t>1/933</t>
  </si>
  <si>
    <t>1/699</t>
  </si>
  <si>
    <t>1/805</t>
  </si>
  <si>
    <t>1/544</t>
  </si>
  <si>
    <t>1/600</t>
  </si>
  <si>
    <t>1/854</t>
  </si>
  <si>
    <t>1/320</t>
  </si>
  <si>
    <t>1/1420</t>
  </si>
  <si>
    <t>1/1513</t>
  </si>
  <si>
    <t>1/1239</t>
  </si>
  <si>
    <t>1/993</t>
  </si>
  <si>
    <t>1/1183</t>
  </si>
  <si>
    <t>1/1247</t>
  </si>
  <si>
    <t>1/597</t>
  </si>
  <si>
    <t>1/908</t>
  </si>
  <si>
    <t>1/1039</t>
  </si>
  <si>
    <t>1/789</t>
  </si>
  <si>
    <t>1/784</t>
  </si>
  <si>
    <t>1/808</t>
  </si>
  <si>
    <t>1/443</t>
  </si>
  <si>
    <t>1/1242</t>
  </si>
  <si>
    <t>1/1377</t>
  </si>
  <si>
    <t>1/750</t>
  </si>
  <si>
    <t>1/897</t>
  </si>
  <si>
    <t>1/490</t>
  </si>
  <si>
    <t>1/1095</t>
  </si>
  <si>
    <t>1/1318</t>
  </si>
  <si>
    <t>1/1096</t>
  </si>
  <si>
    <t>1/948</t>
  </si>
  <si>
    <t>1/1055</t>
  </si>
  <si>
    <t>1/516</t>
  </si>
  <si>
    <t>1/1161</t>
  </si>
  <si>
    <t>1/1056</t>
  </si>
  <si>
    <t>1/987</t>
  </si>
  <si>
    <t>1/1020</t>
  </si>
  <si>
    <t>1/1036</t>
  </si>
  <si>
    <t>1/979</t>
  </si>
  <si>
    <t>1/605</t>
  </si>
  <si>
    <t>1/639</t>
  </si>
  <si>
    <t>1/624</t>
  </si>
  <si>
    <t>1/599</t>
  </si>
  <si>
    <t>1/741</t>
  </si>
  <si>
    <t>1/591</t>
  </si>
  <si>
    <t>1/309</t>
  </si>
  <si>
    <t>1/711</t>
  </si>
  <si>
    <t>1/718</t>
  </si>
  <si>
    <t>1/777</t>
  </si>
  <si>
    <t>1/1105</t>
  </si>
  <si>
    <t>1/732</t>
  </si>
  <si>
    <t>1/776</t>
  </si>
  <si>
    <t>1/410</t>
  </si>
  <si>
    <t>1/1038</t>
  </si>
  <si>
    <t>1/1052</t>
  </si>
  <si>
    <t>1/1004</t>
  </si>
  <si>
    <t>1/886</t>
  </si>
  <si>
    <t>1/894</t>
  </si>
  <si>
    <t>1/947</t>
  </si>
  <si>
    <t>1/486</t>
  </si>
  <si>
    <t>1/1367</t>
  </si>
  <si>
    <t>1/1324</t>
  </si>
  <si>
    <t>1/1662</t>
  </si>
  <si>
    <t>1/1180</t>
  </si>
  <si>
    <t>1/1354</t>
  </si>
  <si>
    <t>1/1301</t>
  </si>
  <si>
    <t>1/657</t>
  </si>
  <si>
    <t>1/1317</t>
  </si>
  <si>
    <t>1/1607</t>
  </si>
  <si>
    <t>1/1517</t>
  </si>
  <si>
    <t>1/866</t>
  </si>
  <si>
    <t>1/1223</t>
  </si>
  <si>
    <t>1/1409</t>
  </si>
  <si>
    <t>1/630</t>
  </si>
  <si>
    <t>1/1373</t>
  </si>
  <si>
    <t>1/1535</t>
  </si>
  <si>
    <t>1/1466</t>
  </si>
  <si>
    <t>1/799</t>
  </si>
  <si>
    <t>1/1206</t>
  </si>
  <si>
    <t>1/1276</t>
  </si>
  <si>
    <t>1/572</t>
  </si>
  <si>
    <t>1/1060</t>
  </si>
  <si>
    <t>1/822</t>
  </si>
  <si>
    <t>1/888</t>
  </si>
  <si>
    <t>1/480</t>
  </si>
  <si>
    <t>1/625</t>
  </si>
  <si>
    <t>1/1086</t>
  </si>
  <si>
    <t>1/338</t>
  </si>
  <si>
    <t>1/1643</t>
  </si>
  <si>
    <t>1/1571</t>
  </si>
  <si>
    <t>1/1387</t>
  </si>
  <si>
    <t>1/927</t>
  </si>
  <si>
    <t>1/1447</t>
  </si>
  <si>
    <t>1/1681</t>
  </si>
  <si>
    <t>1/665</t>
  </si>
  <si>
    <t>1/992</t>
  </si>
  <si>
    <t>1/1032</t>
  </si>
  <si>
    <t>1/1015</t>
  </si>
  <si>
    <t>1/847</t>
  </si>
  <si>
    <t>1/876</t>
  </si>
  <si>
    <t>1/874</t>
  </si>
  <si>
    <t>1/487</t>
  </si>
  <si>
    <t>1/1423</t>
  </si>
  <si>
    <t>1/1520</t>
  </si>
  <si>
    <t>1/1490</t>
  </si>
  <si>
    <t>1/770</t>
  </si>
  <si>
    <t>1/1329</t>
  </si>
  <si>
    <t>1/1160</t>
  </si>
  <si>
    <t>1/550</t>
  </si>
  <si>
    <t>1/1208</t>
  </si>
  <si>
    <t>1/1415</t>
  </si>
  <si>
    <t>1/1400</t>
  </si>
  <si>
    <t>1/1383</t>
  </si>
  <si>
    <t>1/570</t>
  </si>
  <si>
    <t>1/1459</t>
  </si>
  <si>
    <t>1/1348</t>
  </si>
  <si>
    <t>1/1181</t>
  </si>
  <si>
    <t>1/1336</t>
  </si>
  <si>
    <t>1/1319</t>
  </si>
  <si>
    <t>1/762</t>
  </si>
  <si>
    <t>1/634</t>
  </si>
  <si>
    <t>1/836</t>
  </si>
  <si>
    <t>1/761</t>
  </si>
  <si>
    <t>1/422</t>
  </si>
  <si>
    <t>1/831</t>
  </si>
  <si>
    <t>1/1358</t>
  </si>
  <si>
    <t>1/326</t>
  </si>
  <si>
    <t>1/737</t>
  </si>
  <si>
    <t>1/932</t>
  </si>
  <si>
    <t>1/926</t>
  </si>
  <si>
    <t>1/700</t>
  </si>
  <si>
    <t>1/871</t>
  </si>
  <si>
    <t>1/444</t>
  </si>
  <si>
    <t>1/1125</t>
  </si>
  <si>
    <t>1/1218</t>
  </si>
  <si>
    <t>1/1186</t>
  </si>
  <si>
    <t>1/756</t>
  </si>
  <si>
    <t>1/1199</t>
  </si>
  <si>
    <t>1/525</t>
  </si>
  <si>
    <t>1/1385</t>
  </si>
  <si>
    <t>1/1297</t>
  </si>
  <si>
    <t>1/930</t>
  </si>
  <si>
    <t>1/1089</t>
  </si>
  <si>
    <t>1/645</t>
  </si>
  <si>
    <t>1/1411</t>
  </si>
  <si>
    <t>1/1592</t>
  </si>
  <si>
    <t>1/1458</t>
  </si>
  <si>
    <t>1/819</t>
  </si>
  <si>
    <t>1/1149</t>
  </si>
  <si>
    <t>1/1266</t>
  </si>
  <si>
    <t>1/1674</t>
  </si>
  <si>
    <t>1/1550</t>
  </si>
  <si>
    <t>1/1455</t>
  </si>
  <si>
    <t>1/803</t>
  </si>
  <si>
    <t>1/1113</t>
  </si>
  <si>
    <t>1/1136</t>
  </si>
  <si>
    <t>1/573</t>
  </si>
  <si>
    <t>1/729</t>
  </si>
  <si>
    <t>1/817</t>
  </si>
  <si>
    <t>1/457</t>
  </si>
  <si>
    <t>1/607</t>
  </si>
  <si>
    <t>1/752</t>
  </si>
  <si>
    <t>1/329</t>
  </si>
  <si>
    <t>1/1782</t>
  </si>
  <si>
    <t>1/1632</t>
  </si>
  <si>
    <t>1/1314</t>
  </si>
  <si>
    <t>1/935</t>
  </si>
  <si>
    <t>1/1307</t>
  </si>
  <si>
    <t>1/1477</t>
  </si>
  <si>
    <t>1/662</t>
  </si>
  <si>
    <t>1/1170</t>
  </si>
  <si>
    <t>1/1026</t>
  </si>
  <si>
    <t>1/1338</t>
  </si>
  <si>
    <t>1/708</t>
  </si>
  <si>
    <t>1/816</t>
  </si>
  <si>
    <t>1/833</t>
  </si>
  <si>
    <t>1/488</t>
  </si>
  <si>
    <t>1/1566</t>
  </si>
  <si>
    <t>1/1511</t>
  </si>
  <si>
    <t>1/1499</t>
  </si>
  <si>
    <t>1/764</t>
  </si>
  <si>
    <t>1/1130</t>
  </si>
  <si>
    <t>1/970</t>
  </si>
  <si>
    <t>1/545</t>
  </si>
  <si>
    <t>1/1501</t>
  </si>
  <si>
    <t>1/1264</t>
  </si>
  <si>
    <t>1/727</t>
  </si>
  <si>
    <t>1/946</t>
  </si>
  <si>
    <t>1/1111</t>
  </si>
  <si>
    <t>1/561</t>
  </si>
  <si>
    <t>1/1260</t>
  </si>
  <si>
    <t>1/1895</t>
  </si>
  <si>
    <t>1/1200</t>
  </si>
  <si>
    <t>1/1327</t>
  </si>
  <si>
    <t>1/745</t>
  </si>
  <si>
    <t>1/623</t>
  </si>
  <si>
    <t>1/852</t>
  </si>
  <si>
    <t>1/855</t>
  </si>
  <si>
    <t>1/407</t>
  </si>
  <si>
    <t>1/722</t>
  </si>
  <si>
    <t>1/322</t>
  </si>
  <si>
    <t>1/748</t>
  </si>
  <si>
    <t>1/934</t>
  </si>
  <si>
    <t>1/717</t>
  </si>
  <si>
    <t>1/724</t>
  </si>
  <si>
    <t>1/733</t>
  </si>
  <si>
    <t>1/441</t>
  </si>
  <si>
    <t>1/1138</t>
  </si>
  <si>
    <t>1/1231</t>
  </si>
  <si>
    <t>1/1203</t>
  </si>
  <si>
    <t>1/723</t>
  </si>
  <si>
    <t>1/1003</t>
  </si>
  <si>
    <t>1/524</t>
  </si>
  <si>
    <t>1/1726</t>
  </si>
  <si>
    <t>1/1290</t>
  </si>
  <si>
    <t>1/1221</t>
  </si>
  <si>
    <t>1/1214</t>
  </si>
  <si>
    <t>1/659</t>
  </si>
  <si>
    <t>1/1267</t>
  </si>
  <si>
    <t>1/1515</t>
  </si>
  <si>
    <t>1/1468</t>
  </si>
  <si>
    <t>1/857</t>
  </si>
  <si>
    <t>1/1165</t>
  </si>
  <si>
    <t>1/1150</t>
  </si>
  <si>
    <t>1/621</t>
  </si>
  <si>
    <t>1/1252</t>
  </si>
  <si>
    <t>1/1481</t>
  </si>
  <si>
    <t>1/1462</t>
  </si>
  <si>
    <t>1/825</t>
  </si>
  <si>
    <t>1/1141</t>
  </si>
  <si>
    <t>1/863</t>
  </si>
  <si>
    <t>1/813</t>
  </si>
  <si>
    <t>1/477</t>
  </si>
  <si>
    <t>1/579</t>
  </si>
  <si>
    <t>1/810</t>
  </si>
  <si>
    <t>1/1402</t>
  </si>
  <si>
    <t>1/1283</t>
  </si>
  <si>
    <t>1/914</t>
  </si>
  <si>
    <t>1/1243</t>
  </si>
  <si>
    <t>1/1134</t>
  </si>
  <si>
    <t>1/1008</t>
  </si>
  <si>
    <t>1/1332</t>
  </si>
  <si>
    <t>1/746</t>
  </si>
  <si>
    <t>1/884</t>
  </si>
  <si>
    <t>1/865</t>
  </si>
  <si>
    <t>1/484</t>
  </si>
  <si>
    <t>1/1315</t>
  </si>
  <si>
    <t>1/1534</t>
  </si>
  <si>
    <t>1/794</t>
  </si>
  <si>
    <t>1/1187</t>
  </si>
  <si>
    <t>1/1044</t>
  </si>
  <si>
    <t>1/1210</t>
  </si>
  <si>
    <t>1/1398</t>
  </si>
  <si>
    <t>1/826</t>
  </si>
  <si>
    <t>1/556</t>
  </si>
  <si>
    <t>1/1169</t>
  </si>
  <si>
    <t>1/1322</t>
  </si>
  <si>
    <t>1/1351</t>
  </si>
  <si>
    <t>1/1368</t>
  </si>
  <si>
    <t>1/734</t>
  </si>
  <si>
    <t>1/610</t>
  </si>
  <si>
    <t>1/781</t>
  </si>
  <si>
    <t>1/411</t>
  </si>
  <si>
    <t>1/704</t>
  </si>
  <si>
    <t>1/766</t>
  </si>
  <si>
    <t>1/800</t>
  </si>
  <si>
    <t>1/942</t>
  </si>
  <si>
    <t>1/790</t>
  </si>
  <si>
    <t>1/791</t>
  </si>
  <si>
    <t>1/778</t>
  </si>
  <si>
    <t>1/442</t>
  </si>
  <si>
    <t>1/1082</t>
  </si>
  <si>
    <t>1/1196</t>
  </si>
  <si>
    <t>1/765</t>
  </si>
  <si>
    <t>1/1014</t>
  </si>
  <si>
    <t>1/1530</t>
  </si>
  <si>
    <t>1/950</t>
  </si>
  <si>
    <t>1/1305</t>
  </si>
  <si>
    <t>1/962</t>
  </si>
  <si>
    <t>1/956</t>
  </si>
  <si>
    <t>1/635</t>
  </si>
  <si>
    <t>1/1075</t>
  </si>
  <si>
    <t>1/859</t>
  </si>
  <si>
    <t>1/862</t>
  </si>
  <si>
    <t>1/953</t>
  </si>
  <si>
    <t>1/906</t>
  </si>
  <si>
    <t>1/582</t>
  </si>
  <si>
    <t>1/812</t>
  </si>
  <si>
    <t>1/838</t>
  </si>
  <si>
    <t>1/864</t>
  </si>
  <si>
    <t>1/923</t>
  </si>
  <si>
    <t>1/549</t>
  </si>
  <si>
    <t>1/575</t>
  </si>
  <si>
    <t>1/497</t>
  </si>
  <si>
    <t>1/472</t>
  </si>
  <si>
    <t>1/494</t>
  </si>
  <si>
    <t>1/474</t>
  </si>
  <si>
    <t>1/471</t>
  </si>
  <si>
    <t>1/306</t>
  </si>
  <si>
    <t>1/1139</t>
  </si>
  <si>
    <t>1/964</t>
  </si>
  <si>
    <t>1/940</t>
  </si>
  <si>
    <t>1/1101</t>
  </si>
  <si>
    <t>1/974</t>
  </si>
  <si>
    <t>1/877</t>
  </si>
  <si>
    <t>1/478</t>
  </si>
  <si>
    <t>1/818</t>
  </si>
  <si>
    <t>1/780</t>
  </si>
  <si>
    <t>1/846</t>
  </si>
  <si>
    <t>1/521</t>
  </si>
  <si>
    <t>1/985</t>
  </si>
  <si>
    <t>1/867</t>
  </si>
  <si>
    <t>1/900</t>
  </si>
  <si>
    <t>1/547</t>
  </si>
  <si>
    <t>1/1284</t>
  </si>
  <si>
    <t>1/1215</t>
  </si>
  <si>
    <t>1/1241</t>
  </si>
  <si>
    <t>1/1364</t>
  </si>
  <si>
    <t>1/1457</t>
  </si>
  <si>
    <t>1/1370</t>
  </si>
  <si>
    <t>1/858</t>
  </si>
  <si>
    <t>1/456</t>
  </si>
  <si>
    <t>1/435</t>
  </si>
  <si>
    <t>1/433</t>
  </si>
  <si>
    <t>1/479</t>
  </si>
  <si>
    <t>1/439</t>
  </si>
  <si>
    <t>1/313</t>
  </si>
  <si>
    <t>1/1265</t>
  </si>
  <si>
    <t>1/730</t>
  </si>
  <si>
    <t>1/823</t>
  </si>
  <si>
    <t>1/754</t>
  </si>
  <si>
    <t>1/749</t>
  </si>
  <si>
    <t>1/449</t>
  </si>
  <si>
    <t>1/981</t>
  </si>
  <si>
    <t>1/788</t>
  </si>
  <si>
    <t>1/743</t>
  </si>
  <si>
    <t>1/815</t>
  </si>
  <si>
    <t>1/792</t>
  </si>
  <si>
    <t>1/505</t>
  </si>
  <si>
    <t>1/1068</t>
  </si>
  <si>
    <t>1/1390</t>
  </si>
  <si>
    <t>1/955</t>
  </si>
  <si>
    <t>1/1719</t>
  </si>
  <si>
    <t>1/650</t>
  </si>
  <si>
    <t>1/1172</t>
  </si>
  <si>
    <t>1/1176</t>
  </si>
  <si>
    <t>1/963</t>
  </si>
  <si>
    <t>1/1811</t>
  </si>
  <si>
    <t>1/622</t>
  </si>
  <si>
    <t>1/1127</t>
  </si>
  <si>
    <t>1/1228</t>
  </si>
  <si>
    <t>1/1152</t>
  </si>
  <si>
    <t>1/868</t>
  </si>
  <si>
    <t>1/1596</t>
  </si>
  <si>
    <t>1/567</t>
  </si>
  <si>
    <t>1/617</t>
  </si>
  <si>
    <t>1/469</t>
  </si>
  <si>
    <t>1/797</t>
  </si>
  <si>
    <t>1/316</t>
  </si>
  <si>
    <t>1/1388</t>
  </si>
  <si>
    <t>1/1507</t>
  </si>
  <si>
    <t>1/1102</t>
  </si>
  <si>
    <t>1/666</t>
  </si>
  <si>
    <t>1/839</t>
  </si>
  <si>
    <t>1/905</t>
  </si>
  <si>
    <t>1/851</t>
  </si>
  <si>
    <t>1/1236</t>
  </si>
  <si>
    <t>1/485</t>
  </si>
  <si>
    <t>1/1142</t>
  </si>
  <si>
    <t>1/1372</t>
  </si>
  <si>
    <t>1/1084</t>
  </si>
  <si>
    <t>1/1154</t>
  </si>
  <si>
    <t>1/984</t>
  </si>
  <si>
    <t>1/1427</t>
  </si>
  <si>
    <t>1/1292</t>
  </si>
  <si>
    <t>1/1359</t>
  </si>
  <si>
    <t>1/1343</t>
  </si>
  <si>
    <t>1/1416</t>
  </si>
  <si>
    <t>1/1797</t>
  </si>
  <si>
    <t>1/755</t>
  </si>
  <si>
    <t>1/720</t>
  </si>
  <si>
    <t>1/703</t>
  </si>
  <si>
    <t>1/448</t>
  </si>
  <si>
    <t>1/1006</t>
  </si>
  <si>
    <t>1/913</t>
  </si>
  <si>
    <t>1/744</t>
  </si>
  <si>
    <t>1/821</t>
  </si>
  <si>
    <t>1/751</t>
  </si>
  <si>
    <t>1/1553</t>
  </si>
  <si>
    <t>1/452</t>
  </si>
  <si>
    <t>1/966</t>
  </si>
  <si>
    <t>1/959</t>
  </si>
  <si>
    <t>1/802</t>
  </si>
  <si>
    <t>1/1366</t>
  </si>
  <si>
    <t>1/518</t>
  </si>
  <si>
    <t>1/1051</t>
  </si>
  <si>
    <t>1/1340</t>
  </si>
  <si>
    <t>1/945</t>
  </si>
  <si>
    <t>1/1706</t>
  </si>
  <si>
    <t>1/648</t>
  </si>
  <si>
    <t>1/1425</t>
  </si>
  <si>
    <t>1/1280</t>
  </si>
  <si>
    <t>1/1164</t>
  </si>
  <si>
    <t>1/909</t>
  </si>
  <si>
    <t>1/1820</t>
  </si>
  <si>
    <t>1/627</t>
  </si>
  <si>
    <t>1/1230</t>
  </si>
  <si>
    <t>1/1296</t>
  </si>
  <si>
    <t>1/1133</t>
  </si>
  <si>
    <t>1/1124</t>
  </si>
  <si>
    <t>1/903</t>
  </si>
  <si>
    <t>1/1561</t>
  </si>
  <si>
    <t>1/566</t>
  </si>
  <si>
    <t>1/849</t>
  </si>
  <si>
    <t>1/459</t>
  </si>
  <si>
    <t>1/767</t>
  </si>
  <si>
    <t>1/337</t>
  </si>
  <si>
    <t>1/1767</t>
  </si>
  <si>
    <t>1/1498</t>
  </si>
  <si>
    <t>1/1253</t>
  </si>
  <si>
    <t>1/961</t>
  </si>
  <si>
    <t>1/1545</t>
  </si>
  <si>
    <t>1/890</t>
  </si>
  <si>
    <t>1/887</t>
  </si>
  <si>
    <t>1/798</t>
  </si>
  <si>
    <t>1/980</t>
  </si>
  <si>
    <t>1/1369</t>
  </si>
  <si>
    <t>1/540</t>
  </si>
  <si>
    <t>1/1204</t>
  </si>
  <si>
    <t>1/1155</t>
  </si>
  <si>
    <t>1/1256</t>
  </si>
  <si>
    <t>1/1404</t>
  </si>
  <si>
    <t>1/1188</t>
  </si>
  <si>
    <t>1/1306</t>
  </si>
  <si>
    <t>1/1396</t>
  </si>
  <si>
    <t>1/1799</t>
  </si>
  <si>
    <t>1/619</t>
  </si>
  <si>
    <t>1/1443</t>
  </si>
  <si>
    <t>1/783</t>
  </si>
  <si>
    <t>1/417</t>
  </si>
  <si>
    <t>1/331</t>
  </si>
  <si>
    <t>1/829</t>
  </si>
  <si>
    <t>1/453</t>
  </si>
  <si>
    <t>1/1240</t>
  </si>
  <si>
    <t>1/1034</t>
  </si>
  <si>
    <t>1/779</t>
  </si>
  <si>
    <t>1/1362</t>
  </si>
  <si>
    <t>1/529</t>
  </si>
  <si>
    <t>1/1902</t>
  </si>
  <si>
    <t>Indels frequency</t>
  </si>
  <si>
    <t>Indels frequency on IT97K</t>
  </si>
  <si>
    <t>Indels frequency on CB5-2</t>
  </si>
  <si>
    <t>Indels frequency on Suvita2</t>
  </si>
  <si>
    <t>Indels frequency on Sanzi</t>
  </si>
  <si>
    <t>Indels frequency on UCR779</t>
  </si>
  <si>
    <t>Indels frequency on TZ30</t>
  </si>
  <si>
    <t># Indels</t>
  </si>
  <si>
    <t># Indels on IT97K</t>
  </si>
  <si>
    <t># Indels on CB5-2</t>
  </si>
  <si>
    <t># Indels on Suvita2</t>
  </si>
  <si>
    <t># Indels on Sanzi</t>
  </si>
  <si>
    <t># Indels on UCR779</t>
  </si>
  <si>
    <t># Indels on TZ30</t>
  </si>
  <si>
    <t># Indels on ZN016</t>
  </si>
  <si>
    <t>combined Indels</t>
  </si>
  <si>
    <t>combined Indels frequcny</t>
  </si>
  <si>
    <t>Indels frequency on  ZN016</t>
  </si>
  <si>
    <t>Combined reads</t>
  </si>
  <si>
    <t>Combined SNPs</t>
  </si>
  <si>
    <t>SNPs from WSA</t>
  </si>
  <si>
    <t>Total SNPs count</t>
  </si>
  <si>
    <t>2 alleles</t>
  </si>
  <si>
    <t>3 alleles</t>
  </si>
  <si>
    <t>4 alleles</t>
  </si>
  <si>
    <t>%2 alleles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</si>
</sst>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\ ???/???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1C1D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3" fontId="0" fillId="0" borderId="0" xfId="1" applyNumberFormat="1" applyFont="1"/>
    <xf numFmtId="49" fontId="0" fillId="0" borderId="0" xfId="0" applyNumberFormat="1"/>
    <xf numFmtId="0" fontId="4" fillId="0" borderId="0" xfId="0" applyFont="1"/>
    <xf numFmtId="3" fontId="0" fillId="2" borderId="0" xfId="0" applyNumberFormat="1" applyFill="1"/>
    <xf numFmtId="10" fontId="0" fillId="0" borderId="0" xfId="16" applyNumberFormat="1" applyFont="1"/>
  </cellXfs>
  <cellStyles count="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6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9"/>
  <sheetViews>
    <sheetView workbookViewId="0">
      <selection activeCell="J2" sqref="J2"/>
    </sheetView>
  </sheetViews>
  <sheetFormatPr baseColWidth="10" defaultRowHeight="16" x14ac:dyDescent="0.2"/>
  <cols>
    <col min="1" max="1" width="15" customWidth="1"/>
    <col min="9" max="9" width="15.33203125" customWidth="1"/>
    <col min="10" max="10" width="17.33203125" customWidth="1"/>
    <col min="12" max="12" width="21.83203125" customWidth="1"/>
  </cols>
  <sheetData>
    <row r="1" spans="1:29" x14ac:dyDescent="0.2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535</v>
      </c>
      <c r="J1" t="s">
        <v>536</v>
      </c>
      <c r="K1" t="s">
        <v>537</v>
      </c>
      <c r="L1" t="s">
        <v>42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6</v>
      </c>
      <c r="S1" t="s">
        <v>5</v>
      </c>
      <c r="T1" t="s">
        <v>31</v>
      </c>
    </row>
    <row r="2" spans="1:29" x14ac:dyDescent="0.2">
      <c r="A2" t="s">
        <v>0</v>
      </c>
      <c r="B2" s="1"/>
      <c r="C2" s="1">
        <v>1607267</v>
      </c>
      <c r="D2" s="1">
        <v>1660122</v>
      </c>
      <c r="E2" s="1">
        <v>1692267</v>
      </c>
      <c r="F2" s="1">
        <v>1974970</v>
      </c>
      <c r="G2" s="1">
        <v>2092617</v>
      </c>
      <c r="H2" s="1">
        <v>1839113</v>
      </c>
      <c r="I2" s="1">
        <v>3472245</v>
      </c>
      <c r="J2" s="7">
        <v>4963630</v>
      </c>
      <c r="L2" t="s">
        <v>0</v>
      </c>
      <c r="M2" s="3"/>
      <c r="N2" s="3">
        <f>1/323</f>
        <v>3.0959752321981426E-3</v>
      </c>
      <c r="O2" s="3">
        <f>1/313</f>
        <v>3.1948881789137379E-3</v>
      </c>
      <c r="P2" s="3">
        <f>1/307</f>
        <v>3.2573289902280132E-3</v>
      </c>
      <c r="Q2" s="3">
        <f>1/263</f>
        <v>3.8022813688212928E-3</v>
      </c>
      <c r="R2" s="3">
        <f>1/248</f>
        <v>4.0322580645161289E-3</v>
      </c>
      <c r="S2" s="3">
        <f>1/282</f>
        <v>3.5460992907801418E-3</v>
      </c>
      <c r="T2" s="3">
        <f>1/149</f>
        <v>6.7114093959731542E-3</v>
      </c>
      <c r="V2" s="3"/>
      <c r="W2" s="3"/>
      <c r="X2" s="3"/>
      <c r="Y2" s="3"/>
      <c r="Z2" s="3"/>
      <c r="AA2" s="3"/>
      <c r="AB2" s="3"/>
      <c r="AC2" s="3"/>
    </row>
    <row r="3" spans="1:29" x14ac:dyDescent="0.2">
      <c r="A3" t="s">
        <v>1</v>
      </c>
      <c r="B3" s="1">
        <v>1747504</v>
      </c>
      <c r="C3" s="1"/>
      <c r="D3" s="1">
        <v>1528608</v>
      </c>
      <c r="E3" s="1">
        <v>1499900</v>
      </c>
      <c r="F3" s="1">
        <v>2501756</v>
      </c>
      <c r="G3" s="1">
        <v>1812756</v>
      </c>
      <c r="H3" s="1">
        <v>1466499</v>
      </c>
      <c r="I3" s="1">
        <v>3210892</v>
      </c>
      <c r="J3" s="2">
        <v>5293181</v>
      </c>
      <c r="L3" t="s">
        <v>1</v>
      </c>
      <c r="M3" s="3">
        <f>1/256</f>
        <v>3.90625E-3</v>
      </c>
      <c r="N3" s="3"/>
      <c r="O3" s="3">
        <f>1/293</f>
        <v>3.4129692832764505E-3</v>
      </c>
      <c r="P3" s="3">
        <f>1/298</f>
        <v>3.3557046979865771E-3</v>
      </c>
      <c r="Q3" s="3">
        <f>1/179</f>
        <v>5.5865921787709499E-3</v>
      </c>
      <c r="R3" s="3">
        <f>1/247</f>
        <v>4.048582995951417E-3</v>
      </c>
      <c r="S3" s="3">
        <f>1/305</f>
        <v>3.2786885245901639E-3</v>
      </c>
      <c r="T3" s="3">
        <f>1/139</f>
        <v>7.1942446043165471E-3</v>
      </c>
      <c r="V3" s="3"/>
      <c r="W3" s="3"/>
      <c r="X3" s="3"/>
      <c r="Y3" s="3"/>
      <c r="Z3" s="3"/>
      <c r="AA3" s="3"/>
      <c r="AB3" s="3"/>
      <c r="AC3" s="3"/>
    </row>
    <row r="4" spans="1:29" x14ac:dyDescent="0.2">
      <c r="A4" t="s">
        <v>7</v>
      </c>
      <c r="B4" s="1">
        <v>1766011</v>
      </c>
      <c r="C4" s="1">
        <v>1489850</v>
      </c>
      <c r="E4" s="1">
        <v>1512626</v>
      </c>
      <c r="F4" s="1">
        <v>2625678</v>
      </c>
      <c r="G4" s="1">
        <v>2056752</v>
      </c>
      <c r="H4" s="1">
        <v>1847818</v>
      </c>
      <c r="I4" s="1">
        <v>3252450</v>
      </c>
      <c r="J4" s="2">
        <v>5292933</v>
      </c>
      <c r="L4" t="s">
        <v>7</v>
      </c>
      <c r="M4" s="3">
        <f>1/253</f>
        <v>3.952569169960474E-3</v>
      </c>
      <c r="N4" s="3">
        <f>1/300</f>
        <v>3.3333333333333335E-3</v>
      </c>
      <c r="O4" s="3"/>
      <c r="P4" s="3">
        <f>1/296</f>
        <v>3.3783783783783786E-3</v>
      </c>
      <c r="Q4" s="3">
        <f>1/170</f>
        <v>5.8823529411764705E-3</v>
      </c>
      <c r="R4" s="3">
        <f>1/217</f>
        <v>4.608294930875576E-3</v>
      </c>
      <c r="S4" s="3">
        <f>1/242</f>
        <v>4.1322314049586778E-3</v>
      </c>
      <c r="T4" s="3">
        <f>1/137</f>
        <v>7.2992700729927005E-3</v>
      </c>
      <c r="V4" s="3"/>
      <c r="W4" s="3"/>
      <c r="X4" s="3"/>
      <c r="Y4" s="3"/>
      <c r="Z4" s="3"/>
      <c r="AA4" s="3"/>
      <c r="AB4" s="3"/>
      <c r="AC4" s="3"/>
    </row>
    <row r="5" spans="1:29" x14ac:dyDescent="0.2">
      <c r="A5" t="s">
        <v>3</v>
      </c>
      <c r="B5" s="1">
        <v>1813050</v>
      </c>
      <c r="C5" s="1">
        <v>1485875</v>
      </c>
      <c r="D5" s="1">
        <v>1539212</v>
      </c>
      <c r="E5" s="1"/>
      <c r="F5" s="1">
        <v>2468787</v>
      </c>
      <c r="G5" s="1">
        <v>2002988</v>
      </c>
      <c r="H5" s="1">
        <v>1811927</v>
      </c>
      <c r="I5" s="1">
        <v>3232415</v>
      </c>
      <c r="J5" s="2">
        <v>5303979</v>
      </c>
      <c r="L5" t="s">
        <v>3</v>
      </c>
      <c r="M5" s="3">
        <f>1/246</f>
        <v>4.0650406504065045E-3</v>
      </c>
      <c r="N5" s="3">
        <f>1/301</f>
        <v>3.3222591362126247E-3</v>
      </c>
      <c r="O5" s="3">
        <f>1/290</f>
        <v>3.4482758620689655E-3</v>
      </c>
      <c r="P5" s="3"/>
      <c r="Q5" s="3">
        <f>1/181</f>
        <v>5.5248618784530384E-3</v>
      </c>
      <c r="R5" s="3">
        <f>1/223</f>
        <v>4.4843049327354259E-3</v>
      </c>
      <c r="S5" s="3">
        <f>1/247</f>
        <v>4.048582995951417E-3</v>
      </c>
      <c r="T5" s="3">
        <f>1/138</f>
        <v>7.246376811594203E-3</v>
      </c>
      <c r="V5" s="3"/>
      <c r="W5" s="3"/>
      <c r="X5" s="3"/>
      <c r="Y5" s="3"/>
      <c r="Z5" s="3"/>
      <c r="AA5" s="3"/>
      <c r="AB5" s="3"/>
      <c r="AC5" s="3"/>
    </row>
    <row r="6" spans="1:29" x14ac:dyDescent="0.2">
      <c r="A6" t="s">
        <v>4</v>
      </c>
      <c r="B6" s="1">
        <v>2029638</v>
      </c>
      <c r="C6" s="1">
        <v>2427619</v>
      </c>
      <c r="D6" s="1">
        <v>2605364</v>
      </c>
      <c r="E6" s="1">
        <v>2417122</v>
      </c>
      <c r="F6" s="1"/>
      <c r="G6" s="1">
        <v>2440589</v>
      </c>
      <c r="H6" s="1">
        <v>2424480</v>
      </c>
      <c r="I6" s="1">
        <v>3438834</v>
      </c>
      <c r="J6" s="2">
        <v>5349217</v>
      </c>
      <c r="L6" t="s">
        <v>4</v>
      </c>
      <c r="M6" s="3">
        <f>1/223</f>
        <v>4.4843049327354259E-3</v>
      </c>
      <c r="N6" s="3">
        <f>1/187</f>
        <v>5.3475935828877002E-3</v>
      </c>
      <c r="O6" s="3">
        <f>1/174</f>
        <v>5.7471264367816091E-3</v>
      </c>
      <c r="P6" s="3">
        <f>1/187</f>
        <v>5.3475935828877002E-3</v>
      </c>
      <c r="Q6" s="3"/>
      <c r="R6" s="3">
        <f>1/186</f>
        <v>5.3763440860215058E-3</v>
      </c>
      <c r="S6" s="3">
        <f>1/187</f>
        <v>5.3475935828877002E-3</v>
      </c>
      <c r="T6" s="3">
        <f>1/132</f>
        <v>7.575757575757576E-3</v>
      </c>
      <c r="V6" s="3"/>
      <c r="W6" s="3"/>
      <c r="X6" s="3"/>
      <c r="Y6" s="3"/>
      <c r="Z6" s="3"/>
      <c r="AA6" s="3"/>
      <c r="AB6" s="3"/>
      <c r="AC6" s="3"/>
    </row>
    <row r="7" spans="1:29" x14ac:dyDescent="0.2">
      <c r="A7" t="s">
        <v>6</v>
      </c>
      <c r="B7" s="1">
        <v>2091894</v>
      </c>
      <c r="C7" s="1">
        <v>1692125</v>
      </c>
      <c r="D7" s="1">
        <v>1980368</v>
      </c>
      <c r="E7" s="1">
        <v>1896387</v>
      </c>
      <c r="F7" s="1">
        <v>2382090</v>
      </c>
      <c r="G7" s="1"/>
      <c r="H7" s="1">
        <v>1338143</v>
      </c>
      <c r="I7" s="1">
        <v>3265483</v>
      </c>
      <c r="J7" s="2">
        <v>5278946</v>
      </c>
      <c r="L7" t="s">
        <v>6</v>
      </c>
      <c r="M7" s="3">
        <f>1/215</f>
        <v>4.6511627906976744E-3</v>
      </c>
      <c r="N7" s="3">
        <f>1/266</f>
        <v>3.7593984962406013E-3</v>
      </c>
      <c r="O7" s="3">
        <f>1/228</f>
        <v>4.3859649122807015E-3</v>
      </c>
      <c r="P7" s="3">
        <f>1/238</f>
        <v>4.2016806722689074E-3</v>
      </c>
      <c r="Q7" s="3">
        <f>1/189</f>
        <v>5.2910052910052907E-3</v>
      </c>
      <c r="R7" s="3"/>
      <c r="S7" s="3">
        <f>1/337</f>
        <v>2.967359050445104E-3</v>
      </c>
      <c r="T7" s="3">
        <f>1/138</f>
        <v>7.246376811594203E-3</v>
      </c>
      <c r="V7" s="3"/>
      <c r="W7" s="3"/>
      <c r="X7" s="3"/>
      <c r="Y7" s="3"/>
      <c r="Z7" s="3"/>
      <c r="AA7" s="3"/>
      <c r="AB7" s="3"/>
      <c r="AC7" s="3"/>
    </row>
    <row r="8" spans="1:29" x14ac:dyDescent="0.2">
      <c r="A8" t="s">
        <v>5</v>
      </c>
      <c r="B8" s="1">
        <v>1939167</v>
      </c>
      <c r="C8" s="1">
        <v>1442388</v>
      </c>
      <c r="D8" s="1">
        <v>1865974</v>
      </c>
      <c r="E8" s="1">
        <v>1802432</v>
      </c>
      <c r="F8" s="1">
        <v>2472527</v>
      </c>
      <c r="G8" s="1">
        <v>1422297</v>
      </c>
      <c r="H8" s="1"/>
      <c r="I8" s="1">
        <v>3228656</v>
      </c>
      <c r="J8" s="2">
        <v>5302674</v>
      </c>
      <c r="L8" t="s">
        <v>5</v>
      </c>
      <c r="M8" s="3">
        <f>1/233</f>
        <v>4.2918454935622317E-3</v>
      </c>
      <c r="N8" s="3">
        <f>1/313</f>
        <v>3.1948881789137379E-3</v>
      </c>
      <c r="O8" s="3">
        <f>1/242</f>
        <v>4.1322314049586778E-3</v>
      </c>
      <c r="P8" s="3">
        <f>1/250</f>
        <v>4.0000000000000001E-3</v>
      </c>
      <c r="Q8" s="3">
        <f>1/182</f>
        <v>5.4945054945054949E-3</v>
      </c>
      <c r="R8" s="3">
        <f>1/317</f>
        <v>3.1545741324921135E-3</v>
      </c>
      <c r="S8" s="3"/>
      <c r="T8" s="3">
        <f>1/139</f>
        <v>7.1942446043165471E-3</v>
      </c>
      <c r="V8" s="3"/>
      <c r="W8" s="3"/>
      <c r="X8" s="3"/>
      <c r="Y8" s="3"/>
      <c r="Z8" s="3"/>
      <c r="AA8" s="3"/>
      <c r="AB8" s="3"/>
      <c r="AC8" s="3"/>
    </row>
    <row r="9" spans="1:29" x14ac:dyDescent="0.2">
      <c r="J9" s="2"/>
      <c r="V9" s="3"/>
      <c r="W9" s="3"/>
      <c r="X9" s="3"/>
      <c r="Y9" s="3"/>
      <c r="Z9" s="3"/>
      <c r="AA9" s="3"/>
      <c r="AB9" s="3"/>
      <c r="AC9" s="3"/>
    </row>
    <row r="10" spans="1:29" x14ac:dyDescent="0.2">
      <c r="J10" s="2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t="s">
        <v>34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6</v>
      </c>
      <c r="H11" t="s">
        <v>5</v>
      </c>
      <c r="I11" t="s">
        <v>31</v>
      </c>
      <c r="J11" s="2"/>
      <c r="L11" t="s">
        <v>43</v>
      </c>
      <c r="M11" t="s">
        <v>0</v>
      </c>
      <c r="N11" t="s">
        <v>1</v>
      </c>
      <c r="O11" t="s">
        <v>2</v>
      </c>
      <c r="P11" t="s">
        <v>3</v>
      </c>
      <c r="Q11" t="s">
        <v>4</v>
      </c>
      <c r="R11" t="s">
        <v>6</v>
      </c>
      <c r="S11" t="s">
        <v>5</v>
      </c>
      <c r="T11" t="s">
        <v>31</v>
      </c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t="s">
        <v>8</v>
      </c>
      <c r="C12" s="2">
        <v>107703</v>
      </c>
      <c r="D12" s="2">
        <v>140348</v>
      </c>
      <c r="E12" s="2">
        <v>99856</v>
      </c>
      <c r="F12" s="2">
        <v>94697</v>
      </c>
      <c r="G12" s="2">
        <v>170672</v>
      </c>
      <c r="H12" s="2">
        <v>171054</v>
      </c>
      <c r="I12" s="2">
        <v>241466</v>
      </c>
      <c r="J12" s="2">
        <v>343474</v>
      </c>
      <c r="L12" t="s">
        <v>8</v>
      </c>
      <c r="N12" s="3">
        <f>1/391</f>
        <v>2.5575447570332483E-3</v>
      </c>
      <c r="O12" s="3">
        <f>1/300</f>
        <v>3.3333333333333335E-3</v>
      </c>
      <c r="P12" s="3">
        <f>1/422</f>
        <v>2.3696682464454978E-3</v>
      </c>
      <c r="Q12" s="3">
        <f>1/445</f>
        <v>2.2471910112359553E-3</v>
      </c>
      <c r="R12" s="3">
        <f>1/247</f>
        <v>4.048582995951417E-3</v>
      </c>
      <c r="S12" s="3">
        <f>1/246</f>
        <v>4.0650406504065045E-3</v>
      </c>
      <c r="T12" s="3">
        <f>1/174</f>
        <v>5.7471264367816091E-3</v>
      </c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t="s">
        <v>9</v>
      </c>
      <c r="C13" s="2">
        <v>85043</v>
      </c>
      <c r="D13" s="2">
        <v>79499</v>
      </c>
      <c r="E13" s="2">
        <v>92124</v>
      </c>
      <c r="F13" s="2">
        <v>130053</v>
      </c>
      <c r="G13" s="2">
        <v>110132</v>
      </c>
      <c r="H13" s="2">
        <v>85777</v>
      </c>
      <c r="I13" s="2">
        <v>190077</v>
      </c>
      <c r="J13" s="2">
        <v>274401</v>
      </c>
      <c r="L13" t="s">
        <v>9</v>
      </c>
      <c r="N13" s="3">
        <f>1/399</f>
        <v>2.5062656641604009E-3</v>
      </c>
      <c r="O13" s="3">
        <f>1/426</f>
        <v>2.3474178403755869E-3</v>
      </c>
      <c r="P13" s="3">
        <f>1/368</f>
        <v>2.717391304347826E-3</v>
      </c>
      <c r="Q13" s="3">
        <f>1/260</f>
        <v>3.8461538461538464E-3</v>
      </c>
      <c r="R13" s="3">
        <f>1/308</f>
        <v>3.246753246753247E-3</v>
      </c>
      <c r="S13" s="3">
        <f>1/395</f>
        <v>2.5316455696202532E-3</v>
      </c>
      <c r="T13" s="3">
        <f>1/178</f>
        <v>5.6179775280898875E-3</v>
      </c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t="s">
        <v>10</v>
      </c>
      <c r="C14" s="2">
        <v>151886</v>
      </c>
      <c r="D14" s="2">
        <v>116977</v>
      </c>
      <c r="E14" s="2">
        <v>174856</v>
      </c>
      <c r="F14" s="2">
        <v>252841</v>
      </c>
      <c r="G14" s="2">
        <v>210083</v>
      </c>
      <c r="H14" s="2">
        <v>179659</v>
      </c>
      <c r="I14" s="2">
        <v>385181</v>
      </c>
      <c r="J14" s="2">
        <v>523068</v>
      </c>
      <c r="L14" t="s">
        <v>10</v>
      </c>
      <c r="N14" s="3">
        <f>1/430</f>
        <v>2.3255813953488372E-3</v>
      </c>
      <c r="O14" s="3">
        <f>1/558</f>
        <v>1.7921146953405018E-3</v>
      </c>
      <c r="P14" s="3">
        <f>1/373</f>
        <v>2.6809651474530832E-3</v>
      </c>
      <c r="Q14" s="3">
        <f>1/258</f>
        <v>3.875968992248062E-3</v>
      </c>
      <c r="R14" s="3">
        <f>1/311</f>
        <v>3.2154340836012861E-3</v>
      </c>
      <c r="S14" s="3">
        <f>1/363</f>
        <v>2.7548209366391185E-3</v>
      </c>
      <c r="T14" s="3">
        <f>1/169</f>
        <v>5.9171597633136093E-3</v>
      </c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t="s">
        <v>11</v>
      </c>
      <c r="C15" s="2">
        <v>130965</v>
      </c>
      <c r="D15" s="2">
        <v>225142</v>
      </c>
      <c r="E15" s="2">
        <v>179930</v>
      </c>
      <c r="F15" s="2">
        <v>330321</v>
      </c>
      <c r="G15" s="2">
        <v>292516</v>
      </c>
      <c r="H15" s="2">
        <v>151643</v>
      </c>
      <c r="I15" s="2">
        <v>476001</v>
      </c>
      <c r="J15" s="2">
        <v>715058</v>
      </c>
      <c r="L15" t="s">
        <v>11</v>
      </c>
      <c r="N15" s="3">
        <f>1/326</f>
        <v>3.0674846625766872E-3</v>
      </c>
      <c r="O15" s="3">
        <f>1/189</f>
        <v>5.2910052910052907E-3</v>
      </c>
      <c r="P15" s="3">
        <f>1/237</f>
        <v>4.2194092827004216E-3</v>
      </c>
      <c r="Q15" s="3">
        <f>1/129</f>
        <v>7.7519379844961239E-3</v>
      </c>
      <c r="R15" s="3">
        <f>1/146</f>
        <v>6.8493150684931503E-3</v>
      </c>
      <c r="S15" s="3">
        <f>1/282</f>
        <v>3.5460992907801418E-3</v>
      </c>
      <c r="T15" s="3">
        <f>1/89</f>
        <v>1.1235955056179775E-2</v>
      </c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t="s">
        <v>12</v>
      </c>
      <c r="C16" s="2">
        <v>90106</v>
      </c>
      <c r="D16" s="2">
        <v>93573</v>
      </c>
      <c r="E16" s="2">
        <v>111582</v>
      </c>
      <c r="F16" s="2">
        <v>158953</v>
      </c>
      <c r="G16" s="2">
        <v>133135</v>
      </c>
      <c r="H16" s="2">
        <v>113926</v>
      </c>
      <c r="I16" s="2">
        <v>241842</v>
      </c>
      <c r="J16" s="2">
        <v>364170</v>
      </c>
      <c r="L16" t="s">
        <v>12</v>
      </c>
      <c r="N16" s="3">
        <f>1/541</f>
        <v>1.8484288354898336E-3</v>
      </c>
      <c r="O16" s="3">
        <f>1/521</f>
        <v>1.9193857965451055E-3</v>
      </c>
      <c r="P16" s="3">
        <f>1/437</f>
        <v>2.2883295194508009E-3</v>
      </c>
      <c r="Q16" s="3">
        <f>1/306</f>
        <v>3.2679738562091504E-3</v>
      </c>
      <c r="R16" s="3">
        <f>1/366</f>
        <v>2.7322404371584699E-3</v>
      </c>
      <c r="S16" s="3">
        <f>1/428</f>
        <v>2.3364485981308409E-3</v>
      </c>
      <c r="T16" s="3">
        <f>1/201</f>
        <v>4.9751243781094526E-3</v>
      </c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t="s">
        <v>13</v>
      </c>
      <c r="C17" s="2">
        <v>123423</v>
      </c>
      <c r="D17" s="2">
        <v>106167</v>
      </c>
      <c r="E17" s="2">
        <v>102400</v>
      </c>
      <c r="F17" s="2">
        <v>150329</v>
      </c>
      <c r="G17" s="2">
        <v>158972</v>
      </c>
      <c r="H17" s="2">
        <v>154880</v>
      </c>
      <c r="I17" s="2">
        <v>251513</v>
      </c>
      <c r="J17" s="2">
        <v>341826</v>
      </c>
      <c r="L17" t="s">
        <v>13</v>
      </c>
      <c r="N17" s="3">
        <f>1/279</f>
        <v>3.5842293906810036E-3</v>
      </c>
      <c r="O17" s="3">
        <f>1/324</f>
        <v>3.0864197530864196E-3</v>
      </c>
      <c r="P17" s="3">
        <f>1/336</f>
        <v>2.976190476190476E-3</v>
      </c>
      <c r="Q17" s="3">
        <f>1/229</f>
        <v>4.3668122270742356E-3</v>
      </c>
      <c r="R17" s="3">
        <f>1/216</f>
        <v>4.6296296296296294E-3</v>
      </c>
      <c r="S17" s="3">
        <f>1/222</f>
        <v>4.5045045045045045E-3</v>
      </c>
      <c r="T17" s="3">
        <f>1/137</f>
        <v>7.2992700729927005E-3</v>
      </c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t="s">
        <v>14</v>
      </c>
      <c r="C18" s="2">
        <v>88042</v>
      </c>
      <c r="D18" s="2">
        <v>76636</v>
      </c>
      <c r="E18" s="2">
        <v>96476</v>
      </c>
      <c r="F18" s="2">
        <v>178889</v>
      </c>
      <c r="G18" s="2">
        <v>120287</v>
      </c>
      <c r="H18" s="2">
        <v>143380</v>
      </c>
      <c r="I18" s="2">
        <v>243031</v>
      </c>
      <c r="J18" s="2">
        <v>327092</v>
      </c>
      <c r="L18" t="s">
        <v>14</v>
      </c>
      <c r="N18" s="3">
        <f>1/464</f>
        <v>2.1551724137931034E-3</v>
      </c>
      <c r="O18" s="3">
        <f>1/533</f>
        <v>1.876172607879925E-3</v>
      </c>
      <c r="P18" s="3">
        <f>1/424</f>
        <v>2.3584905660377358E-3</v>
      </c>
      <c r="Q18" s="3">
        <f>1/228</f>
        <v>4.3859649122807015E-3</v>
      </c>
      <c r="R18" s="3">
        <f>1/340</f>
        <v>2.9411764705882353E-3</v>
      </c>
      <c r="S18" s="3">
        <f>1/285</f>
        <v>3.5087719298245615E-3</v>
      </c>
      <c r="T18" s="3">
        <f>1/168</f>
        <v>5.9523809523809521E-3</v>
      </c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t="s">
        <v>15</v>
      </c>
      <c r="C19" s="2">
        <v>119005</v>
      </c>
      <c r="D19" s="2">
        <v>96184</v>
      </c>
      <c r="E19" s="2">
        <v>117734</v>
      </c>
      <c r="F19" s="2">
        <v>148935</v>
      </c>
      <c r="G19" s="2">
        <v>149888</v>
      </c>
      <c r="H19" s="2">
        <v>122368</v>
      </c>
      <c r="I19" s="2">
        <v>237760</v>
      </c>
      <c r="J19" s="2">
        <v>341546</v>
      </c>
      <c r="L19" t="s">
        <v>15</v>
      </c>
      <c r="N19" s="3">
        <f>1/322</f>
        <v>3.105590062111801E-3</v>
      </c>
      <c r="O19" s="3">
        <f>1/399</f>
        <v>2.5062656641604009E-3</v>
      </c>
      <c r="P19" s="3">
        <f>1/326</f>
        <v>3.0674846625766872E-3</v>
      </c>
      <c r="Q19" s="3">
        <f>1/257</f>
        <v>3.8910505836575876E-3</v>
      </c>
      <c r="R19" s="3">
        <f>1/256</f>
        <v>3.90625E-3</v>
      </c>
      <c r="S19" s="3">
        <f>1/313</f>
        <v>3.1948881789137379E-3</v>
      </c>
      <c r="T19" s="3">
        <f>1/161</f>
        <v>6.2111801242236021E-3</v>
      </c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t="s">
        <v>16</v>
      </c>
      <c r="C20" s="2">
        <v>106745</v>
      </c>
      <c r="D20" s="2">
        <v>123762</v>
      </c>
      <c r="E20" s="2">
        <v>140183</v>
      </c>
      <c r="F20" s="2">
        <v>125700</v>
      </c>
      <c r="G20" s="2">
        <v>126791</v>
      </c>
      <c r="H20" s="2">
        <v>135923</v>
      </c>
      <c r="I20" s="2">
        <v>209127</v>
      </c>
      <c r="J20" s="2">
        <v>295437</v>
      </c>
      <c r="L20" t="s">
        <v>16</v>
      </c>
      <c r="N20" s="3">
        <f>1/411</f>
        <v>2.4330900243309003E-3</v>
      </c>
      <c r="O20" s="3">
        <f>1/355</f>
        <v>2.8169014084507044E-3</v>
      </c>
      <c r="P20" s="3">
        <f>1/313</f>
        <v>3.1948881789137379E-3</v>
      </c>
      <c r="Q20" s="3">
        <f>1/349</f>
        <v>2.8653295128939827E-3</v>
      </c>
      <c r="R20" s="3">
        <f>1/346</f>
        <v>2.8901734104046241E-3</v>
      </c>
      <c r="S20" s="3">
        <f>1/323</f>
        <v>3.0959752321981426E-3</v>
      </c>
      <c r="T20" s="3">
        <f>1/210</f>
        <v>4.7619047619047623E-3</v>
      </c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t="s">
        <v>17</v>
      </c>
      <c r="C21" s="2">
        <v>303841</v>
      </c>
      <c r="D21" s="2">
        <v>309630</v>
      </c>
      <c r="E21" s="2">
        <v>320541</v>
      </c>
      <c r="F21" s="2">
        <v>229990</v>
      </c>
      <c r="G21" s="2">
        <v>327184</v>
      </c>
      <c r="H21" s="2">
        <v>316582</v>
      </c>
      <c r="I21" s="2">
        <v>545532</v>
      </c>
      <c r="J21" s="2">
        <v>756732</v>
      </c>
      <c r="L21" t="s">
        <v>17</v>
      </c>
      <c r="N21" s="3">
        <f>1/136</f>
        <v>7.3529411764705881E-3</v>
      </c>
      <c r="O21" s="3">
        <f>1/133</f>
        <v>7.5187969924812026E-3</v>
      </c>
      <c r="P21" s="3">
        <f>1/129</f>
        <v>7.7519379844961239E-3</v>
      </c>
      <c r="Q21" s="3">
        <f>1/179</f>
        <v>5.5865921787709499E-3</v>
      </c>
      <c r="R21" s="3">
        <f>1/126</f>
        <v>7.9365079365079361E-3</v>
      </c>
      <c r="S21" s="3">
        <f>1/130</f>
        <v>7.6923076923076927E-3</v>
      </c>
      <c r="T21" s="3">
        <f>1/75</f>
        <v>1.3333333333333334E-2</v>
      </c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t="s">
        <v>18</v>
      </c>
      <c r="C22" s="2">
        <v>254224</v>
      </c>
      <c r="D22" s="2">
        <v>249394</v>
      </c>
      <c r="E22" s="2">
        <v>219692</v>
      </c>
      <c r="F22" s="2">
        <v>125097</v>
      </c>
      <c r="G22" s="2">
        <v>241522</v>
      </c>
      <c r="H22" s="2">
        <v>218072</v>
      </c>
      <c r="I22" s="2">
        <v>395726</v>
      </c>
      <c r="J22" s="2">
        <v>553582</v>
      </c>
      <c r="L22" t="s">
        <v>18</v>
      </c>
      <c r="N22" s="3">
        <f>1/164</f>
        <v>6.0975609756097563E-3</v>
      </c>
      <c r="O22" s="3">
        <f>1/167</f>
        <v>5.9880239520958087E-3</v>
      </c>
      <c r="P22" s="3">
        <f>1/189</f>
        <v>5.2910052910052907E-3</v>
      </c>
      <c r="Q22" s="3">
        <f>1/333</f>
        <v>3.003003003003003E-3</v>
      </c>
      <c r="R22" s="3">
        <f>1/172</f>
        <v>5.8139534883720929E-3</v>
      </c>
      <c r="S22" s="3">
        <f>1/191</f>
        <v>5.235602094240838E-3</v>
      </c>
      <c r="T22" s="3">
        <f>1/105</f>
        <v>9.5238095238095247E-3</v>
      </c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t="s">
        <v>35</v>
      </c>
      <c r="C23" s="4">
        <v>1607267</v>
      </c>
      <c r="D23" s="4">
        <v>1660122</v>
      </c>
      <c r="E23" s="4">
        <v>1692267</v>
      </c>
      <c r="F23" s="4">
        <v>1974970</v>
      </c>
      <c r="G23" s="4">
        <v>2092617</v>
      </c>
      <c r="H23" s="4">
        <v>1839113</v>
      </c>
      <c r="I23" s="4">
        <v>3472245</v>
      </c>
      <c r="J23" s="2">
        <v>4963630</v>
      </c>
      <c r="L23" t="s">
        <v>35</v>
      </c>
      <c r="N23" s="3">
        <f>1/323</f>
        <v>3.0959752321981426E-3</v>
      </c>
      <c r="O23" s="3">
        <f>1/313</f>
        <v>3.1948881789137379E-3</v>
      </c>
      <c r="P23" s="3">
        <f>1/307</f>
        <v>3.2573289902280132E-3</v>
      </c>
      <c r="Q23" s="3">
        <f>1/263</f>
        <v>3.8022813688212928E-3</v>
      </c>
      <c r="R23" s="3">
        <f>1/248</f>
        <v>4.0322580645161289E-3</v>
      </c>
      <c r="S23" s="3">
        <f>1/282</f>
        <v>3.5460992907801418E-3</v>
      </c>
      <c r="T23" s="3">
        <f>1/149</f>
        <v>6.7114093959731542E-3</v>
      </c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J24" s="2"/>
      <c r="N24" s="3"/>
      <c r="O24" s="3"/>
      <c r="P24" s="3"/>
      <c r="Q24" s="3"/>
      <c r="R24" s="3"/>
      <c r="S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J25" s="2"/>
      <c r="N25" s="3"/>
      <c r="O25" s="3"/>
      <c r="P25" s="3"/>
      <c r="Q25" s="3"/>
      <c r="R25" s="3"/>
      <c r="S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t="s">
        <v>36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6</v>
      </c>
      <c r="H26" t="s">
        <v>5</v>
      </c>
      <c r="I26" t="s">
        <v>31</v>
      </c>
      <c r="J26" s="2"/>
      <c r="L26" t="s">
        <v>44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6</v>
      </c>
      <c r="S26" t="s">
        <v>5</v>
      </c>
      <c r="T26" t="s">
        <v>31</v>
      </c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t="s">
        <v>19</v>
      </c>
      <c r="B27" s="2">
        <v>112649</v>
      </c>
      <c r="C27" s="2"/>
      <c r="D27" s="2">
        <v>118662</v>
      </c>
      <c r="E27" s="2">
        <v>75859</v>
      </c>
      <c r="F27" s="2">
        <v>122979</v>
      </c>
      <c r="G27" s="2">
        <v>124417</v>
      </c>
      <c r="H27" s="2">
        <v>129632</v>
      </c>
      <c r="I27" s="2">
        <v>219008</v>
      </c>
      <c r="J27" s="2">
        <v>351549</v>
      </c>
      <c r="L27" t="s">
        <v>19</v>
      </c>
      <c r="M27" s="3">
        <f>1/339</f>
        <v>2.9498525073746312E-3</v>
      </c>
      <c r="O27" s="3">
        <f>1/322</f>
        <v>3.105590062111801E-3</v>
      </c>
      <c r="P27" s="3">
        <f>1/504</f>
        <v>1.984126984126984E-3</v>
      </c>
      <c r="Q27" s="3">
        <f>1/310</f>
        <v>3.2258064516129032E-3</v>
      </c>
      <c r="R27" s="3">
        <f>1/307</f>
        <v>3.2573289902280132E-3</v>
      </c>
      <c r="S27" s="3">
        <f>1/294</f>
        <v>3.4013605442176869E-3</v>
      </c>
      <c r="T27" s="3">
        <f>1/174</f>
        <v>5.7471264367816091E-3</v>
      </c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t="s">
        <v>20</v>
      </c>
      <c r="B28" s="2">
        <v>90984</v>
      </c>
      <c r="C28" s="2"/>
      <c r="D28" s="2">
        <v>66698</v>
      </c>
      <c r="E28" s="2">
        <v>73707</v>
      </c>
      <c r="F28" s="2">
        <v>149212</v>
      </c>
      <c r="G28" s="2">
        <v>99571</v>
      </c>
      <c r="H28" s="2">
        <v>73243</v>
      </c>
      <c r="I28" s="2">
        <v>171860</v>
      </c>
      <c r="J28" s="2">
        <v>282287</v>
      </c>
      <c r="L28" t="s">
        <v>20</v>
      </c>
      <c r="M28" s="3">
        <f>1/337</f>
        <v>2.967359050445104E-3</v>
      </c>
      <c r="O28" s="3">
        <f>1/460</f>
        <v>2.1739130434782609E-3</v>
      </c>
      <c r="P28" s="3">
        <f>1/416</f>
        <v>2.403846153846154E-3</v>
      </c>
      <c r="Q28" s="3">
        <f>1/205</f>
        <v>4.8780487804878049E-3</v>
      </c>
      <c r="R28" s="3">
        <f>1/308</f>
        <v>3.246753246753247E-3</v>
      </c>
      <c r="S28" s="3">
        <f>1/419</f>
        <v>2.3866348448687352E-3</v>
      </c>
      <c r="T28" s="3">
        <f>1/178</f>
        <v>5.6179775280898875E-3</v>
      </c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t="s">
        <v>21</v>
      </c>
      <c r="B29" s="2">
        <v>161100</v>
      </c>
      <c r="C29" s="2"/>
      <c r="D29" s="2">
        <v>136525</v>
      </c>
      <c r="E29" s="2">
        <v>135190</v>
      </c>
      <c r="F29" s="2">
        <v>282312</v>
      </c>
      <c r="G29" s="2">
        <v>191409</v>
      </c>
      <c r="H29" s="2">
        <v>175316</v>
      </c>
      <c r="I29" s="2">
        <v>361404</v>
      </c>
      <c r="J29" s="2">
        <v>537293</v>
      </c>
      <c r="L29" t="s">
        <v>21</v>
      </c>
      <c r="M29" s="3">
        <f>1/373</f>
        <v>2.6809651474530832E-3</v>
      </c>
      <c r="O29" s="3">
        <f>1/440</f>
        <v>2.2727272727272726E-3</v>
      </c>
      <c r="P29" s="3">
        <f>1/444</f>
        <v>2.2522522522522522E-3</v>
      </c>
      <c r="Q29" s="3">
        <f>1/213</f>
        <v>4.6948356807511738E-3</v>
      </c>
      <c r="R29" s="3">
        <f>1/314</f>
        <v>3.1847133757961785E-3</v>
      </c>
      <c r="S29" s="3">
        <f>1/343</f>
        <v>2.9154518950437317E-3</v>
      </c>
      <c r="T29" s="3">
        <f>1/166</f>
        <v>6.024096385542169E-3</v>
      </c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t="s">
        <v>22</v>
      </c>
      <c r="B30" s="2">
        <v>144911</v>
      </c>
      <c r="C30" s="2"/>
      <c r="D30" s="2">
        <v>196803</v>
      </c>
      <c r="E30" s="2">
        <v>166277</v>
      </c>
      <c r="F30" s="2">
        <v>355118</v>
      </c>
      <c r="G30" s="2">
        <v>278797</v>
      </c>
      <c r="H30" s="2">
        <v>126631</v>
      </c>
      <c r="I30" s="2">
        <v>444204</v>
      </c>
      <c r="J30" s="2">
        <v>732162</v>
      </c>
      <c r="L30" t="s">
        <v>22</v>
      </c>
      <c r="M30" s="3">
        <f>1/249</f>
        <v>4.0160642570281121E-3</v>
      </c>
      <c r="O30" s="3">
        <f>1/183</f>
        <v>5.4644808743169399E-3</v>
      </c>
      <c r="P30" s="3">
        <f>1/217</f>
        <v>4.608294930875576E-3</v>
      </c>
      <c r="Q30" s="3">
        <f>1/101</f>
        <v>9.9009900990099011E-3</v>
      </c>
      <c r="R30" s="3">
        <f>1/129</f>
        <v>7.7519379844961239E-3</v>
      </c>
      <c r="S30" s="3">
        <f>1/285</f>
        <v>3.5087719298245615E-3</v>
      </c>
      <c r="T30" s="3">
        <f>1/81</f>
        <v>1.2345679012345678E-2</v>
      </c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t="s">
        <v>23</v>
      </c>
      <c r="B31" s="2">
        <v>105303</v>
      </c>
      <c r="C31" s="2"/>
      <c r="D31" s="2">
        <v>108458</v>
      </c>
      <c r="E31" s="2">
        <v>115719</v>
      </c>
      <c r="F31" s="2">
        <v>190387</v>
      </c>
      <c r="G31" s="2">
        <v>121747</v>
      </c>
      <c r="H31" s="2">
        <v>99574</v>
      </c>
      <c r="I31" s="2">
        <v>229320</v>
      </c>
      <c r="J31" s="2">
        <v>389128</v>
      </c>
      <c r="L31" t="s">
        <v>23</v>
      </c>
      <c r="M31" s="3">
        <f>1/427</f>
        <v>2.34192037470726E-3</v>
      </c>
      <c r="O31" s="3">
        <f>1/415</f>
        <v>2.4096385542168677E-3</v>
      </c>
      <c r="P31" s="3">
        <f>1/389</f>
        <v>2.5706940874035988E-3</v>
      </c>
      <c r="Q31" s="3">
        <f>1/236</f>
        <v>4.2372881355932203E-3</v>
      </c>
      <c r="R31" s="3">
        <f>1/370</f>
        <v>2.7027027027027029E-3</v>
      </c>
      <c r="S31" s="3">
        <f>1/452</f>
        <v>2.2123893805309734E-3</v>
      </c>
      <c r="T31" s="3">
        <f>1/196</f>
        <v>5.1020408163265302E-3</v>
      </c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t="s">
        <v>24</v>
      </c>
      <c r="B32" s="2">
        <v>130070</v>
      </c>
      <c r="C32" s="2"/>
      <c r="D32" s="2">
        <v>120057</v>
      </c>
      <c r="E32" s="2">
        <v>115925</v>
      </c>
      <c r="F32" s="2">
        <v>142674</v>
      </c>
      <c r="G32" s="2">
        <v>147247</v>
      </c>
      <c r="H32" s="2">
        <v>147821</v>
      </c>
      <c r="I32" s="2">
        <v>231866</v>
      </c>
      <c r="J32" s="2">
        <v>360627</v>
      </c>
      <c r="L32" t="s">
        <v>24</v>
      </c>
      <c r="M32" s="3">
        <f>1/244</f>
        <v>4.0983606557377051E-3</v>
      </c>
      <c r="O32" s="3">
        <f>1/265</f>
        <v>3.7735849056603774E-3</v>
      </c>
      <c r="P32" s="3">
        <f>1/274</f>
        <v>3.6496350364963502E-3</v>
      </c>
      <c r="Q32" s="3">
        <f>1/223</f>
        <v>4.4843049327354259E-3</v>
      </c>
      <c r="R32" s="3">
        <f>1/216</f>
        <v>4.6296296296296294E-3</v>
      </c>
      <c r="S32" s="3">
        <f>1/215</f>
        <v>4.6511627906976744E-3</v>
      </c>
      <c r="T32" s="3">
        <f>1/137</f>
        <v>7.2992700729927005E-3</v>
      </c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t="s">
        <v>25</v>
      </c>
      <c r="B33" s="2">
        <v>96495</v>
      </c>
      <c r="C33" s="2"/>
      <c r="D33" s="2">
        <v>81254</v>
      </c>
      <c r="E33" s="2">
        <v>79959</v>
      </c>
      <c r="F33" s="2">
        <v>180510</v>
      </c>
      <c r="G33" s="2">
        <v>96449</v>
      </c>
      <c r="H33" s="2">
        <v>115648</v>
      </c>
      <c r="I33" s="2">
        <v>220214</v>
      </c>
      <c r="J33" s="2">
        <v>339126</v>
      </c>
      <c r="L33" t="s">
        <v>25</v>
      </c>
      <c r="M33" s="3">
        <f>1/397</f>
        <v>2.5188916876574307E-3</v>
      </c>
      <c r="O33" s="3">
        <f>1/472</f>
        <v>2.1186440677966102E-3</v>
      </c>
      <c r="P33" s="3">
        <f>1/479</f>
        <v>2.0876826722338203E-3</v>
      </c>
      <c r="Q33" s="3">
        <f>1/212</f>
        <v>4.7169811320754715E-3</v>
      </c>
      <c r="R33" s="3">
        <f>1/397</f>
        <v>2.5188916876574307E-3</v>
      </c>
      <c r="S33" s="3">
        <f>1/331</f>
        <v>3.0211480362537764E-3</v>
      </c>
      <c r="T33" s="3">
        <f>1/174</f>
        <v>5.7471264367816091E-3</v>
      </c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t="s">
        <v>26</v>
      </c>
      <c r="B34" s="2">
        <v>122183</v>
      </c>
      <c r="C34" s="2"/>
      <c r="D34" s="2">
        <v>95406</v>
      </c>
      <c r="E34" s="2">
        <v>90581</v>
      </c>
      <c r="F34" s="2">
        <v>168493</v>
      </c>
      <c r="G34" s="2">
        <v>128055</v>
      </c>
      <c r="H34" s="2">
        <v>86900</v>
      </c>
      <c r="I34" s="2">
        <v>215161</v>
      </c>
      <c r="J34" s="2">
        <v>350866</v>
      </c>
      <c r="L34" t="s">
        <v>26</v>
      </c>
      <c r="M34" s="3">
        <f>1/285</f>
        <v>3.5087719298245615E-3</v>
      </c>
      <c r="O34" s="3">
        <f>1/365</f>
        <v>2.7397260273972603E-3</v>
      </c>
      <c r="P34" s="3">
        <f>1/385</f>
        <v>2.5974025974025974E-3</v>
      </c>
      <c r="Q34" s="3">
        <f>1/207</f>
        <v>4.830917874396135E-3</v>
      </c>
      <c r="R34" s="3">
        <f>1/272</f>
        <v>3.6764705882352941E-3</v>
      </c>
      <c r="S34" s="3">
        <f>1/401</f>
        <v>2.4937655860349127E-3</v>
      </c>
      <c r="T34" s="3">
        <f>1/162</f>
        <v>6.1728395061728392E-3</v>
      </c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t="s">
        <v>27</v>
      </c>
      <c r="B35" s="2">
        <v>115276</v>
      </c>
      <c r="C35" s="2"/>
      <c r="D35" s="2">
        <v>68848</v>
      </c>
      <c r="E35" s="2">
        <v>111795</v>
      </c>
      <c r="F35" s="2">
        <v>123607</v>
      </c>
      <c r="G35" s="2">
        <v>112732</v>
      </c>
      <c r="H35" s="2">
        <v>113855</v>
      </c>
      <c r="I35" s="2">
        <v>170382</v>
      </c>
      <c r="J35" s="2">
        <v>308024</v>
      </c>
      <c r="L35" t="s">
        <v>27</v>
      </c>
      <c r="M35" s="3">
        <f>1/352</f>
        <v>2.840909090909091E-3</v>
      </c>
      <c r="O35" s="3">
        <f>1/589</f>
        <v>1.697792869269949E-3</v>
      </c>
      <c r="P35" s="3">
        <f>1/363</f>
        <v>2.7548209366391185E-3</v>
      </c>
      <c r="Q35" s="3">
        <f>1/328</f>
        <v>3.0487804878048782E-3</v>
      </c>
      <c r="R35" s="3">
        <f>1/360</f>
        <v>2.7777777777777779E-3</v>
      </c>
      <c r="S35" s="3">
        <f>1/356</f>
        <v>2.8089887640449437E-3</v>
      </c>
      <c r="T35" s="3">
        <f>1/238</f>
        <v>4.2016806722689074E-3</v>
      </c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t="s">
        <v>28</v>
      </c>
      <c r="B36" s="2">
        <v>295462</v>
      </c>
      <c r="C36" s="2"/>
      <c r="D36" s="2">
        <v>208646</v>
      </c>
      <c r="E36" s="2">
        <v>223945</v>
      </c>
      <c r="F36" s="2">
        <v>431025</v>
      </c>
      <c r="G36" s="2">
        <v>206649</v>
      </c>
      <c r="H36" s="2">
        <v>96565</v>
      </c>
      <c r="I36" s="2">
        <v>486890</v>
      </c>
      <c r="J36" s="2">
        <v>778738</v>
      </c>
      <c r="L36" t="s">
        <v>28</v>
      </c>
      <c r="M36" s="3">
        <f>1/121</f>
        <v>8.2644628099173556E-3</v>
      </c>
      <c r="O36" s="3">
        <f>1/171</f>
        <v>5.8479532163742687E-3</v>
      </c>
      <c r="P36" s="3">
        <f>1/160</f>
        <v>6.2500000000000003E-3</v>
      </c>
      <c r="Q36" s="3">
        <f>1/83</f>
        <v>1.2048192771084338E-2</v>
      </c>
      <c r="R36" s="3">
        <f>1/173</f>
        <v>5.7803468208092483E-3</v>
      </c>
      <c r="S36" s="3">
        <f>1/371</f>
        <v>2.6954177897574125E-3</v>
      </c>
      <c r="T36" s="3">
        <f>1/73</f>
        <v>1.3698630136986301E-2</v>
      </c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t="s">
        <v>29</v>
      </c>
      <c r="B37" s="2">
        <v>248722</v>
      </c>
      <c r="C37" s="2"/>
      <c r="D37" s="2">
        <v>199299</v>
      </c>
      <c r="E37" s="2">
        <v>194005</v>
      </c>
      <c r="F37" s="2">
        <v>251547</v>
      </c>
      <c r="G37" s="2">
        <v>196767</v>
      </c>
      <c r="H37" s="2">
        <v>200923</v>
      </c>
      <c r="I37" s="2">
        <v>357143</v>
      </c>
      <c r="J37" s="2">
        <v>562087</v>
      </c>
      <c r="L37" t="s">
        <v>29</v>
      </c>
      <c r="M37" s="3">
        <f>1/148</f>
        <v>6.7567567567567571E-3</v>
      </c>
      <c r="O37" s="3">
        <f>1/185</f>
        <v>5.4054054054054057E-3</v>
      </c>
      <c r="P37" s="3">
        <f>1/190</f>
        <v>5.263157894736842E-3</v>
      </c>
      <c r="Q37" s="3">
        <f>1/146</f>
        <v>6.8493150684931503E-3</v>
      </c>
      <c r="R37" s="3">
        <f>1/187</f>
        <v>5.3475935828877002E-3</v>
      </c>
      <c r="S37" s="3">
        <f>1/183</f>
        <v>5.4644808743169399E-3</v>
      </c>
      <c r="T37" s="3">
        <f>1/103</f>
        <v>9.7087378640776691E-3</v>
      </c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t="s">
        <v>35</v>
      </c>
      <c r="B38" s="4">
        <v>1747504</v>
      </c>
      <c r="C38" s="4"/>
      <c r="D38" s="4">
        <v>1528608</v>
      </c>
      <c r="E38" s="4">
        <v>1499900</v>
      </c>
      <c r="F38" s="4">
        <v>2501756</v>
      </c>
      <c r="G38" s="4">
        <v>1812756</v>
      </c>
      <c r="H38" s="4">
        <v>1466499</v>
      </c>
      <c r="I38" s="4">
        <v>3210892</v>
      </c>
      <c r="J38" s="2">
        <v>5293181</v>
      </c>
      <c r="L38" t="s">
        <v>35</v>
      </c>
      <c r="M38" s="3">
        <f>1/256</f>
        <v>3.90625E-3</v>
      </c>
      <c r="O38" s="3">
        <f>1/293</f>
        <v>3.4129692832764505E-3</v>
      </c>
      <c r="P38" s="3">
        <f>1/298</f>
        <v>3.3557046979865771E-3</v>
      </c>
      <c r="Q38" s="3">
        <f>1/179</f>
        <v>5.5865921787709499E-3</v>
      </c>
      <c r="R38" s="3">
        <f>1/247</f>
        <v>4.048582995951417E-3</v>
      </c>
      <c r="S38" s="3">
        <f>1/305</f>
        <v>3.2786885245901639E-3</v>
      </c>
      <c r="T38" s="3">
        <f>1/139</f>
        <v>7.1942446043165471E-3</v>
      </c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J39" s="2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J40" s="2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t="s">
        <v>41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6</v>
      </c>
      <c r="H41" t="s">
        <v>5</v>
      </c>
      <c r="I41" t="s">
        <v>31</v>
      </c>
      <c r="J41" s="2"/>
      <c r="L41" t="s">
        <v>45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6</v>
      </c>
      <c r="S41" t="s">
        <v>5</v>
      </c>
      <c r="T41" t="s">
        <v>31</v>
      </c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t="s">
        <v>19</v>
      </c>
      <c r="B42" s="2">
        <v>129766</v>
      </c>
      <c r="C42" s="2">
        <v>102939</v>
      </c>
      <c r="D42" s="2"/>
      <c r="E42" s="2">
        <v>109057</v>
      </c>
      <c r="F42" s="2">
        <v>162429</v>
      </c>
      <c r="G42" s="2">
        <v>144366</v>
      </c>
      <c r="H42" s="2">
        <v>122086</v>
      </c>
      <c r="I42" s="2">
        <v>214125</v>
      </c>
      <c r="J42" s="2">
        <v>329915</v>
      </c>
      <c r="L42" t="s">
        <v>19</v>
      </c>
      <c r="M42" s="3">
        <f>1/281</f>
        <v>3.5587188612099642E-3</v>
      </c>
      <c r="N42" s="3">
        <f>1/354</f>
        <v>2.8248587570621469E-3</v>
      </c>
      <c r="P42" s="3">
        <f>1/334</f>
        <v>2.9940119760479044E-3</v>
      </c>
      <c r="Q42" s="3">
        <f>1/224</f>
        <v>4.464285714285714E-3</v>
      </c>
      <c r="R42" s="3">
        <f>1/252</f>
        <v>3.968253968253968E-3</v>
      </c>
      <c r="S42" s="3">
        <f>1/298</f>
        <v>3.3557046979865771E-3</v>
      </c>
      <c r="T42" s="3">
        <f>1/170</f>
        <v>5.8823529411764705E-3</v>
      </c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t="s">
        <v>20</v>
      </c>
      <c r="B43" s="2">
        <v>81552</v>
      </c>
      <c r="C43" s="2">
        <v>62770</v>
      </c>
      <c r="D43" s="2"/>
      <c r="E43" s="2">
        <v>76285</v>
      </c>
      <c r="F43" s="2">
        <v>153763</v>
      </c>
      <c r="G43" s="2">
        <v>101288</v>
      </c>
      <c r="H43" s="2">
        <v>78831</v>
      </c>
      <c r="I43" s="2">
        <v>170530</v>
      </c>
      <c r="J43" s="2">
        <v>277137</v>
      </c>
      <c r="L43" t="s">
        <v>20</v>
      </c>
      <c r="M43" s="3">
        <f>1/365</f>
        <v>2.7397260273972603E-3</v>
      </c>
      <c r="N43" s="3">
        <f>1/474</f>
        <v>2.1097046413502108E-3</v>
      </c>
      <c r="P43" s="3">
        <f>1/390</f>
        <v>2.5641025641025641E-3</v>
      </c>
      <c r="Q43" s="3">
        <f>1/193</f>
        <v>5.1813471502590676E-3</v>
      </c>
      <c r="R43" s="3">
        <f>1/294</f>
        <v>3.4013605442176869E-3</v>
      </c>
      <c r="S43" s="3">
        <f>1/377</f>
        <v>2.6525198938992041E-3</v>
      </c>
      <c r="T43" s="3">
        <f>1/174</f>
        <v>5.7471264367816091E-3</v>
      </c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t="s">
        <v>21</v>
      </c>
      <c r="B44" s="2">
        <v>119759</v>
      </c>
      <c r="C44" s="2">
        <v>127217</v>
      </c>
      <c r="D44" s="2"/>
      <c r="E44" s="2">
        <v>139133</v>
      </c>
      <c r="F44" s="2">
        <v>272199</v>
      </c>
      <c r="G44" s="2">
        <v>202335</v>
      </c>
      <c r="H44" s="2">
        <v>193341</v>
      </c>
      <c r="I44" s="2">
        <v>351031</v>
      </c>
      <c r="J44" s="2">
        <v>518533</v>
      </c>
      <c r="L44" t="s">
        <v>21</v>
      </c>
      <c r="M44" s="3">
        <f>1/489</f>
        <v>2.0449897750511249E-3</v>
      </c>
      <c r="N44" s="3">
        <f>1/460</f>
        <v>2.1739130434782609E-3</v>
      </c>
      <c r="P44" s="3">
        <f>1/421</f>
        <v>2.3752969121140144E-3</v>
      </c>
      <c r="Q44" s="3">
        <f>1/215</f>
        <v>4.6511627906976744E-3</v>
      </c>
      <c r="R44" s="3">
        <f>1/289</f>
        <v>3.4602076124567475E-3</v>
      </c>
      <c r="S44" s="3">
        <f>1/303</f>
        <v>3.3003300330033004E-3</v>
      </c>
      <c r="T44" s="3">
        <f>1/166</f>
        <v>6.024096385542169E-3</v>
      </c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t="s">
        <v>22</v>
      </c>
      <c r="B45" s="2">
        <v>211952</v>
      </c>
      <c r="C45" s="2">
        <v>180675</v>
      </c>
      <c r="D45" s="2"/>
      <c r="E45" s="2">
        <v>185953</v>
      </c>
      <c r="F45" s="2">
        <v>344302</v>
      </c>
      <c r="G45" s="2">
        <v>263734</v>
      </c>
      <c r="H45" s="2">
        <v>198204</v>
      </c>
      <c r="I45" s="2">
        <v>434618</v>
      </c>
      <c r="J45" s="2">
        <v>676027</v>
      </c>
      <c r="L45" t="s">
        <v>22</v>
      </c>
      <c r="M45" s="3">
        <f>1/157</f>
        <v>6.369426751592357E-3</v>
      </c>
      <c r="N45" s="3">
        <f>1/184</f>
        <v>5.434782608695652E-3</v>
      </c>
      <c r="P45" s="3">
        <f>1/179</f>
        <v>5.5865921787709499E-3</v>
      </c>
      <c r="Q45" s="3">
        <f>1/96</f>
        <v>1.0416666666666666E-2</v>
      </c>
      <c r="R45" s="3">
        <f>1/126</f>
        <v>7.9365079365079361E-3</v>
      </c>
      <c r="S45" s="3">
        <f>1/168</f>
        <v>5.9523809523809521E-3</v>
      </c>
      <c r="T45" s="3">
        <f>1/76</f>
        <v>1.3157894736842105E-2</v>
      </c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t="s">
        <v>23</v>
      </c>
      <c r="B46" s="2">
        <v>101678</v>
      </c>
      <c r="C46" s="2">
        <v>100918</v>
      </c>
      <c r="D46" s="2"/>
      <c r="E46" s="2">
        <v>128816</v>
      </c>
      <c r="F46" s="2">
        <v>179651</v>
      </c>
      <c r="G46" s="2">
        <v>132508</v>
      </c>
      <c r="H46" s="2">
        <v>107719</v>
      </c>
      <c r="I46" s="2">
        <v>228241</v>
      </c>
      <c r="J46" s="2">
        <v>378897</v>
      </c>
      <c r="L46" t="s">
        <v>23</v>
      </c>
      <c r="M46" s="3">
        <f>1/433</f>
        <v>2.3094688221709007E-3</v>
      </c>
      <c r="N46" s="3">
        <f>1/436</f>
        <v>2.2935779816513763E-3</v>
      </c>
      <c r="P46" s="3">
        <f>1/342</f>
        <v>2.9239766081871343E-3</v>
      </c>
      <c r="Q46" s="3">
        <f>1/245</f>
        <v>4.0816326530612249E-3</v>
      </c>
      <c r="R46" s="3">
        <f>1/332</f>
        <v>3.0120481927710845E-3</v>
      </c>
      <c r="S46" s="3">
        <f>1/409</f>
        <v>2.4449877750611247E-3</v>
      </c>
      <c r="T46" s="3">
        <f>1/192</f>
        <v>5.208333333333333E-3</v>
      </c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t="s">
        <v>24</v>
      </c>
      <c r="B47" s="2">
        <v>109099</v>
      </c>
      <c r="C47" s="2">
        <v>114992</v>
      </c>
      <c r="D47" s="2"/>
      <c r="E47" s="2">
        <v>85773</v>
      </c>
      <c r="F47" s="2">
        <v>168430</v>
      </c>
      <c r="G47" s="2">
        <v>155627</v>
      </c>
      <c r="H47" s="2">
        <v>154215</v>
      </c>
      <c r="I47" s="2">
        <v>226490</v>
      </c>
      <c r="J47" s="2">
        <v>350379</v>
      </c>
      <c r="L47" t="s">
        <v>24</v>
      </c>
      <c r="M47" s="3">
        <f>1/286</f>
        <v>3.4965034965034965E-3</v>
      </c>
      <c r="N47" s="3">
        <f>1/271</f>
        <v>3.6900369003690036E-3</v>
      </c>
      <c r="P47" s="3">
        <f>1/363</f>
        <v>2.7548209366391185E-3</v>
      </c>
      <c r="Q47" s="3">
        <f>1/185</f>
        <v>5.4054054054054057E-3</v>
      </c>
      <c r="R47" s="3">
        <f>1/200</f>
        <v>5.0000000000000001E-3</v>
      </c>
      <c r="S47" s="3">
        <f>1/202</f>
        <v>4.9504950495049506E-3</v>
      </c>
      <c r="T47" s="3">
        <f>1/137</f>
        <v>7.2992700729927005E-3</v>
      </c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t="s">
        <v>25</v>
      </c>
      <c r="B48" s="2">
        <v>84686</v>
      </c>
      <c r="C48" s="2">
        <v>79616</v>
      </c>
      <c r="D48" s="2"/>
      <c r="E48" s="2">
        <v>80155</v>
      </c>
      <c r="F48" s="2">
        <v>180086</v>
      </c>
      <c r="G48" s="2">
        <v>116425</v>
      </c>
      <c r="H48" s="2">
        <v>139104</v>
      </c>
      <c r="I48" s="2">
        <v>220467</v>
      </c>
      <c r="J48" s="2">
        <v>337428</v>
      </c>
      <c r="L48" t="s">
        <v>25</v>
      </c>
      <c r="M48" s="3">
        <f>1/447</f>
        <v>2.2371364653243847E-3</v>
      </c>
      <c r="N48" s="3">
        <f>1/475</f>
        <v>2.1052631578947368E-3</v>
      </c>
      <c r="P48" s="3">
        <f>1/472</f>
        <v>2.1186440677966102E-3</v>
      </c>
      <c r="Q48" s="3">
        <f>1/210</f>
        <v>4.7619047619047623E-3</v>
      </c>
      <c r="R48" s="3">
        <f>1/325</f>
        <v>3.0769230769230769E-3</v>
      </c>
      <c r="S48" s="3">
        <f>1/272</f>
        <v>3.6764705882352941E-3</v>
      </c>
      <c r="T48" s="3">
        <f>1/171</f>
        <v>5.8479532163742687E-3</v>
      </c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t="s">
        <v>26</v>
      </c>
      <c r="B49" s="2">
        <v>97744</v>
      </c>
      <c r="C49" s="2">
        <v>93275</v>
      </c>
      <c r="D49" s="2"/>
      <c r="E49" s="2">
        <v>103525</v>
      </c>
      <c r="F49" s="2">
        <v>190313</v>
      </c>
      <c r="G49" s="2">
        <v>155510</v>
      </c>
      <c r="H49" s="2">
        <v>117372</v>
      </c>
      <c r="I49" s="2">
        <v>219612</v>
      </c>
      <c r="J49" s="2">
        <v>351737</v>
      </c>
      <c r="L49" t="s">
        <v>26</v>
      </c>
      <c r="M49" s="3">
        <f>1/351</f>
        <v>2.8490028490028491E-3</v>
      </c>
      <c r="N49" s="3">
        <f>1/368</f>
        <v>2.717391304347826E-3</v>
      </c>
      <c r="P49" s="3">
        <f>1/331</f>
        <v>3.0211480362537764E-3</v>
      </c>
      <c r="Q49" s="3">
        <f>1/180</f>
        <v>5.5555555555555558E-3</v>
      </c>
      <c r="R49" s="3">
        <f>1/220</f>
        <v>4.5454545454545452E-3</v>
      </c>
      <c r="S49" s="3">
        <f>1/292</f>
        <v>3.4246575342465752E-3</v>
      </c>
      <c r="T49" s="3">
        <f>1/156</f>
        <v>6.41025641025641E-3</v>
      </c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t="s">
        <v>27</v>
      </c>
      <c r="B50" s="2">
        <v>123040</v>
      </c>
      <c r="C50" s="2">
        <v>63860</v>
      </c>
      <c r="D50" s="2"/>
      <c r="E50" s="2">
        <v>102179</v>
      </c>
      <c r="F50" s="2">
        <v>116298</v>
      </c>
      <c r="G50" s="2">
        <v>106895</v>
      </c>
      <c r="H50" s="2">
        <v>111209</v>
      </c>
      <c r="I50" s="2">
        <v>166087</v>
      </c>
      <c r="J50" s="2">
        <v>295852</v>
      </c>
      <c r="L50" t="s">
        <v>27</v>
      </c>
      <c r="M50" s="3">
        <f>1/313</f>
        <v>3.1948881789137379E-3</v>
      </c>
      <c r="N50" s="3">
        <f>1/604</f>
        <v>1.6556291390728477E-3</v>
      </c>
      <c r="P50" s="3">
        <f>1/377</f>
        <v>2.6525198938992041E-3</v>
      </c>
      <c r="Q50" s="3">
        <f>1/331</f>
        <v>3.0211480362537764E-3</v>
      </c>
      <c r="R50" s="3">
        <f>1/361</f>
        <v>2.7700831024930748E-3</v>
      </c>
      <c r="S50" s="3">
        <f>1/347</f>
        <v>2.881844380403458E-3</v>
      </c>
      <c r="T50" s="3">
        <f>1/232</f>
        <v>4.3103448275862068E-3</v>
      </c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t="s">
        <v>28</v>
      </c>
      <c r="B51" s="2">
        <v>292617</v>
      </c>
      <c r="C51" s="2">
        <v>197589</v>
      </c>
      <c r="D51" s="2"/>
      <c r="E51" s="2">
        <v>181937</v>
      </c>
      <c r="F51" s="2">
        <v>440192</v>
      </c>
      <c r="G51" s="2">
        <v>235956</v>
      </c>
      <c r="H51" s="2">
        <v>210636</v>
      </c>
      <c r="I51" s="2">
        <v>488794</v>
      </c>
      <c r="J51" s="2">
        <v>764537</v>
      </c>
      <c r="L51" t="s">
        <v>28</v>
      </c>
      <c r="M51" s="3">
        <f>1/121</f>
        <v>8.2644628099173556E-3</v>
      </c>
      <c r="N51" s="3">
        <f>1/179</f>
        <v>5.5865921787709499E-3</v>
      </c>
      <c r="P51" s="3">
        <f>1/194</f>
        <v>5.1546391752577319E-3</v>
      </c>
      <c r="Q51" s="3">
        <f>1/80</f>
        <v>1.2500000000000001E-2</v>
      </c>
      <c r="R51" s="3">
        <f>1/150</f>
        <v>6.6666666666666671E-3</v>
      </c>
      <c r="S51" s="3">
        <f>1/168</f>
        <v>5.9523809523809521E-3</v>
      </c>
      <c r="T51" s="3">
        <f>1/72</f>
        <v>1.3888888888888888E-2</v>
      </c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t="s">
        <v>29</v>
      </c>
      <c r="B52" s="2">
        <v>236123</v>
      </c>
      <c r="C52" s="2">
        <v>191502</v>
      </c>
      <c r="D52" s="2"/>
      <c r="E52" s="2">
        <v>163937</v>
      </c>
      <c r="F52" s="2">
        <v>233633</v>
      </c>
      <c r="G52" s="2">
        <v>251428</v>
      </c>
      <c r="H52" s="2">
        <v>238654</v>
      </c>
      <c r="I52" s="2">
        <v>352634</v>
      </c>
      <c r="J52" s="2">
        <v>551761</v>
      </c>
      <c r="L52" t="s">
        <v>29</v>
      </c>
      <c r="M52" s="3">
        <f>1/153</f>
        <v>6.5359477124183009E-3</v>
      </c>
      <c r="N52" s="3">
        <f>1/188</f>
        <v>5.3191489361702126E-3</v>
      </c>
      <c r="P52" s="3">
        <f>1/220</f>
        <v>4.5454545454545452E-3</v>
      </c>
      <c r="Q52" s="3">
        <f>1/154</f>
        <v>6.4935064935064939E-3</v>
      </c>
      <c r="R52" s="3">
        <f>1/143</f>
        <v>6.993006993006993E-3</v>
      </c>
      <c r="S52" s="3">
        <f>1/151</f>
        <v>6.6225165562913907E-3</v>
      </c>
      <c r="T52" s="3">
        <f>1/102</f>
        <v>9.8039215686274508E-3</v>
      </c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t="s">
        <v>35</v>
      </c>
      <c r="B53" s="4">
        <v>1766011</v>
      </c>
      <c r="C53" s="4">
        <v>1489850</v>
      </c>
      <c r="D53" s="4"/>
      <c r="E53" s="4">
        <v>1512626</v>
      </c>
      <c r="F53" s="4">
        <v>2625678</v>
      </c>
      <c r="G53" s="4">
        <v>2056752</v>
      </c>
      <c r="H53" s="4">
        <v>1847818</v>
      </c>
      <c r="I53" s="4">
        <v>3252450</v>
      </c>
      <c r="J53" s="2">
        <v>5292933</v>
      </c>
      <c r="L53" t="s">
        <v>35</v>
      </c>
      <c r="M53" s="3">
        <f>1/253</f>
        <v>3.952569169960474E-3</v>
      </c>
      <c r="N53" s="3">
        <f>1/300</f>
        <v>3.3333333333333335E-3</v>
      </c>
      <c r="P53" s="3">
        <f>1/296</f>
        <v>3.3783783783783786E-3</v>
      </c>
      <c r="Q53" s="3">
        <f>1/170</f>
        <v>5.8823529411764705E-3</v>
      </c>
      <c r="R53" s="3">
        <f>1/217</f>
        <v>4.608294930875576E-3</v>
      </c>
      <c r="S53" s="3">
        <f>1/242</f>
        <v>4.1322314049586778E-3</v>
      </c>
      <c r="T53" s="3">
        <f>1/137</f>
        <v>7.2992700729927005E-3</v>
      </c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J54" s="2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J55" s="2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t="s">
        <v>40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6</v>
      </c>
      <c r="H56" t="s">
        <v>5</v>
      </c>
      <c r="I56" t="s">
        <v>31</v>
      </c>
      <c r="J56" s="2"/>
      <c r="L56" t="s">
        <v>46</v>
      </c>
      <c r="M56" t="s">
        <v>0</v>
      </c>
      <c r="N56" t="s">
        <v>1</v>
      </c>
      <c r="O56" t="s">
        <v>2</v>
      </c>
      <c r="P56" t="s">
        <v>3</v>
      </c>
      <c r="Q56" t="s">
        <v>4</v>
      </c>
      <c r="R56" t="s">
        <v>6</v>
      </c>
      <c r="S56" t="s">
        <v>5</v>
      </c>
      <c r="T56" t="s">
        <v>31</v>
      </c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t="s">
        <v>19</v>
      </c>
      <c r="B57" s="2">
        <v>97521</v>
      </c>
      <c r="C57" s="2">
        <v>68313</v>
      </c>
      <c r="D57" s="2">
        <v>109405</v>
      </c>
      <c r="E57" s="2"/>
      <c r="F57" s="2">
        <v>105303</v>
      </c>
      <c r="G57" s="2">
        <v>126669</v>
      </c>
      <c r="H57" s="2">
        <v>127713</v>
      </c>
      <c r="I57" s="2">
        <v>206359</v>
      </c>
      <c r="J57" s="2">
        <v>326374</v>
      </c>
      <c r="L57" t="s">
        <v>19</v>
      </c>
      <c r="M57" s="3">
        <f>1/373</f>
        <v>2.6809651474530832E-3</v>
      </c>
      <c r="N57" s="3">
        <f>1/533</f>
        <v>1.876172607879925E-3</v>
      </c>
      <c r="O57" s="3">
        <f>1/333</f>
        <v>3.003003003003003E-3</v>
      </c>
      <c r="Q57" s="3">
        <f>1/346</f>
        <v>2.8901734104046241E-3</v>
      </c>
      <c r="R57" s="3">
        <f>1/287</f>
        <v>3.4843205574912892E-3</v>
      </c>
      <c r="S57" s="3">
        <f>1/285</f>
        <v>3.5087719298245615E-3</v>
      </c>
      <c r="T57" s="3">
        <f>1/176</f>
        <v>5.681818181818182E-3</v>
      </c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t="s">
        <v>20</v>
      </c>
      <c r="B58" s="2">
        <v>92579</v>
      </c>
      <c r="C58" s="2">
        <v>69167</v>
      </c>
      <c r="D58" s="2">
        <v>75827</v>
      </c>
      <c r="E58" s="2"/>
      <c r="F58" s="2">
        <v>148700</v>
      </c>
      <c r="G58" s="2">
        <v>101606</v>
      </c>
      <c r="H58" s="2">
        <v>93949</v>
      </c>
      <c r="I58" s="2">
        <v>170337</v>
      </c>
      <c r="J58" s="2">
        <v>272830</v>
      </c>
      <c r="L58" t="s">
        <v>20</v>
      </c>
      <c r="M58" s="3">
        <f>1/315</f>
        <v>3.1746031746031746E-3</v>
      </c>
      <c r="N58" s="3">
        <f>1/421</f>
        <v>2.3752969121140144E-3</v>
      </c>
      <c r="O58" s="3">
        <f>1/384</f>
        <v>2.6041666666666665E-3</v>
      </c>
      <c r="Q58" s="3">
        <f>1/196</f>
        <v>5.1020408163265302E-3</v>
      </c>
      <c r="R58" s="3">
        <f>1/287</f>
        <v>3.4843205574912892E-3</v>
      </c>
      <c r="S58" s="3">
        <f>1/310</f>
        <v>3.2258064516129032E-3</v>
      </c>
      <c r="T58" s="3">
        <f>1/171</f>
        <v>5.8479532163742687E-3</v>
      </c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t="s">
        <v>21</v>
      </c>
      <c r="B59" s="2">
        <v>174037</v>
      </c>
      <c r="C59" s="2">
        <v>131127</v>
      </c>
      <c r="D59" s="2">
        <v>142225</v>
      </c>
      <c r="E59" s="2"/>
      <c r="F59" s="2">
        <v>268354</v>
      </c>
      <c r="G59" s="2">
        <v>198801</v>
      </c>
      <c r="H59" s="2">
        <v>192545</v>
      </c>
      <c r="I59" s="2">
        <v>352945</v>
      </c>
      <c r="J59" s="2">
        <v>523229</v>
      </c>
      <c r="L59" t="s">
        <v>21</v>
      </c>
      <c r="M59" s="3">
        <f>1/337</f>
        <v>2.967359050445104E-3</v>
      </c>
      <c r="N59" s="3">
        <f>1/447</f>
        <v>2.2371364653243847E-3</v>
      </c>
      <c r="O59" s="3">
        <f>1/412</f>
        <v>2.4271844660194173E-3</v>
      </c>
      <c r="Q59" s="3">
        <f>1/218</f>
        <v>4.5871559633027525E-3</v>
      </c>
      <c r="R59" s="3">
        <f>1/295</f>
        <v>3.3898305084745762E-3</v>
      </c>
      <c r="S59" s="3">
        <f>1/304</f>
        <v>3.2894736842105261E-3</v>
      </c>
      <c r="T59" s="3">
        <f>1/166</f>
        <v>6.024096385542169E-3</v>
      </c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t="s">
        <v>22</v>
      </c>
      <c r="B60" s="2">
        <v>172602</v>
      </c>
      <c r="C60" s="2">
        <v>153549</v>
      </c>
      <c r="D60" s="2">
        <v>181717</v>
      </c>
      <c r="E60" s="2"/>
      <c r="F60" s="2">
        <v>323537</v>
      </c>
      <c r="G60" s="2">
        <v>271357</v>
      </c>
      <c r="H60" s="2">
        <v>163772</v>
      </c>
      <c r="I60" s="2">
        <v>422250</v>
      </c>
      <c r="J60" s="2">
        <v>664986</v>
      </c>
      <c r="L60" t="s">
        <v>22</v>
      </c>
      <c r="M60" s="3">
        <f>1/188</f>
        <v>5.3191489361702126E-3</v>
      </c>
      <c r="N60" s="3">
        <f>1/212</f>
        <v>4.7169811320754715E-3</v>
      </c>
      <c r="O60" s="3">
        <f>1/179</f>
        <v>5.5865921787709499E-3</v>
      </c>
      <c r="Q60" s="3">
        <f>1/100</f>
        <v>0.01</v>
      </c>
      <c r="R60" s="3">
        <f>1/120</f>
        <v>8.3333333333333332E-3</v>
      </c>
      <c r="S60" s="3">
        <f>1/199</f>
        <v>5.0251256281407036E-3</v>
      </c>
      <c r="T60" s="3">
        <f>1/77</f>
        <v>1.2987012987012988E-2</v>
      </c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t="s">
        <v>23</v>
      </c>
      <c r="B61" s="2">
        <v>115034</v>
      </c>
      <c r="C61" s="2">
        <v>108424</v>
      </c>
      <c r="D61" s="2">
        <v>129107</v>
      </c>
      <c r="E61" s="2"/>
      <c r="F61" s="2">
        <v>182331</v>
      </c>
      <c r="G61" s="2">
        <v>139065</v>
      </c>
      <c r="H61" s="2">
        <v>133303</v>
      </c>
      <c r="I61" s="2">
        <v>227913</v>
      </c>
      <c r="J61" s="2">
        <v>370614</v>
      </c>
      <c r="L61" t="s">
        <v>23</v>
      </c>
      <c r="M61" s="3">
        <f>1/370</f>
        <v>2.7027027027027029E-3</v>
      </c>
      <c r="N61" s="3">
        <f>1/393</f>
        <v>2.5445292620865142E-3</v>
      </c>
      <c r="O61" s="3">
        <f>1/330</f>
        <v>3.0303030303030303E-3</v>
      </c>
      <c r="Q61" s="3">
        <f>1/233</f>
        <v>4.2918454935622317E-3</v>
      </c>
      <c r="R61" s="3">
        <f>1/306</f>
        <v>3.2679738562091504E-3</v>
      </c>
      <c r="S61" s="3">
        <f>1/319</f>
        <v>3.134796238244514E-3</v>
      </c>
      <c r="T61" s="3">
        <f>1/186</f>
        <v>5.3763440860215058E-3</v>
      </c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t="s">
        <v>24</v>
      </c>
      <c r="B62" s="2">
        <v>100978</v>
      </c>
      <c r="C62" s="2">
        <v>107214</v>
      </c>
      <c r="D62" s="2">
        <v>83463</v>
      </c>
      <c r="E62" s="2"/>
      <c r="F62" s="2">
        <v>152818</v>
      </c>
      <c r="G62" s="2">
        <v>138265</v>
      </c>
      <c r="H62" s="2">
        <v>141595</v>
      </c>
      <c r="I62" s="2">
        <v>220441</v>
      </c>
      <c r="J62" s="2">
        <v>335953</v>
      </c>
      <c r="L62" t="s">
        <v>24</v>
      </c>
      <c r="M62" s="3">
        <f>1/300</f>
        <v>3.3333333333333335E-3</v>
      </c>
      <c r="N62" s="3">
        <f>1/283</f>
        <v>3.5335689045936395E-3</v>
      </c>
      <c r="O62" s="3">
        <f>1/363</f>
        <v>2.7548209366391185E-3</v>
      </c>
      <c r="Q62" s="3">
        <f>1/198</f>
        <v>5.0505050505050509E-3</v>
      </c>
      <c r="R62" s="3">
        <f>1/219</f>
        <v>4.5662100456621002E-3</v>
      </c>
      <c r="S62" s="3">
        <f>1/214</f>
        <v>4.6728971962616819E-3</v>
      </c>
      <c r="T62" s="3">
        <f>1/137</f>
        <v>7.2992700729927005E-3</v>
      </c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t="s">
        <v>25</v>
      </c>
      <c r="B63" s="2">
        <v>97356</v>
      </c>
      <c r="C63" s="2">
        <v>74208</v>
      </c>
      <c r="D63" s="2">
        <v>76043</v>
      </c>
      <c r="E63" s="2"/>
      <c r="F63" s="2">
        <v>168303</v>
      </c>
      <c r="G63" s="2">
        <v>105999</v>
      </c>
      <c r="H63" s="2">
        <v>122581</v>
      </c>
      <c r="I63" s="2">
        <v>216228</v>
      </c>
      <c r="J63" s="2">
        <v>327548</v>
      </c>
      <c r="L63" t="s">
        <v>25</v>
      </c>
      <c r="M63" s="3">
        <f>1/380</f>
        <v>2.631578947368421E-3</v>
      </c>
      <c r="N63" s="3">
        <f>1/499</f>
        <v>2.004008016032064E-3</v>
      </c>
      <c r="O63" s="3">
        <f>1/487</f>
        <v>2.0533880903490761E-3</v>
      </c>
      <c r="Q63" s="3">
        <f>1/220</f>
        <v>4.5454545454545452E-3</v>
      </c>
      <c r="R63" s="3">
        <f>1/349</f>
        <v>2.8653295128939827E-3</v>
      </c>
      <c r="S63" s="3">
        <f>1/302</f>
        <v>3.3112582781456954E-3</v>
      </c>
      <c r="T63" s="3">
        <f>1/171</f>
        <v>5.8479532163742687E-3</v>
      </c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t="s">
        <v>26</v>
      </c>
      <c r="B64" s="2">
        <v>114223</v>
      </c>
      <c r="C64" s="2">
        <v>85718</v>
      </c>
      <c r="D64" s="2">
        <v>101353</v>
      </c>
      <c r="E64" s="2"/>
      <c r="F64" s="2">
        <v>156589</v>
      </c>
      <c r="G64" s="2">
        <v>130449</v>
      </c>
      <c r="H64" s="2">
        <v>98143</v>
      </c>
      <c r="I64" s="2">
        <v>214473</v>
      </c>
      <c r="J64" s="2">
        <v>338945</v>
      </c>
      <c r="L64" t="s">
        <v>26</v>
      </c>
      <c r="M64" s="3">
        <f>1/292</f>
        <v>3.4246575342465752E-3</v>
      </c>
      <c r="N64" s="3">
        <f>1/389</f>
        <v>2.5706940874035988E-3</v>
      </c>
      <c r="O64" s="3">
        <f>1/329</f>
        <v>3.0395136778115501E-3</v>
      </c>
      <c r="Q64" s="3">
        <f>1/213</f>
        <v>4.6948356807511738E-3</v>
      </c>
      <c r="R64" s="3">
        <f>1/256</f>
        <v>3.90625E-3</v>
      </c>
      <c r="S64" s="3">
        <f>1/340</f>
        <v>2.9411764705882353E-3</v>
      </c>
      <c r="T64" s="3">
        <f>1/155</f>
        <v>6.4516129032258064E-3</v>
      </c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t="s">
        <v>27</v>
      </c>
      <c r="B65" s="2">
        <v>136454</v>
      </c>
      <c r="C65" s="2">
        <v>105112</v>
      </c>
      <c r="D65" s="2">
        <v>100171</v>
      </c>
      <c r="E65" s="2"/>
      <c r="F65" s="2">
        <v>103665</v>
      </c>
      <c r="G65" s="2">
        <v>106065</v>
      </c>
      <c r="H65" s="2">
        <v>100506</v>
      </c>
      <c r="I65" s="2">
        <v>166962</v>
      </c>
      <c r="J65" s="2">
        <v>291787</v>
      </c>
      <c r="L65" t="s">
        <v>27</v>
      </c>
      <c r="M65" s="3">
        <f>1/277</f>
        <v>3.6101083032490976E-3</v>
      </c>
      <c r="N65" s="3">
        <f>1/359</f>
        <v>2.7855153203342618E-3</v>
      </c>
      <c r="O65" s="3">
        <f>1/377</f>
        <v>2.6525198938992041E-3</v>
      </c>
      <c r="Q65" s="3">
        <f>1/364</f>
        <v>2.7472527472527475E-3</v>
      </c>
      <c r="R65" s="3">
        <f>1/356</f>
        <v>2.8089887640449437E-3</v>
      </c>
      <c r="S65" s="3">
        <f>1/376</f>
        <v>2.6595744680851063E-3</v>
      </c>
      <c r="T65" s="3">
        <f>1/226</f>
        <v>4.4247787610619468E-3</v>
      </c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t="s">
        <v>28</v>
      </c>
      <c r="B66" s="2">
        <v>284218</v>
      </c>
      <c r="C66" s="2">
        <v>203550</v>
      </c>
      <c r="D66" s="2">
        <v>171237</v>
      </c>
      <c r="E66" s="2"/>
      <c r="F66" s="2">
        <v>414162</v>
      </c>
      <c r="G66" s="2">
        <v>227306</v>
      </c>
      <c r="H66" s="2">
        <v>202369</v>
      </c>
      <c r="I66" s="2">
        <v>455581</v>
      </c>
      <c r="J66" s="2">
        <v>703328</v>
      </c>
      <c r="L66" t="s">
        <v>28</v>
      </c>
      <c r="M66" s="3">
        <f>1/118</f>
        <v>8.4745762711864406E-3</v>
      </c>
      <c r="N66" s="3">
        <f>1/165</f>
        <v>6.0606060606060606E-3</v>
      </c>
      <c r="O66" s="3">
        <f>1/196</f>
        <v>5.1020408163265302E-3</v>
      </c>
      <c r="Q66" s="3">
        <f>1/81</f>
        <v>1.2345679012345678E-2</v>
      </c>
      <c r="R66" s="3">
        <f>1/147</f>
        <v>6.8027210884353739E-3</v>
      </c>
      <c r="S66" s="3">
        <f>1/166</f>
        <v>6.024096385542169E-3</v>
      </c>
      <c r="T66" s="3">
        <f>1/73</f>
        <v>1.3698630136986301E-2</v>
      </c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t="s">
        <v>29</v>
      </c>
      <c r="B67" s="2">
        <v>204889</v>
      </c>
      <c r="C67" s="2">
        <v>179404</v>
      </c>
      <c r="D67" s="2">
        <v>158070</v>
      </c>
      <c r="E67" s="2"/>
      <c r="F67" s="2">
        <v>196280</v>
      </c>
      <c r="G67" s="2">
        <v>211388</v>
      </c>
      <c r="H67" s="2">
        <v>209992</v>
      </c>
      <c r="I67" s="2">
        <v>334764</v>
      </c>
      <c r="J67" s="2">
        <v>529029</v>
      </c>
      <c r="L67" t="s">
        <v>29</v>
      </c>
      <c r="M67" s="3">
        <f>1/169</f>
        <v>5.9171597633136093E-3</v>
      </c>
      <c r="N67" s="3">
        <f>1/193</f>
        <v>5.1813471502590676E-3</v>
      </c>
      <c r="O67" s="3">
        <f>1/220</f>
        <v>4.5454545454545452E-3</v>
      </c>
      <c r="Q67" s="3">
        <f>1/177</f>
        <v>5.6497175141242938E-3</v>
      </c>
      <c r="R67" s="3">
        <f>1/164</f>
        <v>6.0975609756097563E-3</v>
      </c>
      <c r="S67" s="3">
        <f>1/165</f>
        <v>6.0606060606060606E-3</v>
      </c>
      <c r="T67" s="3">
        <f>1/103</f>
        <v>9.7087378640776691E-3</v>
      </c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t="s">
        <v>35</v>
      </c>
      <c r="B68" s="4">
        <v>1813050</v>
      </c>
      <c r="C68" s="4">
        <v>1485875</v>
      </c>
      <c r="D68" s="4">
        <v>1539212</v>
      </c>
      <c r="E68" s="4"/>
      <c r="F68" s="4">
        <v>2468787</v>
      </c>
      <c r="G68" s="4">
        <v>2002988</v>
      </c>
      <c r="H68" s="4">
        <v>1811927</v>
      </c>
      <c r="I68" s="4">
        <v>3232415</v>
      </c>
      <c r="J68" s="2">
        <v>5303979</v>
      </c>
      <c r="L68" t="s">
        <v>35</v>
      </c>
      <c r="M68" s="3">
        <f>1/246</f>
        <v>4.0650406504065045E-3</v>
      </c>
      <c r="N68" s="3">
        <f>1/301</f>
        <v>3.3222591362126247E-3</v>
      </c>
      <c r="O68" s="3">
        <f>1/290</f>
        <v>3.4482758620689655E-3</v>
      </c>
      <c r="Q68" s="3">
        <f>1/181</f>
        <v>5.5248618784530384E-3</v>
      </c>
      <c r="R68" s="3">
        <f>1/223</f>
        <v>4.4843049327354259E-3</v>
      </c>
      <c r="S68" s="3">
        <f>1/247</f>
        <v>4.048582995951417E-3</v>
      </c>
      <c r="T68" s="3">
        <f>1/138</f>
        <v>7.246376811594203E-3</v>
      </c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J69" s="2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J70" s="2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t="s">
        <v>39</v>
      </c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6</v>
      </c>
      <c r="H71" t="s">
        <v>5</v>
      </c>
      <c r="I71" t="s">
        <v>31</v>
      </c>
      <c r="J71" s="2"/>
      <c r="L71" t="s">
        <v>47</v>
      </c>
      <c r="M71" t="s">
        <v>0</v>
      </c>
      <c r="N71" t="s">
        <v>1</v>
      </c>
      <c r="O71" t="s">
        <v>2</v>
      </c>
      <c r="P71" t="s">
        <v>3</v>
      </c>
      <c r="Q71" t="s">
        <v>4</v>
      </c>
      <c r="R71" t="s">
        <v>6</v>
      </c>
      <c r="S71" t="s">
        <v>5</v>
      </c>
      <c r="T71" t="s">
        <v>31</v>
      </c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t="s">
        <v>19</v>
      </c>
      <c r="B72" s="2">
        <v>91874</v>
      </c>
      <c r="C72" s="2">
        <v>113076</v>
      </c>
      <c r="D72" s="2">
        <v>161168</v>
      </c>
      <c r="E72" s="2">
        <v>103882</v>
      </c>
      <c r="F72" s="2"/>
      <c r="G72" s="2">
        <v>168515</v>
      </c>
      <c r="H72" s="2">
        <v>166802</v>
      </c>
      <c r="I72" s="2">
        <v>216807</v>
      </c>
      <c r="J72" s="2">
        <v>333538</v>
      </c>
      <c r="L72" t="s">
        <v>19</v>
      </c>
      <c r="M72" s="3">
        <f>1/399</f>
        <v>2.5062656641604009E-3</v>
      </c>
      <c r="N72" s="3">
        <f>1/324</f>
        <v>3.0864197530864196E-3</v>
      </c>
      <c r="O72" s="3">
        <f>1/227</f>
        <v>4.4052863436123352E-3</v>
      </c>
      <c r="P72" s="3">
        <f>1/353</f>
        <v>2.8328611898016999E-3</v>
      </c>
      <c r="R72" s="3">
        <f>1/218</f>
        <v>4.5871559633027525E-3</v>
      </c>
      <c r="S72" s="3">
        <f>1/220</f>
        <v>4.5454545454545452E-3</v>
      </c>
      <c r="T72" s="3">
        <f>1/169</f>
        <v>5.9171597633136093E-3</v>
      </c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t="s">
        <v>20</v>
      </c>
      <c r="B73" s="2">
        <v>126293</v>
      </c>
      <c r="C73" s="2">
        <v>143949</v>
      </c>
      <c r="D73" s="2">
        <v>153442</v>
      </c>
      <c r="E73" s="2">
        <v>148989</v>
      </c>
      <c r="F73" s="2"/>
      <c r="G73" s="2">
        <v>137585</v>
      </c>
      <c r="H73" s="2">
        <v>138315</v>
      </c>
      <c r="I73" s="2">
        <v>187928</v>
      </c>
      <c r="J73" s="2">
        <v>284568</v>
      </c>
      <c r="L73" t="s">
        <v>20</v>
      </c>
      <c r="M73" s="3">
        <f>1/234</f>
        <v>4.2735042735042739E-3</v>
      </c>
      <c r="N73" s="3">
        <f>1/206</f>
        <v>4.8543689320388345E-3</v>
      </c>
      <c r="O73" s="3">
        <f>1/193</f>
        <v>5.1813471502590676E-3</v>
      </c>
      <c r="P73" s="3">
        <f>1/199</f>
        <v>5.0251256281407036E-3</v>
      </c>
      <c r="R73" s="3">
        <f>1/215</f>
        <v>4.6511627906976744E-3</v>
      </c>
      <c r="S73" s="3">
        <f>1/214</f>
        <v>4.6728971962616819E-3</v>
      </c>
      <c r="T73" s="3">
        <f>1/157</f>
        <v>6.369426751592357E-3</v>
      </c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t="s">
        <v>21</v>
      </c>
      <c r="B74" s="2">
        <v>241323</v>
      </c>
      <c r="C74" s="2">
        <v>264877</v>
      </c>
      <c r="D74" s="2">
        <v>268252</v>
      </c>
      <c r="E74" s="2">
        <v>259403</v>
      </c>
      <c r="F74" s="2"/>
      <c r="G74" s="2">
        <v>260967</v>
      </c>
      <c r="H74" s="2">
        <v>237299</v>
      </c>
      <c r="I74" s="2">
        <v>365236</v>
      </c>
      <c r="J74" s="2">
        <v>518015</v>
      </c>
      <c r="L74" t="s">
        <v>21</v>
      </c>
      <c r="M74" s="3">
        <f>1/242</f>
        <v>4.1322314049586778E-3</v>
      </c>
      <c r="N74" s="3">
        <f>1/220</f>
        <v>4.5454545454545452E-3</v>
      </c>
      <c r="O74" s="3">
        <f>1/217</f>
        <v>4.608294930875576E-3</v>
      </c>
      <c r="P74" s="3">
        <f>1/225</f>
        <v>4.4444444444444444E-3</v>
      </c>
      <c r="R74" s="3">
        <f>1/223</f>
        <v>4.4843049327354259E-3</v>
      </c>
      <c r="S74" s="3">
        <f>1/246</f>
        <v>4.0650406504065045E-3</v>
      </c>
      <c r="T74" s="3">
        <f>1/159</f>
        <v>6.2893081761006293E-3</v>
      </c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t="s">
        <v>22</v>
      </c>
      <c r="B75" s="2">
        <v>289436</v>
      </c>
      <c r="C75" s="2">
        <v>319385</v>
      </c>
      <c r="D75" s="2">
        <v>336192</v>
      </c>
      <c r="E75" s="2">
        <v>318484</v>
      </c>
      <c r="F75" s="2"/>
      <c r="G75" s="2">
        <v>336466</v>
      </c>
      <c r="H75" s="2">
        <v>330695</v>
      </c>
      <c r="I75" s="2">
        <v>469542</v>
      </c>
      <c r="J75" s="2">
        <v>665224</v>
      </c>
      <c r="L75" t="s">
        <v>22</v>
      </c>
      <c r="M75" s="3">
        <f>1/114</f>
        <v>8.771929824561403E-3</v>
      </c>
      <c r="N75" s="3">
        <f>1/103</f>
        <v>9.7087378640776691E-3</v>
      </c>
      <c r="O75" s="3">
        <f>1/98</f>
        <v>1.020408163265306E-2</v>
      </c>
      <c r="P75" s="3">
        <f>1/103</f>
        <v>9.7087378640776691E-3</v>
      </c>
      <c r="R75" s="3">
        <f>1/98</f>
        <v>1.020408163265306E-2</v>
      </c>
      <c r="S75" s="3">
        <f>1/99</f>
        <v>1.0101010101010102E-2</v>
      </c>
      <c r="T75" s="3">
        <f>1/70</f>
        <v>1.4285714285714285E-2</v>
      </c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t="s">
        <v>23</v>
      </c>
      <c r="B76" s="2">
        <v>153458</v>
      </c>
      <c r="C76" s="2">
        <v>177410</v>
      </c>
      <c r="D76" s="2">
        <v>176603</v>
      </c>
      <c r="E76" s="2">
        <v>181987</v>
      </c>
      <c r="F76" s="2"/>
      <c r="G76" s="2">
        <v>160677</v>
      </c>
      <c r="H76" s="2">
        <v>170232</v>
      </c>
      <c r="I76" s="2">
        <v>237222</v>
      </c>
      <c r="J76" s="2">
        <v>378141</v>
      </c>
      <c r="L76" t="s">
        <v>23</v>
      </c>
      <c r="M76" s="3">
        <f>1/283</f>
        <v>3.5335689045936395E-3</v>
      </c>
      <c r="N76" s="3">
        <f>1/245</f>
        <v>4.0816326530612249E-3</v>
      </c>
      <c r="O76" s="3">
        <f>1/246</f>
        <v>4.0650406504065045E-3</v>
      </c>
      <c r="P76" s="3">
        <f>1/238</f>
        <v>4.2016806722689074E-3</v>
      </c>
      <c r="R76" s="3">
        <f>1/270</f>
        <v>3.7037037037037038E-3</v>
      </c>
      <c r="S76" s="3">
        <f>1/255</f>
        <v>3.9215686274509803E-3</v>
      </c>
      <c r="T76" s="3">
        <f>1/183</f>
        <v>5.4644808743169399E-3</v>
      </c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t="s">
        <v>24</v>
      </c>
      <c r="B77" s="2">
        <v>141656</v>
      </c>
      <c r="C77" s="2">
        <v>129384</v>
      </c>
      <c r="D77" s="2">
        <v>160481</v>
      </c>
      <c r="E77" s="2">
        <v>148703</v>
      </c>
      <c r="F77" s="2"/>
      <c r="G77" s="2">
        <v>138169</v>
      </c>
      <c r="H77" s="2">
        <v>149094</v>
      </c>
      <c r="I77" s="2">
        <v>226347</v>
      </c>
      <c r="J77" s="2">
        <v>340630</v>
      </c>
      <c r="L77" t="s">
        <v>24</v>
      </c>
      <c r="M77" s="3">
        <f>1/218</f>
        <v>4.5871559633027525E-3</v>
      </c>
      <c r="N77" s="3">
        <f>1/239</f>
        <v>4.1841004184100415E-3</v>
      </c>
      <c r="O77" s="3">
        <f>1/193</f>
        <v>5.1813471502590676E-3</v>
      </c>
      <c r="P77" s="3">
        <f>1/208</f>
        <v>4.807692307692308E-3</v>
      </c>
      <c r="R77" s="3">
        <f>1/224</f>
        <v>4.464285714285714E-3</v>
      </c>
      <c r="S77" s="3">
        <f>1/207</f>
        <v>4.830917874396135E-3</v>
      </c>
      <c r="T77" s="3">
        <f>1/136</f>
        <v>7.3529411764705881E-3</v>
      </c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t="s">
        <v>25</v>
      </c>
      <c r="B78" s="2">
        <v>173542</v>
      </c>
      <c r="C78" s="2">
        <v>175296</v>
      </c>
      <c r="D78" s="2">
        <v>177032</v>
      </c>
      <c r="E78" s="2">
        <v>170859</v>
      </c>
      <c r="F78" s="2"/>
      <c r="G78" s="2">
        <v>164194</v>
      </c>
      <c r="H78" s="2">
        <v>156066</v>
      </c>
      <c r="I78" s="2">
        <v>233187</v>
      </c>
      <c r="J78" s="2">
        <v>339031</v>
      </c>
      <c r="L78" t="s">
        <v>25</v>
      </c>
      <c r="M78" s="3">
        <f>1/216</f>
        <v>4.6296296296296294E-3</v>
      </c>
      <c r="N78" s="3">
        <f>1/214</f>
        <v>4.6728971962616819E-3</v>
      </c>
      <c r="O78" s="3">
        <f>1/212</f>
        <v>4.7169811320754715E-3</v>
      </c>
      <c r="P78" s="3">
        <f>1/219</f>
        <v>4.5662100456621002E-3</v>
      </c>
      <c r="R78" s="3">
        <f>1/228</f>
        <v>4.3859649122807015E-3</v>
      </c>
      <c r="S78" s="3">
        <f>1/240</f>
        <v>4.1666666666666666E-3</v>
      </c>
      <c r="T78" s="3">
        <f>1/160</f>
        <v>6.2500000000000003E-3</v>
      </c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t="s">
        <v>26</v>
      </c>
      <c r="B79" s="2">
        <v>138548</v>
      </c>
      <c r="C79" s="2">
        <v>156974</v>
      </c>
      <c r="D79" s="2">
        <v>182036</v>
      </c>
      <c r="E79" s="2">
        <v>151368</v>
      </c>
      <c r="F79" s="2"/>
      <c r="G79" s="2">
        <v>151962</v>
      </c>
      <c r="H79" s="2">
        <v>152192</v>
      </c>
      <c r="I79" s="2">
        <v>220881</v>
      </c>
      <c r="J79" s="2">
        <v>339910</v>
      </c>
      <c r="L79" t="s">
        <v>26</v>
      </c>
      <c r="M79" s="3">
        <f>1/244</f>
        <v>4.0983606557377051E-3</v>
      </c>
      <c r="N79" s="3">
        <f>1/215</f>
        <v>4.6511627906976744E-3</v>
      </c>
      <c r="O79" s="3">
        <f>1/185</f>
        <v>5.4054054054054057E-3</v>
      </c>
      <c r="P79" s="3">
        <f>1/223</f>
        <v>4.4843049327354259E-3</v>
      </c>
      <c r="R79" s="3">
        <f>1/222</f>
        <v>4.5045045045045045E-3</v>
      </c>
      <c r="S79" s="3">
        <f>1/222</f>
        <v>4.5045045045045045E-3</v>
      </c>
      <c r="T79" s="3">
        <f>1/153</f>
        <v>6.5359477124183009E-3</v>
      </c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t="s">
        <v>27</v>
      </c>
      <c r="B80" s="2">
        <v>119525</v>
      </c>
      <c r="C80" s="2">
        <v>110369</v>
      </c>
      <c r="D80" s="2">
        <v>110678</v>
      </c>
      <c r="E80" s="2">
        <v>100612</v>
      </c>
      <c r="F80" s="2"/>
      <c r="G80" s="2">
        <v>97369</v>
      </c>
      <c r="H80" s="2">
        <v>97042</v>
      </c>
      <c r="I80" s="2">
        <v>166500</v>
      </c>
      <c r="J80" s="2">
        <v>291250</v>
      </c>
      <c r="L80" t="s">
        <v>27</v>
      </c>
      <c r="M80" s="3">
        <f>1/320</f>
        <v>3.1250000000000002E-3</v>
      </c>
      <c r="N80" s="3">
        <f>1/347</f>
        <v>2.881844380403458E-3</v>
      </c>
      <c r="O80" s="3">
        <f>1/346</f>
        <v>2.8901734104046241E-3</v>
      </c>
      <c r="P80" s="3">
        <f>1/381</f>
        <v>2.6246719160104987E-3</v>
      </c>
      <c r="R80" s="3">
        <f>1/393</f>
        <v>2.5445292620865142E-3</v>
      </c>
      <c r="S80" s="3">
        <f>1/395</f>
        <v>2.5316455696202532E-3</v>
      </c>
      <c r="T80" s="3">
        <f>1/230</f>
        <v>4.3478260869565218E-3</v>
      </c>
      <c r="V80" s="3"/>
      <c r="W80" s="3"/>
      <c r="X80" s="3"/>
      <c r="Y80" s="3"/>
      <c r="Z80" s="3"/>
      <c r="AA80" s="3"/>
      <c r="AB80" s="3"/>
      <c r="AC80" s="3"/>
    </row>
    <row r="81" spans="1:29" ht="20" x14ac:dyDescent="0.2">
      <c r="A81" t="s">
        <v>28</v>
      </c>
      <c r="B81" s="2">
        <v>203841</v>
      </c>
      <c r="C81" s="2">
        <v>399279</v>
      </c>
      <c r="D81" s="2">
        <v>414944</v>
      </c>
      <c r="E81" s="2">
        <v>414507</v>
      </c>
      <c r="F81" s="2"/>
      <c r="G81" s="2">
        <v>383503</v>
      </c>
      <c r="H81" s="2">
        <v>409293</v>
      </c>
      <c r="I81" s="2">
        <v>531092</v>
      </c>
      <c r="J81" s="2">
        <v>748058</v>
      </c>
      <c r="K81" s="6"/>
      <c r="L81" t="s">
        <v>28</v>
      </c>
      <c r="M81" s="3">
        <f>1/175</f>
        <v>5.7142857142857143E-3</v>
      </c>
      <c r="N81" s="3">
        <f>1/89</f>
        <v>1.1235955056179775E-2</v>
      </c>
      <c r="O81" s="3">
        <f>1/86</f>
        <v>1.1627906976744186E-2</v>
      </c>
      <c r="P81" s="3">
        <f>1/86</f>
        <v>1.1627906976744186E-2</v>
      </c>
      <c r="R81" s="3">
        <f>1/93</f>
        <v>1.0752688172043012E-2</v>
      </c>
      <c r="S81" s="3">
        <f>1/87</f>
        <v>1.1494252873563218E-2</v>
      </c>
      <c r="T81" s="3">
        <f>1/67</f>
        <v>1.4925373134328358E-2</v>
      </c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t="s">
        <v>29</v>
      </c>
      <c r="B82" s="2">
        <v>121065</v>
      </c>
      <c r="C82" s="2">
        <v>231533</v>
      </c>
      <c r="D82" s="2">
        <v>222886</v>
      </c>
      <c r="E82" s="2">
        <v>194066</v>
      </c>
      <c r="F82" s="2"/>
      <c r="G82" s="2">
        <v>223553</v>
      </c>
      <c r="H82" s="2">
        <v>216663</v>
      </c>
      <c r="I82" s="2">
        <v>336849</v>
      </c>
      <c r="J82" s="2">
        <v>536619</v>
      </c>
      <c r="L82" t="s">
        <v>29</v>
      </c>
      <c r="M82" s="3">
        <f>1/294</f>
        <v>3.4013605442176869E-3</v>
      </c>
      <c r="N82" s="3">
        <f>1/153</f>
        <v>6.5359477124183009E-3</v>
      </c>
      <c r="O82" s="3">
        <f>1/159</f>
        <v>6.2893081761006293E-3</v>
      </c>
      <c r="P82" s="3">
        <f>1/183</f>
        <v>5.4644808743169399E-3</v>
      </c>
      <c r="R82" s="3">
        <f>1/159</f>
        <v>6.2893081761006293E-3</v>
      </c>
      <c r="S82" s="3">
        <f>1/164</f>
        <v>6.0975609756097563E-3</v>
      </c>
      <c r="T82" s="3">
        <f>1/105</f>
        <v>9.5238095238095247E-3</v>
      </c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t="s">
        <v>35</v>
      </c>
      <c r="B83" s="4">
        <v>2029638</v>
      </c>
      <c r="C83" s="4">
        <v>2427619</v>
      </c>
      <c r="D83" s="4">
        <v>2605364</v>
      </c>
      <c r="E83" s="4">
        <v>2417122</v>
      </c>
      <c r="F83" s="4"/>
      <c r="G83" s="4">
        <v>2440589</v>
      </c>
      <c r="H83" s="4">
        <v>2424480</v>
      </c>
      <c r="I83" s="4">
        <v>3438834</v>
      </c>
      <c r="J83" s="2">
        <v>5349217</v>
      </c>
      <c r="L83" t="s">
        <v>35</v>
      </c>
      <c r="M83" s="3">
        <f>1/223</f>
        <v>4.4843049327354259E-3</v>
      </c>
      <c r="N83" s="3">
        <f>1/187</f>
        <v>5.3475935828877002E-3</v>
      </c>
      <c r="O83" s="3">
        <f>1/174</f>
        <v>5.7471264367816091E-3</v>
      </c>
      <c r="P83" s="3">
        <f>1/187</f>
        <v>5.3475935828877002E-3</v>
      </c>
      <c r="R83" s="3">
        <f>1/186</f>
        <v>5.3763440860215058E-3</v>
      </c>
      <c r="S83" s="3">
        <f>1/187</f>
        <v>5.3475935828877002E-3</v>
      </c>
      <c r="T83" s="3">
        <f>1/132</f>
        <v>7.575757575757576E-3</v>
      </c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J84" s="2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J85" s="2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t="s">
        <v>37</v>
      </c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6</v>
      </c>
      <c r="H86" t="s">
        <v>5</v>
      </c>
      <c r="I86" t="s">
        <v>31</v>
      </c>
      <c r="J86" s="2"/>
      <c r="L86" t="s">
        <v>49</v>
      </c>
      <c r="M86" t="s">
        <v>0</v>
      </c>
      <c r="N86" t="s">
        <v>1</v>
      </c>
      <c r="O86" t="s">
        <v>2</v>
      </c>
      <c r="P86" t="s">
        <v>3</v>
      </c>
      <c r="Q86" t="s">
        <v>4</v>
      </c>
      <c r="R86" t="s">
        <v>6</v>
      </c>
      <c r="S86" t="s">
        <v>5</v>
      </c>
      <c r="T86" t="s">
        <v>31</v>
      </c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t="s">
        <v>19</v>
      </c>
      <c r="B87" s="2">
        <v>163623</v>
      </c>
      <c r="C87" s="2">
        <v>116729</v>
      </c>
      <c r="D87" s="2">
        <v>150563</v>
      </c>
      <c r="E87" s="2">
        <v>132867</v>
      </c>
      <c r="F87" s="2">
        <v>177439</v>
      </c>
      <c r="G87" s="2"/>
      <c r="H87" s="2">
        <v>92367</v>
      </c>
      <c r="I87" s="2">
        <v>226854</v>
      </c>
      <c r="J87" s="2">
        <v>353713</v>
      </c>
      <c r="L87" t="s">
        <v>19</v>
      </c>
      <c r="M87" s="3">
        <f>1/234</f>
        <v>4.2735042735042739E-3</v>
      </c>
      <c r="N87" s="3">
        <f>1/328</f>
        <v>3.0487804878048782E-3</v>
      </c>
      <c r="O87" s="3">
        <f>1/254</f>
        <v>3.937007874015748E-3</v>
      </c>
      <c r="P87" s="3">
        <f>1/288</f>
        <v>3.472222222222222E-3</v>
      </c>
      <c r="Q87" s="3">
        <f>1/216</f>
        <v>4.6296296296296294E-3</v>
      </c>
      <c r="S87" s="3">
        <f>1/415</f>
        <v>2.4096385542168677E-3</v>
      </c>
      <c r="T87" s="3">
        <f>1/168</f>
        <v>5.9523809523809521E-3</v>
      </c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t="s">
        <v>20</v>
      </c>
      <c r="B88" s="2">
        <v>110095</v>
      </c>
      <c r="C88" s="2">
        <v>94150</v>
      </c>
      <c r="D88" s="2">
        <v>101721</v>
      </c>
      <c r="E88" s="2">
        <v>101195</v>
      </c>
      <c r="F88" s="2">
        <v>137262</v>
      </c>
      <c r="G88" s="2"/>
      <c r="H88" s="2">
        <v>62083</v>
      </c>
      <c r="I88" s="2">
        <v>177683</v>
      </c>
      <c r="J88" s="2">
        <v>287159</v>
      </c>
      <c r="L88" t="s">
        <v>20</v>
      </c>
      <c r="M88" s="3">
        <f>1/280</f>
        <v>3.5714285714285713E-3</v>
      </c>
      <c r="N88" s="3">
        <f>1/327</f>
        <v>3.0581039755351682E-3</v>
      </c>
      <c r="O88" s="3">
        <f>1/303</f>
        <v>3.3003300330033004E-3</v>
      </c>
      <c r="P88" s="3">
        <f>1/305</f>
        <v>3.2786885245901639E-3</v>
      </c>
      <c r="Q88" s="3">
        <f>1/224</f>
        <v>4.464285714285714E-3</v>
      </c>
      <c r="S88" s="3">
        <f>1/497</f>
        <v>2.012072434607646E-3</v>
      </c>
      <c r="T88" s="3">
        <f>1/173</f>
        <v>5.7803468208092483E-3</v>
      </c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t="s">
        <v>21</v>
      </c>
      <c r="B89" s="2">
        <v>214401</v>
      </c>
      <c r="C89" s="2">
        <v>186890</v>
      </c>
      <c r="D89" s="2">
        <v>202010</v>
      </c>
      <c r="E89" s="2">
        <v>200844</v>
      </c>
      <c r="F89" s="2">
        <v>266297</v>
      </c>
      <c r="G89" s="2"/>
      <c r="H89" s="2">
        <v>140157</v>
      </c>
      <c r="I89" s="2">
        <v>368805</v>
      </c>
      <c r="J89" s="2">
        <v>547054</v>
      </c>
      <c r="L89" t="s">
        <v>21</v>
      </c>
      <c r="M89" s="3">
        <f>1/283</f>
        <v>3.5335689045936395E-3</v>
      </c>
      <c r="N89" s="3">
        <f>1/324</f>
        <v>3.0864197530864196E-3</v>
      </c>
      <c r="O89" s="3">
        <f>1/300</f>
        <v>3.3333333333333335E-3</v>
      </c>
      <c r="P89" s="3">
        <f>1/302</f>
        <v>3.3112582781456954E-3</v>
      </c>
      <c r="Q89" s="3">
        <f>1/227</f>
        <v>4.4052863436123352E-3</v>
      </c>
      <c r="S89" s="3">
        <f>1/433</f>
        <v>2.3094688221709007E-3</v>
      </c>
      <c r="T89" s="3">
        <f>1/164</f>
        <v>6.0975609756097563E-3</v>
      </c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t="s">
        <v>22</v>
      </c>
      <c r="B90" s="2">
        <v>266586</v>
      </c>
      <c r="C90" s="2">
        <v>253255</v>
      </c>
      <c r="D90" s="2">
        <v>263717</v>
      </c>
      <c r="E90" s="2">
        <v>271813</v>
      </c>
      <c r="F90" s="2">
        <v>349497</v>
      </c>
      <c r="G90" s="2"/>
      <c r="H90" s="2">
        <v>212221</v>
      </c>
      <c r="I90" s="2">
        <v>470176</v>
      </c>
      <c r="J90" s="2">
        <v>703278</v>
      </c>
      <c r="L90" t="s">
        <v>22</v>
      </c>
      <c r="M90" s="3">
        <f>1/130</f>
        <v>7.6923076923076927E-3</v>
      </c>
      <c r="N90" s="3">
        <f>1/137</f>
        <v>7.2992700729927005E-3</v>
      </c>
      <c r="O90" s="3">
        <f>1/131</f>
        <v>7.6335877862595417E-3</v>
      </c>
      <c r="P90" s="3">
        <f>1/127</f>
        <v>7.874015748031496E-3</v>
      </c>
      <c r="Q90" s="3">
        <f>1/99</f>
        <v>1.0101010101010102E-2</v>
      </c>
      <c r="S90" s="3">
        <f>1/163</f>
        <v>6.1349693251533744E-3</v>
      </c>
      <c r="T90" s="3">
        <f>1/73</f>
        <v>1.3698630136986301E-2</v>
      </c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t="s">
        <v>23</v>
      </c>
      <c r="B91" s="2">
        <v>133529</v>
      </c>
      <c r="C91" s="2">
        <v>107298</v>
      </c>
      <c r="D91" s="2">
        <v>127407</v>
      </c>
      <c r="E91" s="2">
        <v>134322</v>
      </c>
      <c r="F91" s="2">
        <v>157345</v>
      </c>
      <c r="G91" s="2"/>
      <c r="H91" s="2">
        <v>104230</v>
      </c>
      <c r="I91" s="2">
        <v>230232</v>
      </c>
      <c r="J91" s="2">
        <v>384894</v>
      </c>
      <c r="L91" t="s">
        <v>23</v>
      </c>
      <c r="M91" s="3">
        <f>1/340</f>
        <v>2.9411764705882353E-3</v>
      </c>
      <c r="N91" s="3">
        <f>1/423</f>
        <v>2.3640661938534278E-3</v>
      </c>
      <c r="O91" s="3">
        <f>1/356</f>
        <v>2.8089887640449437E-3</v>
      </c>
      <c r="P91" s="3">
        <f>1/338</f>
        <v>2.9585798816568047E-3</v>
      </c>
      <c r="Q91" s="3">
        <f>1/288</f>
        <v>3.472222222222222E-3</v>
      </c>
      <c r="S91" s="3">
        <f>1/436</f>
        <v>2.2935779816513763E-3</v>
      </c>
      <c r="T91" s="3">
        <f>1/197</f>
        <v>5.076142131979695E-3</v>
      </c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t="s">
        <v>24</v>
      </c>
      <c r="B92" s="2">
        <v>152598</v>
      </c>
      <c r="C92" s="2">
        <v>137709</v>
      </c>
      <c r="D92" s="2">
        <v>150795</v>
      </c>
      <c r="E92" s="2">
        <v>138317</v>
      </c>
      <c r="F92" s="2">
        <v>137539</v>
      </c>
      <c r="G92" s="2"/>
      <c r="H92" s="2">
        <v>99339</v>
      </c>
      <c r="I92" s="2">
        <v>230360</v>
      </c>
      <c r="J92" s="2">
        <v>349935</v>
      </c>
      <c r="L92" t="s">
        <v>24</v>
      </c>
      <c r="M92" s="3">
        <f>1/207</f>
        <v>4.830917874396135E-3</v>
      </c>
      <c r="N92" s="3">
        <f>1/230</f>
        <v>4.3478260869565218E-3</v>
      </c>
      <c r="O92" s="3">
        <f>1/210</f>
        <v>4.7619047619047623E-3</v>
      </c>
      <c r="P92" s="3">
        <f>1/229</f>
        <v>4.3668122270742356E-3</v>
      </c>
      <c r="Q92" s="3">
        <f>1/230</f>
        <v>4.3478260869565218E-3</v>
      </c>
      <c r="S92" s="3">
        <f>1/318</f>
        <v>3.1446540880503146E-3</v>
      </c>
      <c r="T92" s="3">
        <f>1/137</f>
        <v>7.2992700729927005E-3</v>
      </c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t="s">
        <v>25</v>
      </c>
      <c r="B93" s="2">
        <v>121901</v>
      </c>
      <c r="C93" s="2">
        <v>91955</v>
      </c>
      <c r="D93" s="2">
        <v>113970</v>
      </c>
      <c r="E93" s="2">
        <v>108224</v>
      </c>
      <c r="F93" s="2">
        <v>162960</v>
      </c>
      <c r="G93" s="2"/>
      <c r="H93" s="2">
        <v>97398</v>
      </c>
      <c r="I93" s="2">
        <v>221865</v>
      </c>
      <c r="J93" s="2">
        <v>339928</v>
      </c>
      <c r="L93" t="s">
        <v>25</v>
      </c>
      <c r="M93" s="3">
        <f>1/314</f>
        <v>3.1847133757961785E-3</v>
      </c>
      <c r="N93" s="3">
        <f>1/416</f>
        <v>2.403846153846154E-3</v>
      </c>
      <c r="O93" s="3">
        <f>1/336</f>
        <v>2.976190476190476E-3</v>
      </c>
      <c r="P93" s="3">
        <f>1/353</f>
        <v>2.8328611898016999E-3</v>
      </c>
      <c r="Q93" s="3">
        <f>1/235</f>
        <v>4.2553191489361703E-3</v>
      </c>
      <c r="S93" s="3">
        <f>1/393</f>
        <v>2.5445292620865142E-3</v>
      </c>
      <c r="T93" s="3">
        <f>1/172</f>
        <v>5.8139534883720929E-3</v>
      </c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t="s">
        <v>26</v>
      </c>
      <c r="B94" s="2">
        <v>139111</v>
      </c>
      <c r="C94" s="2">
        <v>116434</v>
      </c>
      <c r="D94" s="2">
        <v>146903</v>
      </c>
      <c r="E94" s="2">
        <v>125290</v>
      </c>
      <c r="F94" s="2">
        <v>151214</v>
      </c>
      <c r="G94" s="2"/>
      <c r="H94" s="2">
        <v>99641</v>
      </c>
      <c r="I94" s="2">
        <v>221174</v>
      </c>
      <c r="J94" s="2">
        <v>349017</v>
      </c>
      <c r="L94" t="s">
        <v>26</v>
      </c>
      <c r="M94" s="3">
        <f>1/254</f>
        <v>3.937007874015748E-3</v>
      </c>
      <c r="N94" s="3">
        <f>1/303</f>
        <v>3.3003300330033004E-3</v>
      </c>
      <c r="O94" s="3">
        <f>1/240</f>
        <v>4.1666666666666666E-3</v>
      </c>
      <c r="P94" s="3">
        <f>1/282</f>
        <v>3.5460992907801418E-3</v>
      </c>
      <c r="Q94" s="3">
        <f>1/233</f>
        <v>4.2918454935622317E-3</v>
      </c>
      <c r="S94" s="3">
        <f>1/354</f>
        <v>2.8248587570621469E-3</v>
      </c>
      <c r="T94" s="3">
        <f>1/159</f>
        <v>6.2893081761006293E-3</v>
      </c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t="s">
        <v>27</v>
      </c>
      <c r="B95" s="2">
        <v>126670</v>
      </c>
      <c r="C95" s="2">
        <v>104270</v>
      </c>
      <c r="D95" s="2">
        <v>106586</v>
      </c>
      <c r="E95" s="2">
        <v>107104</v>
      </c>
      <c r="F95" s="2">
        <v>101504</v>
      </c>
      <c r="G95" s="2"/>
      <c r="H95" s="2">
        <v>79817</v>
      </c>
      <c r="I95" s="2">
        <v>170371</v>
      </c>
      <c r="J95" s="2">
        <v>307629</v>
      </c>
      <c r="L95" t="s">
        <v>27</v>
      </c>
      <c r="M95" s="3">
        <f>1/318</f>
        <v>3.1446540880503146E-3</v>
      </c>
      <c r="N95" s="3">
        <f>1/387</f>
        <v>2.5839793281653748E-3</v>
      </c>
      <c r="O95" s="3">
        <f>1/378</f>
        <v>2.6455026455026454E-3</v>
      </c>
      <c r="P95" s="3">
        <f>1/377</f>
        <v>2.6525198938992041E-3</v>
      </c>
      <c r="Q95" s="3">
        <f>1/397</f>
        <v>2.5188916876574307E-3</v>
      </c>
      <c r="S95" s="3">
        <f>1/506</f>
        <v>1.976284584980237E-3</v>
      </c>
      <c r="T95" s="3">
        <f>1/236</f>
        <v>4.2372881355932203E-3</v>
      </c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t="s">
        <v>28</v>
      </c>
      <c r="B96" s="2">
        <v>303095</v>
      </c>
      <c r="C96" s="2">
        <v>191302</v>
      </c>
      <c r="D96" s="2">
        <v>231898</v>
      </c>
      <c r="E96" s="2">
        <v>233198</v>
      </c>
      <c r="F96" s="2">
        <v>402627</v>
      </c>
      <c r="G96" s="2"/>
      <c r="H96" s="2">
        <v>163753</v>
      </c>
      <c r="I96" s="2">
        <v>478550</v>
      </c>
      <c r="J96" s="2">
        <v>764535</v>
      </c>
      <c r="L96" t="s">
        <v>28</v>
      </c>
      <c r="M96" s="3">
        <f>1/118</f>
        <v>8.4745762711864406E-3</v>
      </c>
      <c r="N96" s="3">
        <f>1/187</f>
        <v>5.3475935828877002E-3</v>
      </c>
      <c r="O96" s="3">
        <f>1/154</f>
        <v>6.4935064935064939E-3</v>
      </c>
      <c r="P96" s="3">
        <f>1/153</f>
        <v>6.5359477124183009E-3</v>
      </c>
      <c r="Q96" s="3">
        <f>1/88</f>
        <v>1.1363636363636364E-2</v>
      </c>
      <c r="S96" s="3">
        <f>1/218</f>
        <v>4.5871559633027525E-3</v>
      </c>
      <c r="T96" s="3">
        <f>1/74</f>
        <v>1.3513513513513514E-2</v>
      </c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t="s">
        <v>29</v>
      </c>
      <c r="B97" s="2">
        <v>231700</v>
      </c>
      <c r="C97" s="2">
        <v>185700</v>
      </c>
      <c r="D97" s="2">
        <v>252801</v>
      </c>
      <c r="E97" s="2">
        <v>216738</v>
      </c>
      <c r="F97" s="2">
        <v>230704</v>
      </c>
      <c r="G97" s="2"/>
      <c r="H97" s="2">
        <v>94502</v>
      </c>
      <c r="I97" s="2">
        <v>355633</v>
      </c>
      <c r="J97" s="2">
        <v>571235</v>
      </c>
      <c r="L97" t="s">
        <v>29</v>
      </c>
      <c r="M97" s="3">
        <f>1/163</f>
        <v>6.1349693251533744E-3</v>
      </c>
      <c r="N97" s="3">
        <f>1/203</f>
        <v>4.9261083743842365E-3</v>
      </c>
      <c r="O97" s="3">
        <f>1/149</f>
        <v>6.7114093959731542E-3</v>
      </c>
      <c r="P97" s="3">
        <f>1/174</f>
        <v>5.7471264367816091E-3</v>
      </c>
      <c r="Q97" s="3">
        <f>1/163</f>
        <v>6.1349693251533744E-3</v>
      </c>
      <c r="S97" s="3">
        <f>1/399</f>
        <v>2.5062656641604009E-3</v>
      </c>
      <c r="T97" s="3">
        <f>1/106</f>
        <v>9.433962264150943E-3</v>
      </c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t="s">
        <v>35</v>
      </c>
      <c r="B98" s="4">
        <v>2091894</v>
      </c>
      <c r="C98" s="4">
        <v>1692125</v>
      </c>
      <c r="D98" s="4">
        <v>1980368</v>
      </c>
      <c r="E98" s="4">
        <v>1896387</v>
      </c>
      <c r="F98" s="4">
        <v>2382090</v>
      </c>
      <c r="G98" s="4"/>
      <c r="H98" s="4">
        <v>1338143</v>
      </c>
      <c r="I98" s="4">
        <v>3265483</v>
      </c>
      <c r="J98" s="2">
        <v>5278946</v>
      </c>
      <c r="L98" t="s">
        <v>35</v>
      </c>
      <c r="M98" s="3">
        <f>1/215</f>
        <v>4.6511627906976744E-3</v>
      </c>
      <c r="N98" s="3">
        <f>1/266</f>
        <v>3.7593984962406013E-3</v>
      </c>
      <c r="O98" s="3">
        <f>1/228</f>
        <v>4.3859649122807015E-3</v>
      </c>
      <c r="P98" s="3">
        <f>1/238</f>
        <v>4.2016806722689074E-3</v>
      </c>
      <c r="Q98" s="3">
        <f>1/189</f>
        <v>5.2910052910052907E-3</v>
      </c>
      <c r="S98" s="3">
        <f>1/337</f>
        <v>2.967359050445104E-3</v>
      </c>
      <c r="T98" s="3">
        <f>1/138</f>
        <v>7.246376811594203E-3</v>
      </c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J99" s="2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J100" s="2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t="s">
        <v>38</v>
      </c>
      <c r="B101" t="s">
        <v>0</v>
      </c>
      <c r="C101" t="s">
        <v>1</v>
      </c>
      <c r="D101" t="s">
        <v>2</v>
      </c>
      <c r="E101" t="s">
        <v>3</v>
      </c>
      <c r="F101" t="s">
        <v>4</v>
      </c>
      <c r="G101" t="s">
        <v>6</v>
      </c>
      <c r="H101" t="s">
        <v>5</v>
      </c>
      <c r="I101" t="s">
        <v>31</v>
      </c>
      <c r="J101" s="2"/>
      <c r="L101" t="s">
        <v>48</v>
      </c>
      <c r="M101" t="s">
        <v>0</v>
      </c>
      <c r="N101" t="s">
        <v>1</v>
      </c>
      <c r="O101" t="s">
        <v>2</v>
      </c>
      <c r="P101" t="s">
        <v>3</v>
      </c>
      <c r="Q101" t="s">
        <v>4</v>
      </c>
      <c r="R101" t="s">
        <v>6</v>
      </c>
      <c r="S101" t="s">
        <v>5</v>
      </c>
      <c r="T101" t="s">
        <v>31</v>
      </c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t="s">
        <v>19</v>
      </c>
      <c r="B102" s="2">
        <v>162138</v>
      </c>
      <c r="C102" s="2">
        <v>121094</v>
      </c>
      <c r="D102" s="2">
        <v>126024</v>
      </c>
      <c r="E102" s="2">
        <v>134186</v>
      </c>
      <c r="F102" s="2">
        <v>175465</v>
      </c>
      <c r="G102" s="2">
        <v>94447</v>
      </c>
      <c r="H102" s="2"/>
      <c r="I102" s="2">
        <v>220303</v>
      </c>
      <c r="J102" s="2">
        <v>341216</v>
      </c>
      <c r="L102" t="s">
        <v>19</v>
      </c>
      <c r="M102" s="3">
        <f>1/230</f>
        <v>4.3478260869565218E-3</v>
      </c>
      <c r="N102" s="3">
        <f>1/309</f>
        <v>3.2362459546925568E-3</v>
      </c>
      <c r="O102" s="3">
        <f>1/297</f>
        <v>3.3670033670033669E-3</v>
      </c>
      <c r="P102" s="3">
        <f>1/278</f>
        <v>3.5971223021582736E-3</v>
      </c>
      <c r="Q102" s="3">
        <f>1/213</f>
        <v>4.6948356807511738E-3</v>
      </c>
      <c r="R102" s="3">
        <f>1/396</f>
        <v>2.5252525252525255E-3</v>
      </c>
      <c r="T102" s="3">
        <f>1/169</f>
        <v>5.9171597633136093E-3</v>
      </c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t="s">
        <v>20</v>
      </c>
      <c r="B103" s="2">
        <v>90993</v>
      </c>
      <c r="C103" s="2">
        <v>72475</v>
      </c>
      <c r="D103" s="2">
        <v>82518</v>
      </c>
      <c r="E103" s="2">
        <v>97676</v>
      </c>
      <c r="F103" s="2">
        <v>142467</v>
      </c>
      <c r="G103" s="2">
        <v>65749</v>
      </c>
      <c r="H103" s="2"/>
      <c r="I103" s="2">
        <v>171761</v>
      </c>
      <c r="J103" s="2">
        <v>281821</v>
      </c>
      <c r="L103" t="s">
        <v>20</v>
      </c>
      <c r="M103" s="3">
        <f>1/332</f>
        <v>3.0120481927710845E-3</v>
      </c>
      <c r="N103" s="3">
        <f>1/417</f>
        <v>2.3980815347721821E-3</v>
      </c>
      <c r="O103" s="3">
        <f>1/366</f>
        <v>2.7322404371584699E-3</v>
      </c>
      <c r="P103" s="3">
        <f>1/309</f>
        <v>3.2362459546925568E-3</v>
      </c>
      <c r="Q103" s="3">
        <f>1/212</f>
        <v>4.7169811320754715E-3</v>
      </c>
      <c r="R103" s="3">
        <f>1/460</f>
        <v>2.1739130434782609E-3</v>
      </c>
      <c r="T103" s="3">
        <f>1/176</f>
        <v>5.681818181818182E-3</v>
      </c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t="s">
        <v>21</v>
      </c>
      <c r="B104" s="2">
        <v>188300</v>
      </c>
      <c r="C104" s="2">
        <v>170886</v>
      </c>
      <c r="D104" s="2">
        <v>199477</v>
      </c>
      <c r="E104" s="2">
        <v>198136</v>
      </c>
      <c r="F104" s="2">
        <v>252704</v>
      </c>
      <c r="G104" s="2">
        <v>143518</v>
      </c>
      <c r="H104" s="2"/>
      <c r="I104" s="2">
        <v>362539</v>
      </c>
      <c r="J104" s="2">
        <v>533254</v>
      </c>
      <c r="L104" t="s">
        <v>21</v>
      </c>
      <c r="M104" s="3">
        <f>1/316</f>
        <v>3.1645569620253164E-3</v>
      </c>
      <c r="N104" s="3">
        <f>1/348</f>
        <v>2.8735632183908046E-3</v>
      </c>
      <c r="O104" s="3">
        <f>1/298</f>
        <v>3.3557046979865771E-3</v>
      </c>
      <c r="P104" s="3">
        <f>1/300</f>
        <v>3.3333333333333335E-3</v>
      </c>
      <c r="Q104" s="3">
        <f>1/235</f>
        <v>4.2553191489361703E-3</v>
      </c>
      <c r="R104" s="3">
        <f>1/414</f>
        <v>2.4154589371980675E-3</v>
      </c>
      <c r="T104" s="3">
        <f>1/164</f>
        <v>6.0975609756097563E-3</v>
      </c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t="s">
        <v>22</v>
      </c>
      <c r="B105" s="2">
        <v>157849</v>
      </c>
      <c r="C105" s="2">
        <v>123628</v>
      </c>
      <c r="D105" s="2">
        <v>211979</v>
      </c>
      <c r="E105" s="2">
        <v>171970</v>
      </c>
      <c r="F105" s="2">
        <v>359065</v>
      </c>
      <c r="G105" s="2">
        <v>231049</v>
      </c>
      <c r="H105" s="2"/>
      <c r="I105" s="2">
        <v>435927</v>
      </c>
      <c r="J105" s="2">
        <v>716976</v>
      </c>
      <c r="L105" t="s">
        <v>22</v>
      </c>
      <c r="M105" s="3">
        <f>1/224</f>
        <v>4.464285714285714E-3</v>
      </c>
      <c r="N105" s="3">
        <f>1/287</f>
        <v>3.4843205574912892E-3</v>
      </c>
      <c r="O105" s="3">
        <f>1/167</f>
        <v>5.9880239520958087E-3</v>
      </c>
      <c r="P105" s="3">
        <f>1/206</f>
        <v>4.8543689320388345E-3</v>
      </c>
      <c r="Q105" s="3">
        <f>1/98</f>
        <v>1.020408163265306E-2</v>
      </c>
      <c r="R105" s="3">
        <f>1/153</f>
        <v>6.5359477124183009E-3</v>
      </c>
      <c r="T105" s="3">
        <f>1/81</f>
        <v>1.2345679012345678E-2</v>
      </c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t="s">
        <v>23</v>
      </c>
      <c r="B106" s="2">
        <v>122484</v>
      </c>
      <c r="C106" s="2">
        <v>95009</v>
      </c>
      <c r="D106" s="2">
        <v>110650</v>
      </c>
      <c r="E106" s="2">
        <v>137771</v>
      </c>
      <c r="F106" s="2">
        <v>177772</v>
      </c>
      <c r="G106" s="2">
        <v>113282</v>
      </c>
      <c r="H106" s="2"/>
      <c r="I106" s="2">
        <v>231488</v>
      </c>
      <c r="J106" s="2">
        <v>384648</v>
      </c>
      <c r="L106" t="s">
        <v>23</v>
      </c>
      <c r="M106" s="3">
        <f>1/366</f>
        <v>2.7322404371584699E-3</v>
      </c>
      <c r="N106" s="3">
        <f>1/472</f>
        <v>2.1186440677966102E-3</v>
      </c>
      <c r="O106" s="3">
        <f>1/405</f>
        <v>2.4691358024691358E-3</v>
      </c>
      <c r="P106" s="3">
        <f>1/325</f>
        <v>3.0769230769230769E-3</v>
      </c>
      <c r="Q106" s="3">
        <f>1/252</f>
        <v>3.968253968253968E-3</v>
      </c>
      <c r="R106" s="3">
        <f>1/396</f>
        <v>2.5252525252525255E-3</v>
      </c>
      <c r="T106" s="3">
        <f>1/193</f>
        <v>5.1813471502590676E-3</v>
      </c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t="s">
        <v>24</v>
      </c>
      <c r="B107" s="2">
        <v>153257</v>
      </c>
      <c r="C107" s="2">
        <v>143091</v>
      </c>
      <c r="D107" s="2">
        <v>155828</v>
      </c>
      <c r="E107" s="2">
        <v>145836</v>
      </c>
      <c r="F107" s="2">
        <v>156034</v>
      </c>
      <c r="G107" s="2">
        <v>103766</v>
      </c>
      <c r="H107" s="2"/>
      <c r="I107" s="2">
        <v>231753</v>
      </c>
      <c r="J107" s="2">
        <v>351063</v>
      </c>
      <c r="L107" t="s">
        <v>24</v>
      </c>
      <c r="M107" s="3">
        <f>1/206</f>
        <v>4.8543689320388345E-3</v>
      </c>
      <c r="N107" s="3">
        <f>1/221</f>
        <v>4.5248868778280547E-3</v>
      </c>
      <c r="O107" s="3">
        <f>1/203</f>
        <v>4.9261083743842365E-3</v>
      </c>
      <c r="P107" s="3">
        <f>1/217</f>
        <v>4.608294930875576E-3</v>
      </c>
      <c r="Q107" s="3">
        <f>1/203</f>
        <v>4.9261083743842365E-3</v>
      </c>
      <c r="R107" s="3">
        <f>1/305</f>
        <v>3.2786885245901639E-3</v>
      </c>
      <c r="T107" s="3">
        <f>1/136</f>
        <v>7.3529411764705881E-3</v>
      </c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t="s">
        <v>25</v>
      </c>
      <c r="B108" s="2">
        <v>146890</v>
      </c>
      <c r="C108" s="2">
        <v>115073</v>
      </c>
      <c r="D108" s="2">
        <v>139355</v>
      </c>
      <c r="E108" s="2">
        <v>127616</v>
      </c>
      <c r="F108" s="2">
        <v>160182</v>
      </c>
      <c r="G108" s="2">
        <v>99946</v>
      </c>
      <c r="H108" s="2"/>
      <c r="I108" s="2">
        <v>225185</v>
      </c>
      <c r="J108" s="2">
        <v>338963</v>
      </c>
      <c r="L108" t="s">
        <v>25</v>
      </c>
      <c r="M108" s="3">
        <f>1/258</f>
        <v>3.875968992248062E-3</v>
      </c>
      <c r="N108" s="3">
        <f>1/330</f>
        <v>3.0303030303030303E-3</v>
      </c>
      <c r="O108" s="3">
        <f>1/272</f>
        <v>3.6764705882352941E-3</v>
      </c>
      <c r="P108" s="3">
        <f>1/297</f>
        <v>3.3670033670033669E-3</v>
      </c>
      <c r="Q108" s="3">
        <f>1/237</f>
        <v>4.2194092827004216E-3</v>
      </c>
      <c r="R108" s="3">
        <f>1/380</f>
        <v>2.631578947368421E-3</v>
      </c>
      <c r="T108" s="3">
        <f>1/168</f>
        <v>5.9523809523809521E-3</v>
      </c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t="s">
        <v>26</v>
      </c>
      <c r="B109" s="2">
        <v>120314</v>
      </c>
      <c r="C109" s="2">
        <v>82682</v>
      </c>
      <c r="D109" s="2">
        <v>115502</v>
      </c>
      <c r="E109" s="2">
        <v>99303</v>
      </c>
      <c r="F109" s="2">
        <v>158540</v>
      </c>
      <c r="G109" s="2">
        <v>105267</v>
      </c>
      <c r="H109" s="2"/>
      <c r="I109" s="2">
        <v>214041</v>
      </c>
      <c r="J109" s="2">
        <v>346878</v>
      </c>
      <c r="L109" t="s">
        <v>26</v>
      </c>
      <c r="M109" s="3">
        <f>1/290</f>
        <v>3.4482758620689655E-3</v>
      </c>
      <c r="N109" s="3">
        <f>1/422</f>
        <v>2.3696682464454978E-3</v>
      </c>
      <c r="O109" s="3">
        <f>1/302</f>
        <v>3.3112582781456954E-3</v>
      </c>
      <c r="P109" s="3">
        <f>1/351</f>
        <v>2.8490028490028491E-3</v>
      </c>
      <c r="Q109" s="3">
        <f>1/220</f>
        <v>4.5454545454545452E-3</v>
      </c>
      <c r="R109" s="3">
        <f>1/331</f>
        <v>3.0211480362537764E-3</v>
      </c>
      <c r="T109" s="3">
        <f>1/162</f>
        <v>6.1728395061728392E-3</v>
      </c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t="s">
        <v>27</v>
      </c>
      <c r="B110" s="2">
        <v>139318</v>
      </c>
      <c r="C110" s="2">
        <v>110955</v>
      </c>
      <c r="D110" s="2">
        <v>114061</v>
      </c>
      <c r="E110" s="2">
        <v>105849</v>
      </c>
      <c r="F110" s="2">
        <v>105844</v>
      </c>
      <c r="G110" s="2">
        <v>83669</v>
      </c>
      <c r="H110" s="2"/>
      <c r="I110" s="2">
        <v>171250</v>
      </c>
      <c r="J110" s="2">
        <v>304906</v>
      </c>
      <c r="L110" t="s">
        <v>27</v>
      </c>
      <c r="M110" s="3">
        <f>1/289</f>
        <v>3.4602076124567475E-3</v>
      </c>
      <c r="N110" s="3">
        <f>1/362</f>
        <v>2.7624309392265192E-3</v>
      </c>
      <c r="O110" s="3">
        <f>1/353</f>
        <v>2.8328611898016999E-3</v>
      </c>
      <c r="P110" s="3">
        <f>1/380</f>
        <v>2.631578947368421E-3</v>
      </c>
      <c r="Q110" s="3">
        <f>1/380</f>
        <v>2.631578947368421E-3</v>
      </c>
      <c r="R110" s="3">
        <f>1/481</f>
        <v>2.0790020790020791E-3</v>
      </c>
      <c r="T110" s="3">
        <f>1/234</f>
        <v>4.2735042735042739E-3</v>
      </c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t="s">
        <v>28</v>
      </c>
      <c r="B111" s="2">
        <v>301956</v>
      </c>
      <c r="C111" s="2">
        <v>91134</v>
      </c>
      <c r="D111" s="2">
        <v>216816</v>
      </c>
      <c r="E111" s="2">
        <v>222292</v>
      </c>
      <c r="F111" s="2">
        <v>437221</v>
      </c>
      <c r="G111" s="2">
        <v>170292</v>
      </c>
      <c r="H111" s="2"/>
      <c r="I111" s="2">
        <v>480601</v>
      </c>
      <c r="J111" s="2">
        <v>775501</v>
      </c>
      <c r="L111" t="s">
        <v>28</v>
      </c>
      <c r="M111" s="3">
        <f>1/119</f>
        <v>8.4033613445378148E-3</v>
      </c>
      <c r="N111" s="3">
        <f>1/394</f>
        <v>2.5380710659898475E-3</v>
      </c>
      <c r="O111" s="3">
        <f>1/166</f>
        <v>6.024096385542169E-3</v>
      </c>
      <c r="P111" s="3">
        <f>1/161</f>
        <v>6.2111801242236021E-3</v>
      </c>
      <c r="Q111" s="3">
        <f>1/82</f>
        <v>1.2195121951219513E-2</v>
      </c>
      <c r="R111" s="3">
        <f>1/211</f>
        <v>4.7393364928909956E-3</v>
      </c>
      <c r="T111" s="3">
        <f>1/74</f>
        <v>1.3513513513513514E-2</v>
      </c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t="s">
        <v>29</v>
      </c>
      <c r="B112" s="2">
        <v>214088</v>
      </c>
      <c r="C112" s="2">
        <v>196054</v>
      </c>
      <c r="D112" s="2">
        <v>243047</v>
      </c>
      <c r="E112" s="2">
        <v>220062</v>
      </c>
      <c r="F112" s="2">
        <v>228671</v>
      </c>
      <c r="G112" s="2">
        <v>101557</v>
      </c>
      <c r="H112" s="2"/>
      <c r="I112" s="2">
        <v>352463</v>
      </c>
      <c r="J112" s="2">
        <v>556372</v>
      </c>
      <c r="L112" t="s">
        <v>29</v>
      </c>
      <c r="M112" s="3">
        <f>1/172</f>
        <v>5.8139534883720929E-3</v>
      </c>
      <c r="N112" s="3">
        <f>1/188</f>
        <v>5.3191489361702126E-3</v>
      </c>
      <c r="O112" s="3">
        <f>1/151</f>
        <v>6.6225165562913907E-3</v>
      </c>
      <c r="P112" s="3">
        <f>1/167</f>
        <v>5.9880239520958087E-3</v>
      </c>
      <c r="Q112" s="3">
        <f>1/161</f>
        <v>6.2111801242236021E-3</v>
      </c>
      <c r="R112" s="3">
        <f>1/363</f>
        <v>2.7548209366391185E-3</v>
      </c>
      <c r="T112" s="3">
        <f>1/104</f>
        <v>9.6153846153846159E-3</v>
      </c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t="s">
        <v>35</v>
      </c>
      <c r="B113" s="1">
        <v>1939167</v>
      </c>
      <c r="C113" s="1">
        <v>1442388</v>
      </c>
      <c r="D113" s="1">
        <v>1865974</v>
      </c>
      <c r="E113" s="1">
        <v>1802432</v>
      </c>
      <c r="F113" s="1">
        <v>2472527</v>
      </c>
      <c r="G113" s="1">
        <v>1422297</v>
      </c>
      <c r="I113" s="1">
        <v>3228656</v>
      </c>
      <c r="J113" s="2">
        <v>5302674</v>
      </c>
      <c r="L113" t="s">
        <v>35</v>
      </c>
      <c r="M113" s="3">
        <f>1/233</f>
        <v>4.2918454935622317E-3</v>
      </c>
      <c r="N113" s="3">
        <f>1/313</f>
        <v>3.1948881789137379E-3</v>
      </c>
      <c r="O113" s="3">
        <f>1/242</f>
        <v>4.1322314049586778E-3</v>
      </c>
      <c r="P113" s="3">
        <f>1/250</f>
        <v>4.0000000000000001E-3</v>
      </c>
      <c r="Q113" s="3">
        <f>1/182</f>
        <v>5.4945054945054949E-3</v>
      </c>
      <c r="R113" s="3">
        <f>1/317</f>
        <v>3.1545741324921135E-3</v>
      </c>
      <c r="T113" s="3">
        <f>1/139</f>
        <v>7.1942446043165471E-3</v>
      </c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J114" s="2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t="s">
        <v>32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6</v>
      </c>
      <c r="H116" t="s">
        <v>5</v>
      </c>
      <c r="L116" t="s">
        <v>32</v>
      </c>
      <c r="M116" t="s">
        <v>0</v>
      </c>
      <c r="N116" t="s">
        <v>1</v>
      </c>
      <c r="O116" t="s">
        <v>2</v>
      </c>
      <c r="P116" t="s">
        <v>3</v>
      </c>
      <c r="Q116" t="s">
        <v>4</v>
      </c>
      <c r="R116" t="s">
        <v>6</v>
      </c>
      <c r="S116" t="s">
        <v>5</v>
      </c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t="s">
        <v>19</v>
      </c>
      <c r="B117" s="2">
        <v>241466</v>
      </c>
      <c r="C117" s="2">
        <v>219008</v>
      </c>
      <c r="D117" s="2">
        <v>214125</v>
      </c>
      <c r="E117" s="2">
        <v>206359</v>
      </c>
      <c r="F117" s="2">
        <v>216807</v>
      </c>
      <c r="G117" s="2">
        <v>226854</v>
      </c>
      <c r="H117" s="2">
        <v>220303</v>
      </c>
      <c r="I117" s="3"/>
      <c r="L117" t="s">
        <v>19</v>
      </c>
      <c r="M117" s="3">
        <f>1/174</f>
        <v>5.7471264367816091E-3</v>
      </c>
      <c r="N117" s="3">
        <f>1/174</f>
        <v>5.7471264367816091E-3</v>
      </c>
      <c r="O117" s="3">
        <f>1/170</f>
        <v>5.8823529411764705E-3</v>
      </c>
      <c r="P117" s="3">
        <f>1/176</f>
        <v>5.681818181818182E-3</v>
      </c>
      <c r="Q117" s="3">
        <f>1/169</f>
        <v>5.9171597633136093E-3</v>
      </c>
      <c r="R117" s="3">
        <f>1/168</f>
        <v>5.9523809523809521E-3</v>
      </c>
      <c r="S117" s="3">
        <f>1/169</f>
        <v>5.9171597633136093E-3</v>
      </c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t="s">
        <v>20</v>
      </c>
      <c r="B118" s="2">
        <v>190077</v>
      </c>
      <c r="C118" s="2">
        <v>171860</v>
      </c>
      <c r="D118" s="2">
        <v>170530</v>
      </c>
      <c r="E118" s="2">
        <v>170337</v>
      </c>
      <c r="F118" s="2">
        <v>187928</v>
      </c>
      <c r="G118" s="2">
        <v>177683</v>
      </c>
      <c r="H118" s="2">
        <v>171761</v>
      </c>
      <c r="I118" s="3"/>
      <c r="L118" t="s">
        <v>20</v>
      </c>
      <c r="M118" s="3">
        <f>1/178</f>
        <v>5.6179775280898875E-3</v>
      </c>
      <c r="N118" s="3">
        <f>1/178</f>
        <v>5.6179775280898875E-3</v>
      </c>
      <c r="O118" s="3">
        <f>1/174</f>
        <v>5.7471264367816091E-3</v>
      </c>
      <c r="P118" s="3">
        <f>1/171</f>
        <v>5.8479532163742687E-3</v>
      </c>
      <c r="Q118" s="3">
        <f>1/157</f>
        <v>6.369426751592357E-3</v>
      </c>
      <c r="R118" s="3">
        <f>1/173</f>
        <v>5.7803468208092483E-3</v>
      </c>
      <c r="S118" s="3">
        <f>1/176</f>
        <v>5.681818181818182E-3</v>
      </c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t="s">
        <v>21</v>
      </c>
      <c r="B119" s="2">
        <v>385181</v>
      </c>
      <c r="C119" s="2">
        <v>361404</v>
      </c>
      <c r="D119" s="2">
        <v>351031</v>
      </c>
      <c r="E119" s="2">
        <v>352945</v>
      </c>
      <c r="F119" s="2">
        <v>365236</v>
      </c>
      <c r="G119" s="2">
        <v>368805</v>
      </c>
      <c r="H119" s="2">
        <v>362539</v>
      </c>
      <c r="I119" s="3"/>
      <c r="L119" t="s">
        <v>21</v>
      </c>
      <c r="M119" s="3">
        <f>1/169</f>
        <v>5.9171597633136093E-3</v>
      </c>
      <c r="N119" s="3">
        <f>1/166</f>
        <v>6.024096385542169E-3</v>
      </c>
      <c r="O119" s="3">
        <f>1/166</f>
        <v>6.024096385542169E-3</v>
      </c>
      <c r="P119" s="3">
        <f>1/166</f>
        <v>6.024096385542169E-3</v>
      </c>
      <c r="Q119" s="3">
        <f>1/159</f>
        <v>6.2893081761006293E-3</v>
      </c>
      <c r="R119" s="3">
        <f>1/164</f>
        <v>6.0975609756097563E-3</v>
      </c>
      <c r="S119" s="3">
        <f>1/164</f>
        <v>6.0975609756097563E-3</v>
      </c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t="s">
        <v>22</v>
      </c>
      <c r="B120" s="2">
        <v>476001</v>
      </c>
      <c r="C120" s="2">
        <v>444204</v>
      </c>
      <c r="D120" s="2">
        <v>434618</v>
      </c>
      <c r="E120" s="2">
        <v>422250</v>
      </c>
      <c r="F120" s="2">
        <v>469542</v>
      </c>
      <c r="G120" s="2">
        <v>470176</v>
      </c>
      <c r="H120" s="2">
        <v>435927</v>
      </c>
      <c r="I120" s="3"/>
      <c r="L120" t="s">
        <v>22</v>
      </c>
      <c r="M120" s="3">
        <f>1/89</f>
        <v>1.1235955056179775E-2</v>
      </c>
      <c r="N120" s="3">
        <f>1/81</f>
        <v>1.2345679012345678E-2</v>
      </c>
      <c r="O120" s="3">
        <f>1/76</f>
        <v>1.3157894736842105E-2</v>
      </c>
      <c r="P120" s="3">
        <f>1/77</f>
        <v>1.2987012987012988E-2</v>
      </c>
      <c r="Q120" s="3">
        <f>1/70</f>
        <v>1.4285714285714285E-2</v>
      </c>
      <c r="R120" s="3">
        <f>1/73</f>
        <v>1.3698630136986301E-2</v>
      </c>
      <c r="S120" s="3">
        <f>1/81</f>
        <v>1.2345679012345678E-2</v>
      </c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t="s">
        <v>23</v>
      </c>
      <c r="B121" s="2">
        <v>241842</v>
      </c>
      <c r="C121" s="2">
        <v>229320</v>
      </c>
      <c r="D121" s="2">
        <v>228241</v>
      </c>
      <c r="E121" s="2">
        <v>227913</v>
      </c>
      <c r="F121" s="2">
        <v>237222</v>
      </c>
      <c r="G121" s="2">
        <v>230232</v>
      </c>
      <c r="H121" s="2">
        <v>231488</v>
      </c>
      <c r="I121" s="3"/>
      <c r="L121" t="s">
        <v>23</v>
      </c>
      <c r="M121" s="3">
        <f>1/201</f>
        <v>4.9751243781094526E-3</v>
      </c>
      <c r="N121" s="3">
        <f>1/196</f>
        <v>5.1020408163265302E-3</v>
      </c>
      <c r="O121" s="3">
        <f>1/192</f>
        <v>5.208333333333333E-3</v>
      </c>
      <c r="P121" s="3">
        <f>1/186</f>
        <v>5.3763440860215058E-3</v>
      </c>
      <c r="Q121" s="3">
        <f>1/183</f>
        <v>5.4644808743169399E-3</v>
      </c>
      <c r="R121" s="3">
        <f>1/197</f>
        <v>5.076142131979695E-3</v>
      </c>
      <c r="S121" s="3">
        <f>1/193</f>
        <v>5.1813471502590676E-3</v>
      </c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t="s">
        <v>24</v>
      </c>
      <c r="B122" s="2">
        <v>251513</v>
      </c>
      <c r="C122" s="2">
        <v>231866</v>
      </c>
      <c r="D122" s="2">
        <v>226490</v>
      </c>
      <c r="E122" s="2">
        <v>220441</v>
      </c>
      <c r="F122" s="2">
        <v>226347</v>
      </c>
      <c r="G122" s="2">
        <v>230360</v>
      </c>
      <c r="H122" s="2">
        <v>231753</v>
      </c>
      <c r="I122" s="3"/>
      <c r="L122" t="s">
        <v>24</v>
      </c>
      <c r="M122" s="3">
        <f>1/137</f>
        <v>7.2992700729927005E-3</v>
      </c>
      <c r="N122" s="3">
        <f>1/137</f>
        <v>7.2992700729927005E-3</v>
      </c>
      <c r="O122" s="3">
        <f>1/137</f>
        <v>7.2992700729927005E-3</v>
      </c>
      <c r="P122" s="3">
        <f>1/137</f>
        <v>7.2992700729927005E-3</v>
      </c>
      <c r="Q122" s="3">
        <f>1/136</f>
        <v>7.3529411764705881E-3</v>
      </c>
      <c r="R122" s="3">
        <f>1/137</f>
        <v>7.2992700729927005E-3</v>
      </c>
      <c r="S122" s="3">
        <f>1/136</f>
        <v>7.3529411764705881E-3</v>
      </c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t="s">
        <v>25</v>
      </c>
      <c r="B123" s="2">
        <v>243031</v>
      </c>
      <c r="C123" s="2">
        <v>220214</v>
      </c>
      <c r="D123" s="2">
        <v>220467</v>
      </c>
      <c r="E123" s="2">
        <v>216228</v>
      </c>
      <c r="F123" s="2">
        <v>233187</v>
      </c>
      <c r="G123" s="2">
        <v>221865</v>
      </c>
      <c r="H123" s="2">
        <v>225185</v>
      </c>
      <c r="I123" s="3"/>
      <c r="L123" t="s">
        <v>25</v>
      </c>
      <c r="M123" s="3">
        <f>1/168</f>
        <v>5.9523809523809521E-3</v>
      </c>
      <c r="N123" s="3">
        <f>1/174</f>
        <v>5.7471264367816091E-3</v>
      </c>
      <c r="O123" s="3">
        <f>1/171</f>
        <v>5.8479532163742687E-3</v>
      </c>
      <c r="P123" s="3">
        <f>1/171</f>
        <v>5.8479532163742687E-3</v>
      </c>
      <c r="Q123" s="3">
        <f>1/160</f>
        <v>6.2500000000000003E-3</v>
      </c>
      <c r="R123" s="3">
        <f>1/172</f>
        <v>5.8139534883720929E-3</v>
      </c>
      <c r="S123" s="3">
        <f>1/168</f>
        <v>5.9523809523809521E-3</v>
      </c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t="s">
        <v>26</v>
      </c>
      <c r="B124" s="2">
        <v>237760</v>
      </c>
      <c r="C124" s="2">
        <v>215161</v>
      </c>
      <c r="D124" s="2">
        <v>219612</v>
      </c>
      <c r="E124" s="2">
        <v>214473</v>
      </c>
      <c r="F124" s="2">
        <v>220881</v>
      </c>
      <c r="G124" s="2">
        <v>221174</v>
      </c>
      <c r="H124" s="2">
        <v>214041</v>
      </c>
      <c r="I124" s="3"/>
      <c r="L124" t="s">
        <v>26</v>
      </c>
      <c r="M124" s="3">
        <f>1/161</f>
        <v>6.2111801242236021E-3</v>
      </c>
      <c r="N124" s="3">
        <f>1/162</f>
        <v>6.1728395061728392E-3</v>
      </c>
      <c r="O124" s="3">
        <f>1/156</f>
        <v>6.41025641025641E-3</v>
      </c>
      <c r="P124" s="3">
        <f>1/155</f>
        <v>6.4516129032258064E-3</v>
      </c>
      <c r="Q124" s="3">
        <f>1/153</f>
        <v>6.5359477124183009E-3</v>
      </c>
      <c r="R124" s="3">
        <f>1/159</f>
        <v>6.2893081761006293E-3</v>
      </c>
      <c r="S124" s="3">
        <f>1/162</f>
        <v>6.1728395061728392E-3</v>
      </c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t="s">
        <v>27</v>
      </c>
      <c r="B125" s="2">
        <v>209127</v>
      </c>
      <c r="C125" s="2">
        <v>170382</v>
      </c>
      <c r="D125" s="2">
        <v>166087</v>
      </c>
      <c r="E125" s="2">
        <v>166962</v>
      </c>
      <c r="F125" s="2">
        <v>166500</v>
      </c>
      <c r="G125" s="2">
        <v>170371</v>
      </c>
      <c r="H125" s="2">
        <v>171250</v>
      </c>
      <c r="I125" s="3"/>
      <c r="L125" t="s">
        <v>27</v>
      </c>
      <c r="M125" s="3">
        <f>1/210</f>
        <v>4.7619047619047623E-3</v>
      </c>
      <c r="N125" s="3">
        <f>1/238</f>
        <v>4.2016806722689074E-3</v>
      </c>
      <c r="O125" s="3">
        <f>1/232</f>
        <v>4.3103448275862068E-3</v>
      </c>
      <c r="P125" s="3">
        <f>1/226</f>
        <v>4.4247787610619468E-3</v>
      </c>
      <c r="Q125" s="3">
        <f>1/230</f>
        <v>4.3478260869565218E-3</v>
      </c>
      <c r="R125" s="3">
        <f>1/236</f>
        <v>4.2372881355932203E-3</v>
      </c>
      <c r="S125" s="3">
        <f>1/234</f>
        <v>4.2735042735042739E-3</v>
      </c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t="s">
        <v>28</v>
      </c>
      <c r="B126" s="2">
        <v>545532</v>
      </c>
      <c r="C126" s="2">
        <v>486890</v>
      </c>
      <c r="D126" s="2">
        <v>488794</v>
      </c>
      <c r="E126" s="2">
        <v>455581</v>
      </c>
      <c r="F126" s="2">
        <v>531092</v>
      </c>
      <c r="G126" s="2">
        <v>478550</v>
      </c>
      <c r="H126" s="2">
        <v>480601</v>
      </c>
      <c r="I126" s="3"/>
      <c r="L126" t="s">
        <v>28</v>
      </c>
      <c r="M126" s="3">
        <f>1/75</f>
        <v>1.3333333333333334E-2</v>
      </c>
      <c r="N126" s="3">
        <f>1/73</f>
        <v>1.3698630136986301E-2</v>
      </c>
      <c r="O126" s="3">
        <f>1/72</f>
        <v>1.3888888888888888E-2</v>
      </c>
      <c r="P126" s="3">
        <f>1/73</f>
        <v>1.3698630136986301E-2</v>
      </c>
      <c r="Q126" s="3">
        <f>1/67</f>
        <v>1.4925373134328358E-2</v>
      </c>
      <c r="R126" s="3">
        <f>1/74</f>
        <v>1.3513513513513514E-2</v>
      </c>
      <c r="S126" s="3">
        <f>1/74</f>
        <v>1.3513513513513514E-2</v>
      </c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t="s">
        <v>29</v>
      </c>
      <c r="B127" s="2">
        <v>395726</v>
      </c>
      <c r="C127" s="2">
        <v>357143</v>
      </c>
      <c r="D127" s="2">
        <v>352634</v>
      </c>
      <c r="E127" s="2">
        <v>334764</v>
      </c>
      <c r="F127" s="2">
        <v>336849</v>
      </c>
      <c r="G127" s="2">
        <v>355633</v>
      </c>
      <c r="H127" s="2">
        <v>352463</v>
      </c>
      <c r="I127" s="3"/>
      <c r="L127" t="s">
        <v>29</v>
      </c>
      <c r="M127" s="3">
        <f>1/105</f>
        <v>9.5238095238095247E-3</v>
      </c>
      <c r="N127" s="3">
        <f>1/103</f>
        <v>9.7087378640776691E-3</v>
      </c>
      <c r="O127" s="3">
        <f>1/102</f>
        <v>9.8039215686274508E-3</v>
      </c>
      <c r="P127" s="3">
        <f>1/103</f>
        <v>9.7087378640776691E-3</v>
      </c>
      <c r="Q127" s="3">
        <f>1/105</f>
        <v>9.5238095238095247E-3</v>
      </c>
      <c r="R127" s="3">
        <f>1/106</f>
        <v>9.433962264150943E-3</v>
      </c>
      <c r="S127" s="3">
        <f>1/104</f>
        <v>9.6153846153846159E-3</v>
      </c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t="s">
        <v>35</v>
      </c>
      <c r="B128" s="4">
        <v>3472245</v>
      </c>
      <c r="C128" s="4">
        <v>3210892</v>
      </c>
      <c r="D128" s="4">
        <v>3252450</v>
      </c>
      <c r="E128" s="4">
        <v>3232415</v>
      </c>
      <c r="F128" s="4">
        <v>3438834</v>
      </c>
      <c r="G128" s="4">
        <v>3265483</v>
      </c>
      <c r="H128" s="1">
        <v>3228656</v>
      </c>
      <c r="I128" s="3"/>
      <c r="L128" t="s">
        <v>35</v>
      </c>
      <c r="M128" s="3">
        <f>1/149</f>
        <v>6.7114093959731542E-3</v>
      </c>
      <c r="N128" s="3">
        <f>1/139</f>
        <v>7.1942446043165471E-3</v>
      </c>
      <c r="O128" s="3">
        <f>1/137</f>
        <v>7.2992700729927005E-3</v>
      </c>
      <c r="P128" s="3">
        <f>1/138</f>
        <v>7.246376811594203E-3</v>
      </c>
      <c r="Q128" s="3">
        <f>1/132</f>
        <v>7.575757575757576E-3</v>
      </c>
      <c r="R128" s="3">
        <f>1/138</f>
        <v>7.246376811594203E-3</v>
      </c>
      <c r="S128" s="3">
        <f>1/139</f>
        <v>7.1942446043165471E-3</v>
      </c>
      <c r="V128" s="3"/>
      <c r="W128" s="3"/>
      <c r="X128" s="3"/>
      <c r="Y128" s="3"/>
      <c r="Z128" s="3"/>
      <c r="AA128" s="3"/>
      <c r="AB128" s="3"/>
      <c r="AC128" s="3"/>
    </row>
    <row r="129" spans="22:29" x14ac:dyDescent="0.2">
      <c r="V129" s="3"/>
      <c r="W129" s="3"/>
      <c r="X129" s="3"/>
      <c r="Y129" s="3"/>
      <c r="Z129" s="3"/>
      <c r="AA129" s="3"/>
      <c r="AB129" s="3"/>
      <c r="AC129" s="3"/>
    </row>
  </sheetData>
  <conditionalFormatting sqref="C12:H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G3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G5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G6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G8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G9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:G1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H9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H5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H3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S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S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S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S5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S6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:S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S9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:R1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C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H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S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workbookViewId="0">
      <selection activeCell="N118" sqref="N118"/>
    </sheetView>
  </sheetViews>
  <sheetFormatPr baseColWidth="10" defaultRowHeight="16" x14ac:dyDescent="0.2"/>
  <cols>
    <col min="1" max="1" width="12.6640625" customWidth="1"/>
    <col min="2" max="10" width="10.83203125" style="2"/>
    <col min="12" max="12" width="23.33203125" customWidth="1"/>
    <col min="15" max="15" width="11.5" bestFit="1" customWidth="1"/>
  </cols>
  <sheetData>
    <row r="1" spans="1:21" x14ac:dyDescent="0.2">
      <c r="A1" t="s">
        <v>524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31</v>
      </c>
      <c r="L1" t="s">
        <v>517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31</v>
      </c>
    </row>
    <row r="2" spans="1:21" x14ac:dyDescent="0.2">
      <c r="A2" t="s">
        <v>0</v>
      </c>
      <c r="B2" s="4"/>
      <c r="C2" s="4">
        <v>500184</v>
      </c>
      <c r="D2" s="4">
        <v>493649</v>
      </c>
      <c r="E2" s="4">
        <v>516920</v>
      </c>
      <c r="F2" s="4">
        <v>586252</v>
      </c>
      <c r="G2" s="4">
        <v>580477</v>
      </c>
      <c r="H2" s="4">
        <v>548279</v>
      </c>
      <c r="I2" s="4">
        <v>1066944</v>
      </c>
      <c r="J2" s="4"/>
      <c r="L2" t="s">
        <v>0</v>
      </c>
      <c r="N2" s="3" t="s">
        <v>121</v>
      </c>
      <c r="O2" s="3" t="s">
        <v>122</v>
      </c>
      <c r="P2" s="3" t="s">
        <v>123</v>
      </c>
      <c r="Q2" s="3" t="s">
        <v>124</v>
      </c>
      <c r="R2" s="3" t="s">
        <v>125</v>
      </c>
      <c r="S2" s="3" t="s">
        <v>126</v>
      </c>
      <c r="T2" s="3" t="s">
        <v>127</v>
      </c>
    </row>
    <row r="3" spans="1:21" x14ac:dyDescent="0.2">
      <c r="A3" t="s">
        <v>1</v>
      </c>
      <c r="B3" s="4">
        <v>397913</v>
      </c>
      <c r="D3" s="4">
        <v>367662</v>
      </c>
      <c r="E3" s="4">
        <v>377767</v>
      </c>
      <c r="F3" s="4">
        <v>592079</v>
      </c>
      <c r="G3" s="4">
        <v>425572</v>
      </c>
      <c r="H3" s="4">
        <v>373435</v>
      </c>
      <c r="I3" s="4">
        <v>853116</v>
      </c>
      <c r="J3" s="4"/>
      <c r="L3" t="s">
        <v>1</v>
      </c>
      <c r="M3" s="3" t="s">
        <v>201</v>
      </c>
      <c r="O3" s="3" t="s">
        <v>202</v>
      </c>
      <c r="P3" s="3" t="s">
        <v>203</v>
      </c>
      <c r="Q3" s="3" t="s">
        <v>204</v>
      </c>
      <c r="R3" s="3" t="s">
        <v>122</v>
      </c>
      <c r="S3" s="3" t="s">
        <v>205</v>
      </c>
      <c r="T3" s="3" t="s">
        <v>206</v>
      </c>
    </row>
    <row r="4" spans="1:21" x14ac:dyDescent="0.2">
      <c r="A4" t="s">
        <v>2</v>
      </c>
      <c r="B4" s="4">
        <v>393125</v>
      </c>
      <c r="C4" s="4">
        <v>363343</v>
      </c>
      <c r="E4" s="4">
        <v>372008</v>
      </c>
      <c r="F4" s="4">
        <v>619009</v>
      </c>
      <c r="G4" s="4">
        <v>472306</v>
      </c>
      <c r="H4" s="4">
        <v>446080</v>
      </c>
      <c r="I4" s="4">
        <v>853899</v>
      </c>
      <c r="J4" s="4"/>
      <c r="L4" t="s">
        <v>7</v>
      </c>
      <c r="M4" s="3" t="s">
        <v>275</v>
      </c>
      <c r="N4" s="3" t="s">
        <v>276</v>
      </c>
      <c r="P4" s="3" t="s">
        <v>277</v>
      </c>
      <c r="Q4" s="3" t="s">
        <v>278</v>
      </c>
      <c r="R4" s="3" t="s">
        <v>126</v>
      </c>
      <c r="S4" s="3" t="s">
        <v>279</v>
      </c>
      <c r="T4" s="3" t="s">
        <v>280</v>
      </c>
    </row>
    <row r="5" spans="1:21" x14ac:dyDescent="0.2">
      <c r="A5" t="s">
        <v>3</v>
      </c>
      <c r="B5" s="4">
        <v>413050</v>
      </c>
      <c r="C5" s="4">
        <v>373961</v>
      </c>
      <c r="D5" s="4">
        <v>372460</v>
      </c>
      <c r="F5" s="4">
        <v>583945</v>
      </c>
      <c r="G5" s="4">
        <v>460767</v>
      </c>
      <c r="H5" s="4">
        <v>440759</v>
      </c>
      <c r="I5" s="4">
        <v>850746</v>
      </c>
      <c r="J5" s="4"/>
      <c r="L5" t="s">
        <v>3</v>
      </c>
      <c r="M5" s="3" t="s">
        <v>339</v>
      </c>
      <c r="N5" s="3" t="s">
        <v>340</v>
      </c>
      <c r="O5" s="3" t="s">
        <v>260</v>
      </c>
      <c r="Q5" s="3" t="s">
        <v>341</v>
      </c>
      <c r="R5" s="3" t="s">
        <v>250</v>
      </c>
      <c r="S5" s="3" t="s">
        <v>342</v>
      </c>
      <c r="T5" s="3" t="s">
        <v>206</v>
      </c>
    </row>
    <row r="6" spans="1:21" x14ac:dyDescent="0.2">
      <c r="A6" t="s">
        <v>4</v>
      </c>
      <c r="B6" s="4">
        <v>462494</v>
      </c>
      <c r="C6" s="4">
        <v>575960</v>
      </c>
      <c r="D6" s="4">
        <v>610235</v>
      </c>
      <c r="E6" s="4">
        <v>575146</v>
      </c>
      <c r="G6" s="4">
        <v>556606</v>
      </c>
      <c r="H6" s="4">
        <v>572875</v>
      </c>
      <c r="I6" s="4">
        <v>898249</v>
      </c>
      <c r="J6" s="4"/>
      <c r="L6" t="s">
        <v>4</v>
      </c>
      <c r="M6" s="3" t="s">
        <v>401</v>
      </c>
      <c r="N6" s="3" t="s">
        <v>402</v>
      </c>
      <c r="O6" s="3" t="s">
        <v>403</v>
      </c>
      <c r="P6" s="3" t="s">
        <v>86</v>
      </c>
      <c r="R6" s="3" t="s">
        <v>404</v>
      </c>
      <c r="S6" s="3" t="s">
        <v>405</v>
      </c>
      <c r="T6" s="3" t="s">
        <v>406</v>
      </c>
    </row>
    <row r="7" spans="1:21" x14ac:dyDescent="0.2">
      <c r="A7" t="s">
        <v>6</v>
      </c>
      <c r="B7" s="4">
        <v>466574</v>
      </c>
      <c r="C7" s="4">
        <v>415167</v>
      </c>
      <c r="D7" s="4">
        <v>470203</v>
      </c>
      <c r="E7" s="4">
        <v>457046</v>
      </c>
      <c r="F7" s="4">
        <v>561920</v>
      </c>
      <c r="H7" s="4">
        <v>330037</v>
      </c>
      <c r="I7" s="4">
        <v>869572</v>
      </c>
      <c r="J7" s="4"/>
      <c r="L7" t="s">
        <v>6</v>
      </c>
      <c r="M7" s="3" t="s">
        <v>458</v>
      </c>
      <c r="N7" s="3" t="s">
        <v>154</v>
      </c>
      <c r="O7" s="3" t="s">
        <v>459</v>
      </c>
      <c r="P7" s="3" t="s">
        <v>103</v>
      </c>
      <c r="Q7" s="3" t="s">
        <v>460</v>
      </c>
      <c r="S7" s="3" t="s">
        <v>461</v>
      </c>
      <c r="T7" s="3" t="s">
        <v>462</v>
      </c>
    </row>
    <row r="8" spans="1:21" x14ac:dyDescent="0.2">
      <c r="A8" t="s">
        <v>5</v>
      </c>
      <c r="B8" s="4">
        <v>435661</v>
      </c>
      <c r="C8" s="4">
        <v>364014</v>
      </c>
      <c r="D8" s="4">
        <v>442477</v>
      </c>
      <c r="E8" s="4">
        <v>436458</v>
      </c>
      <c r="F8" s="4">
        <v>579168</v>
      </c>
      <c r="G8" s="4">
        <v>331440</v>
      </c>
      <c r="I8" s="4">
        <v>852546</v>
      </c>
      <c r="J8" s="4"/>
      <c r="L8" t="s">
        <v>5</v>
      </c>
      <c r="M8" s="3" t="s">
        <v>105</v>
      </c>
      <c r="N8" s="3" t="s">
        <v>511</v>
      </c>
      <c r="O8" s="3" t="s">
        <v>104</v>
      </c>
      <c r="P8" s="3" t="s">
        <v>512</v>
      </c>
      <c r="Q8" s="3" t="s">
        <v>513</v>
      </c>
      <c r="R8" s="3" t="s">
        <v>514</v>
      </c>
      <c r="T8" s="3" t="s">
        <v>515</v>
      </c>
    </row>
    <row r="11" spans="1:21" x14ac:dyDescent="0.2">
      <c r="A11" t="s">
        <v>525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31</v>
      </c>
      <c r="L11" t="s">
        <v>518</v>
      </c>
      <c r="M11" t="s">
        <v>0</v>
      </c>
      <c r="N11" t="s">
        <v>1</v>
      </c>
      <c r="O11" t="s">
        <v>2</v>
      </c>
      <c r="P11" t="s">
        <v>3</v>
      </c>
      <c r="Q11" t="s">
        <v>4</v>
      </c>
      <c r="R11" t="s">
        <v>5</v>
      </c>
      <c r="S11" t="s">
        <v>6</v>
      </c>
      <c r="T11" t="s">
        <v>31</v>
      </c>
    </row>
    <row r="12" spans="1:21" x14ac:dyDescent="0.2">
      <c r="A12" t="s">
        <v>8</v>
      </c>
      <c r="C12" s="2">
        <v>38704</v>
      </c>
      <c r="D12" s="2">
        <v>41416</v>
      </c>
      <c r="E12" s="2">
        <v>37304</v>
      </c>
      <c r="F12" s="2">
        <v>36059</v>
      </c>
      <c r="G12" s="2">
        <v>47941</v>
      </c>
      <c r="H12" s="2">
        <v>47832</v>
      </c>
      <c r="I12" s="2">
        <v>75333</v>
      </c>
      <c r="L12" t="s">
        <v>8</v>
      </c>
      <c r="N12" s="3" t="s">
        <v>50</v>
      </c>
      <c r="O12" s="3" t="s">
        <v>51</v>
      </c>
      <c r="P12" s="3" t="s">
        <v>52</v>
      </c>
      <c r="Q12" s="3" t="s">
        <v>53</v>
      </c>
      <c r="R12" s="3" t="s">
        <v>54</v>
      </c>
      <c r="S12" s="3" t="s">
        <v>55</v>
      </c>
      <c r="T12" s="3" t="s">
        <v>56</v>
      </c>
      <c r="U12" s="3"/>
    </row>
    <row r="13" spans="1:21" x14ac:dyDescent="0.2">
      <c r="A13" t="s">
        <v>9</v>
      </c>
      <c r="C13" s="2">
        <v>28327</v>
      </c>
      <c r="D13" s="2">
        <v>26109</v>
      </c>
      <c r="E13" s="2">
        <v>28784</v>
      </c>
      <c r="F13" s="2">
        <v>33600</v>
      </c>
      <c r="G13" s="2">
        <v>31829</v>
      </c>
      <c r="H13" s="2">
        <v>28212</v>
      </c>
      <c r="I13" s="2">
        <v>58989</v>
      </c>
      <c r="L13" t="s">
        <v>9</v>
      </c>
      <c r="N13" s="3" t="s">
        <v>57</v>
      </c>
      <c r="O13" s="3" t="s">
        <v>58</v>
      </c>
      <c r="P13" s="3" t="s">
        <v>59</v>
      </c>
      <c r="Q13" s="3" t="s">
        <v>60</v>
      </c>
      <c r="R13" s="3" t="s">
        <v>61</v>
      </c>
      <c r="S13" s="3" t="s">
        <v>62</v>
      </c>
      <c r="T13" s="3" t="s">
        <v>63</v>
      </c>
      <c r="U13" s="3"/>
    </row>
    <row r="14" spans="1:21" x14ac:dyDescent="0.2">
      <c r="A14" t="s">
        <v>10</v>
      </c>
      <c r="C14" s="2">
        <v>53191</v>
      </c>
      <c r="D14" s="2">
        <v>45341</v>
      </c>
      <c r="E14" s="2">
        <v>57865</v>
      </c>
      <c r="F14" s="2">
        <v>75788</v>
      </c>
      <c r="G14" s="2">
        <v>63644</v>
      </c>
      <c r="H14" s="2">
        <v>57790</v>
      </c>
      <c r="I14" s="2">
        <v>124028</v>
      </c>
      <c r="L14" t="s">
        <v>10</v>
      </c>
      <c r="N14" s="3" t="s">
        <v>64</v>
      </c>
      <c r="O14" s="3" t="s">
        <v>65</v>
      </c>
      <c r="P14" s="3" t="s">
        <v>66</v>
      </c>
      <c r="Q14" s="3" t="s">
        <v>67</v>
      </c>
      <c r="R14" s="3" t="s">
        <v>68</v>
      </c>
      <c r="S14" s="3" t="s">
        <v>52</v>
      </c>
      <c r="T14" s="3" t="s">
        <v>69</v>
      </c>
      <c r="U14" s="3"/>
    </row>
    <row r="15" spans="1:21" x14ac:dyDescent="0.2">
      <c r="A15" t="s">
        <v>11</v>
      </c>
      <c r="C15" s="2">
        <v>45791</v>
      </c>
      <c r="D15" s="2">
        <v>61120</v>
      </c>
      <c r="E15" s="2">
        <v>53072</v>
      </c>
      <c r="F15" s="2">
        <v>78473</v>
      </c>
      <c r="G15" s="2">
        <v>71125</v>
      </c>
      <c r="H15" s="2">
        <v>50002</v>
      </c>
      <c r="I15" s="2">
        <v>133175</v>
      </c>
      <c r="L15" t="s">
        <v>11</v>
      </c>
      <c r="N15" s="3" t="s">
        <v>70</v>
      </c>
      <c r="O15" s="3" t="s">
        <v>71</v>
      </c>
      <c r="P15" s="3" t="s">
        <v>72</v>
      </c>
      <c r="Q15" s="3" t="s">
        <v>73</v>
      </c>
      <c r="R15" s="3" t="s">
        <v>74</v>
      </c>
      <c r="S15" s="3" t="s">
        <v>75</v>
      </c>
      <c r="T15" s="3" t="s">
        <v>76</v>
      </c>
      <c r="U15" s="3"/>
    </row>
    <row r="16" spans="1:21" x14ac:dyDescent="0.2">
      <c r="A16" t="s">
        <v>12</v>
      </c>
      <c r="C16" s="2">
        <v>34327</v>
      </c>
      <c r="D16" s="2">
        <v>32215</v>
      </c>
      <c r="E16" s="2">
        <v>39337</v>
      </c>
      <c r="F16" s="2">
        <v>49063</v>
      </c>
      <c r="G16" s="2">
        <v>41181</v>
      </c>
      <c r="H16" s="2">
        <v>39065</v>
      </c>
      <c r="I16" s="2">
        <v>81589</v>
      </c>
      <c r="L16" t="s">
        <v>12</v>
      </c>
      <c r="N16" s="3" t="s">
        <v>77</v>
      </c>
      <c r="O16" s="3" t="s">
        <v>78</v>
      </c>
      <c r="P16" s="3" t="s">
        <v>79</v>
      </c>
      <c r="Q16" s="3" t="s">
        <v>80</v>
      </c>
      <c r="R16" s="3" t="s">
        <v>81</v>
      </c>
      <c r="S16" s="3" t="s">
        <v>82</v>
      </c>
      <c r="T16" s="3" t="s">
        <v>83</v>
      </c>
      <c r="U16" s="3"/>
    </row>
    <row r="17" spans="1:21" x14ac:dyDescent="0.2">
      <c r="A17" t="s">
        <v>13</v>
      </c>
      <c r="C17" s="2">
        <v>37931</v>
      </c>
      <c r="D17" s="2">
        <v>32341</v>
      </c>
      <c r="E17" s="2">
        <v>33166</v>
      </c>
      <c r="F17" s="2">
        <v>43641</v>
      </c>
      <c r="G17" s="2">
        <v>43942</v>
      </c>
      <c r="H17" s="2">
        <v>42620</v>
      </c>
      <c r="I17" s="2">
        <v>77655</v>
      </c>
      <c r="L17" t="s">
        <v>13</v>
      </c>
      <c r="N17" s="3" t="s">
        <v>84</v>
      </c>
      <c r="O17" s="3" t="s">
        <v>61</v>
      </c>
      <c r="P17" s="3" t="s">
        <v>85</v>
      </c>
      <c r="Q17" s="3" t="s">
        <v>86</v>
      </c>
      <c r="R17" s="3" t="s">
        <v>87</v>
      </c>
      <c r="S17" s="3" t="s">
        <v>88</v>
      </c>
      <c r="T17" s="3" t="s">
        <v>89</v>
      </c>
      <c r="U17" s="3"/>
    </row>
    <row r="18" spans="1:21" x14ac:dyDescent="0.2">
      <c r="A18" t="s">
        <v>14</v>
      </c>
      <c r="C18" s="2">
        <v>32894</v>
      </c>
      <c r="D18" s="2">
        <v>29666</v>
      </c>
      <c r="E18" s="2">
        <v>34980</v>
      </c>
      <c r="F18" s="2">
        <v>54437</v>
      </c>
      <c r="G18" s="2">
        <v>39842</v>
      </c>
      <c r="H18" s="2">
        <v>45539</v>
      </c>
      <c r="I18" s="2">
        <v>83356</v>
      </c>
      <c r="L18" t="s">
        <v>14</v>
      </c>
      <c r="N18" s="3" t="s">
        <v>90</v>
      </c>
      <c r="O18" s="3" t="s">
        <v>91</v>
      </c>
      <c r="P18" s="3" t="s">
        <v>53</v>
      </c>
      <c r="Q18" s="3" t="s">
        <v>92</v>
      </c>
      <c r="R18" s="3" t="s">
        <v>68</v>
      </c>
      <c r="S18" s="3" t="s">
        <v>93</v>
      </c>
      <c r="T18" s="3" t="s">
        <v>94</v>
      </c>
      <c r="U18" s="3"/>
    </row>
    <row r="19" spans="1:21" x14ac:dyDescent="0.2">
      <c r="A19" t="s">
        <v>15</v>
      </c>
      <c r="C19" s="2">
        <v>35005</v>
      </c>
      <c r="D19" s="2">
        <v>29097</v>
      </c>
      <c r="E19" s="2">
        <v>34999</v>
      </c>
      <c r="F19" s="2">
        <v>43688</v>
      </c>
      <c r="G19" s="2">
        <v>40445</v>
      </c>
      <c r="H19" s="2">
        <v>36355</v>
      </c>
      <c r="I19" s="2">
        <v>74286</v>
      </c>
      <c r="L19" t="s">
        <v>15</v>
      </c>
      <c r="N19" s="3" t="s">
        <v>95</v>
      </c>
      <c r="O19" s="3" t="s">
        <v>96</v>
      </c>
      <c r="P19" s="3" t="s">
        <v>97</v>
      </c>
      <c r="Q19" s="3" t="s">
        <v>54</v>
      </c>
      <c r="R19" s="3" t="s">
        <v>98</v>
      </c>
      <c r="S19" s="3" t="s">
        <v>99</v>
      </c>
      <c r="T19" s="3" t="s">
        <v>100</v>
      </c>
      <c r="U19" s="3"/>
    </row>
    <row r="20" spans="1:21" x14ac:dyDescent="0.2">
      <c r="A20" t="s">
        <v>16</v>
      </c>
      <c r="C20" s="2">
        <v>37819</v>
      </c>
      <c r="D20" s="2">
        <v>41603</v>
      </c>
      <c r="E20" s="2">
        <v>44501</v>
      </c>
      <c r="F20" s="2">
        <v>43050</v>
      </c>
      <c r="G20" s="2">
        <v>42390</v>
      </c>
      <c r="H20" s="2">
        <v>44842</v>
      </c>
      <c r="I20" s="2">
        <v>72597</v>
      </c>
      <c r="L20" t="s">
        <v>16</v>
      </c>
      <c r="N20" s="3" t="s">
        <v>101</v>
      </c>
      <c r="O20" s="3" t="s">
        <v>102</v>
      </c>
      <c r="P20" s="3" t="s">
        <v>103</v>
      </c>
      <c r="Q20" s="3" t="s">
        <v>104</v>
      </c>
      <c r="R20" s="3" t="s">
        <v>105</v>
      </c>
      <c r="S20" s="3" t="s">
        <v>106</v>
      </c>
      <c r="T20" s="3" t="s">
        <v>107</v>
      </c>
      <c r="U20" s="3"/>
    </row>
    <row r="21" spans="1:21" x14ac:dyDescent="0.2">
      <c r="A21" t="s">
        <v>17</v>
      </c>
      <c r="C21" s="2">
        <v>64626</v>
      </c>
      <c r="D21" s="2">
        <v>66194</v>
      </c>
      <c r="E21" s="2">
        <v>68935</v>
      </c>
      <c r="F21" s="2">
        <v>55714</v>
      </c>
      <c r="G21" s="2">
        <v>69927</v>
      </c>
      <c r="H21" s="2">
        <v>69158</v>
      </c>
      <c r="I21" s="2">
        <v>133345</v>
      </c>
      <c r="L21" t="s">
        <v>17</v>
      </c>
      <c r="N21" s="3" t="s">
        <v>108</v>
      </c>
      <c r="O21" s="3" t="s">
        <v>109</v>
      </c>
      <c r="P21" s="3" t="s">
        <v>110</v>
      </c>
      <c r="Q21" s="3" t="s">
        <v>111</v>
      </c>
      <c r="R21" s="3" t="s">
        <v>112</v>
      </c>
      <c r="S21" s="3" t="s">
        <v>83</v>
      </c>
      <c r="T21" s="3" t="s">
        <v>113</v>
      </c>
      <c r="U21" s="3"/>
    </row>
    <row r="22" spans="1:21" x14ac:dyDescent="0.2">
      <c r="A22" t="s">
        <v>18</v>
      </c>
      <c r="C22" s="2">
        <v>58606</v>
      </c>
      <c r="D22" s="2">
        <v>57978</v>
      </c>
      <c r="E22" s="2">
        <v>53605</v>
      </c>
      <c r="F22" s="2">
        <v>37694</v>
      </c>
      <c r="G22" s="2">
        <v>56880</v>
      </c>
      <c r="H22" s="2">
        <v>53698</v>
      </c>
      <c r="I22" s="2">
        <v>101565</v>
      </c>
      <c r="L22" t="s">
        <v>18</v>
      </c>
      <c r="N22" s="3" t="s">
        <v>114</v>
      </c>
      <c r="O22" s="3" t="s">
        <v>115</v>
      </c>
      <c r="P22" s="3" t="s">
        <v>116</v>
      </c>
      <c r="Q22" s="3" t="s">
        <v>117</v>
      </c>
      <c r="R22" s="3" t="s">
        <v>118</v>
      </c>
      <c r="S22" s="3" t="s">
        <v>119</v>
      </c>
      <c r="T22" s="3" t="s">
        <v>120</v>
      </c>
      <c r="U22" s="3"/>
    </row>
    <row r="23" spans="1:21" x14ac:dyDescent="0.2">
      <c r="A23" t="s">
        <v>35</v>
      </c>
      <c r="C23" s="4">
        <v>500184</v>
      </c>
      <c r="D23" s="4">
        <v>493649</v>
      </c>
      <c r="E23" s="4">
        <v>516920</v>
      </c>
      <c r="F23" s="4">
        <v>586252</v>
      </c>
      <c r="G23" s="4">
        <v>580477</v>
      </c>
      <c r="H23" s="4">
        <v>548279</v>
      </c>
      <c r="I23" s="4">
        <v>1066944</v>
      </c>
      <c r="J23" s="4"/>
      <c r="L23" t="s">
        <v>35</v>
      </c>
      <c r="N23" s="3" t="s">
        <v>121</v>
      </c>
      <c r="O23" s="3" t="s">
        <v>122</v>
      </c>
      <c r="P23" s="3" t="s">
        <v>123</v>
      </c>
      <c r="Q23" s="3" t="s">
        <v>124</v>
      </c>
      <c r="R23" s="3" t="s">
        <v>125</v>
      </c>
      <c r="S23" s="3" t="s">
        <v>126</v>
      </c>
      <c r="T23" s="3" t="s">
        <v>127</v>
      </c>
      <c r="U23" s="3"/>
    </row>
    <row r="24" spans="1:21" x14ac:dyDescent="0.2">
      <c r="N24" s="3"/>
      <c r="O24" s="3"/>
      <c r="P24" s="3"/>
      <c r="Q24" s="3"/>
      <c r="R24" s="3"/>
      <c r="S24" s="3"/>
      <c r="T24" s="3"/>
      <c r="U24" s="3"/>
    </row>
    <row r="25" spans="1:21" x14ac:dyDescent="0.2"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t="s">
        <v>526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31</v>
      </c>
      <c r="L26" t="s">
        <v>519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5</v>
      </c>
      <c r="S26" t="s">
        <v>6</v>
      </c>
      <c r="T26" t="s">
        <v>31</v>
      </c>
      <c r="U26" s="3"/>
    </row>
    <row r="27" spans="1:21" x14ac:dyDescent="0.2">
      <c r="A27" t="s">
        <v>19</v>
      </c>
      <c r="B27" s="2">
        <v>27935</v>
      </c>
      <c r="D27" s="2">
        <v>28845</v>
      </c>
      <c r="E27" s="2">
        <v>22980</v>
      </c>
      <c r="F27" s="2">
        <v>32363</v>
      </c>
      <c r="G27" s="2">
        <v>28196</v>
      </c>
      <c r="H27" s="2">
        <v>29344</v>
      </c>
      <c r="I27" s="2">
        <v>58106</v>
      </c>
      <c r="L27" t="s">
        <v>19</v>
      </c>
      <c r="M27" s="3" t="s">
        <v>128</v>
      </c>
      <c r="O27" s="3" t="s">
        <v>129</v>
      </c>
      <c r="P27" s="3" t="s">
        <v>130</v>
      </c>
      <c r="Q27" s="3" t="s">
        <v>131</v>
      </c>
      <c r="R27" s="3" t="s">
        <v>132</v>
      </c>
      <c r="S27" s="3" t="s">
        <v>133</v>
      </c>
      <c r="T27" s="3" t="s">
        <v>134</v>
      </c>
      <c r="U27" s="3"/>
    </row>
    <row r="28" spans="1:21" x14ac:dyDescent="0.2">
      <c r="A28" t="s">
        <v>20</v>
      </c>
      <c r="B28" s="2">
        <v>23301</v>
      </c>
      <c r="D28" s="2">
        <v>19098</v>
      </c>
      <c r="E28" s="2">
        <v>20226</v>
      </c>
      <c r="F28" s="2">
        <v>35414</v>
      </c>
      <c r="G28" s="2">
        <v>25086</v>
      </c>
      <c r="H28" s="2">
        <v>21783</v>
      </c>
      <c r="I28" s="2">
        <v>48720</v>
      </c>
      <c r="L28" t="s">
        <v>20</v>
      </c>
      <c r="M28" s="3" t="s">
        <v>135</v>
      </c>
      <c r="O28" s="3" t="s">
        <v>136</v>
      </c>
      <c r="P28" s="3" t="s">
        <v>137</v>
      </c>
      <c r="Q28" s="3" t="s">
        <v>138</v>
      </c>
      <c r="R28" s="3" t="s">
        <v>139</v>
      </c>
      <c r="S28" s="3" t="s">
        <v>140</v>
      </c>
      <c r="T28" s="3" t="s">
        <v>141</v>
      </c>
      <c r="U28" s="3"/>
    </row>
    <row r="29" spans="1:21" x14ac:dyDescent="0.2">
      <c r="A29" t="s">
        <v>21</v>
      </c>
      <c r="B29" s="2">
        <v>43759</v>
      </c>
      <c r="D29" s="2">
        <v>39131</v>
      </c>
      <c r="E29" s="2">
        <v>40981</v>
      </c>
      <c r="F29" s="2">
        <v>75187</v>
      </c>
      <c r="G29" s="2">
        <v>49795</v>
      </c>
      <c r="H29" s="2">
        <v>47078</v>
      </c>
      <c r="I29" s="2">
        <v>104908</v>
      </c>
      <c r="L29" t="s">
        <v>21</v>
      </c>
      <c r="M29" s="3" t="s">
        <v>142</v>
      </c>
      <c r="O29" s="3" t="s">
        <v>143</v>
      </c>
      <c r="P29" s="3" t="s">
        <v>144</v>
      </c>
      <c r="Q29" s="3" t="s">
        <v>145</v>
      </c>
      <c r="R29" s="3" t="s">
        <v>146</v>
      </c>
      <c r="S29" s="3" t="s">
        <v>147</v>
      </c>
      <c r="T29" s="3" t="s">
        <v>148</v>
      </c>
      <c r="U29" s="3"/>
    </row>
    <row r="30" spans="1:21" x14ac:dyDescent="0.2">
      <c r="A30" t="s">
        <v>22</v>
      </c>
      <c r="B30" s="2">
        <v>34039</v>
      </c>
      <c r="D30" s="2">
        <v>43887</v>
      </c>
      <c r="E30" s="2">
        <v>40633</v>
      </c>
      <c r="F30" s="2">
        <v>75155</v>
      </c>
      <c r="G30" s="2">
        <v>57674</v>
      </c>
      <c r="H30" s="2">
        <v>33212</v>
      </c>
      <c r="I30" s="2">
        <v>106485</v>
      </c>
      <c r="L30" t="s">
        <v>22</v>
      </c>
      <c r="M30" s="3" t="s">
        <v>149</v>
      </c>
      <c r="O30" s="3" t="s">
        <v>150</v>
      </c>
      <c r="P30" s="3" t="s">
        <v>151</v>
      </c>
      <c r="Q30" s="3" t="s">
        <v>152</v>
      </c>
      <c r="R30" s="3" t="s">
        <v>153</v>
      </c>
      <c r="S30" s="3" t="s">
        <v>154</v>
      </c>
      <c r="T30" s="3" t="s">
        <v>155</v>
      </c>
      <c r="U30" s="3"/>
    </row>
    <row r="31" spans="1:21" x14ac:dyDescent="0.2">
      <c r="A31" t="s">
        <v>23</v>
      </c>
      <c r="B31" s="2">
        <v>27390</v>
      </c>
      <c r="D31" s="2">
        <v>28633</v>
      </c>
      <c r="E31" s="2">
        <v>32433</v>
      </c>
      <c r="F31" s="2">
        <v>48508</v>
      </c>
      <c r="G31" s="2">
        <v>31101</v>
      </c>
      <c r="H31" s="2">
        <v>26773</v>
      </c>
      <c r="I31" s="2">
        <v>67679</v>
      </c>
      <c r="L31" t="s">
        <v>23</v>
      </c>
      <c r="M31" s="3" t="s">
        <v>156</v>
      </c>
      <c r="O31" s="3" t="s">
        <v>157</v>
      </c>
      <c r="P31" s="3" t="s">
        <v>158</v>
      </c>
      <c r="Q31" s="3" t="s">
        <v>159</v>
      </c>
      <c r="R31" s="3" t="s">
        <v>160</v>
      </c>
      <c r="S31" s="3" t="s">
        <v>161</v>
      </c>
      <c r="T31" s="3" t="s">
        <v>162</v>
      </c>
      <c r="U31" s="3"/>
    </row>
    <row r="32" spans="1:21" x14ac:dyDescent="0.2">
      <c r="A32" t="s">
        <v>24</v>
      </c>
      <c r="B32" s="2">
        <v>32082</v>
      </c>
      <c r="D32" s="2">
        <v>30838</v>
      </c>
      <c r="E32" s="2">
        <v>31336</v>
      </c>
      <c r="F32" s="2">
        <v>37561</v>
      </c>
      <c r="G32" s="2">
        <v>36316</v>
      </c>
      <c r="H32" s="2">
        <v>36422</v>
      </c>
      <c r="I32" s="2">
        <v>65297</v>
      </c>
      <c r="L32" t="s">
        <v>24</v>
      </c>
      <c r="M32" s="3" t="s">
        <v>163</v>
      </c>
      <c r="O32" s="3" t="s">
        <v>164</v>
      </c>
      <c r="P32" s="3" t="s">
        <v>165</v>
      </c>
      <c r="Q32" s="3" t="s">
        <v>166</v>
      </c>
      <c r="R32" s="3" t="s">
        <v>167</v>
      </c>
      <c r="S32" s="3" t="s">
        <v>168</v>
      </c>
      <c r="T32" s="3" t="s">
        <v>169</v>
      </c>
      <c r="U32" s="3"/>
    </row>
    <row r="33" spans="1:21" x14ac:dyDescent="0.2">
      <c r="A33" t="s">
        <v>25</v>
      </c>
      <c r="B33" s="2">
        <v>26932</v>
      </c>
      <c r="D33" s="2">
        <v>25213</v>
      </c>
      <c r="E33" s="2">
        <v>25726</v>
      </c>
      <c r="F33" s="2">
        <v>49784</v>
      </c>
      <c r="G33" s="2">
        <v>28845</v>
      </c>
      <c r="H33" s="2">
        <v>33027</v>
      </c>
      <c r="I33" s="2">
        <v>69611</v>
      </c>
      <c r="L33" t="s">
        <v>25</v>
      </c>
      <c r="M33" s="3" t="s">
        <v>170</v>
      </c>
      <c r="O33" s="3" t="s">
        <v>171</v>
      </c>
      <c r="P33" s="3" t="s">
        <v>172</v>
      </c>
      <c r="Q33" s="3" t="s">
        <v>173</v>
      </c>
      <c r="R33" s="3" t="s">
        <v>174</v>
      </c>
      <c r="S33" s="3" t="s">
        <v>175</v>
      </c>
      <c r="T33" s="3" t="s">
        <v>176</v>
      </c>
      <c r="U33" s="3"/>
    </row>
    <row r="34" spans="1:21" x14ac:dyDescent="0.2">
      <c r="A34" t="s">
        <v>26</v>
      </c>
      <c r="B34" s="2">
        <v>28859</v>
      </c>
      <c r="D34" s="2">
        <v>24637</v>
      </c>
      <c r="E34" s="2">
        <v>24900</v>
      </c>
      <c r="F34" s="2">
        <v>43122</v>
      </c>
      <c r="G34" s="2">
        <v>31825</v>
      </c>
      <c r="H34" s="2">
        <v>25214</v>
      </c>
      <c r="I34" s="2">
        <v>61145</v>
      </c>
      <c r="L34" t="s">
        <v>26</v>
      </c>
      <c r="M34" s="3" t="s">
        <v>177</v>
      </c>
      <c r="O34" s="3" t="s">
        <v>178</v>
      </c>
      <c r="P34" s="3" t="s">
        <v>179</v>
      </c>
      <c r="Q34" s="3" t="s">
        <v>88</v>
      </c>
      <c r="R34" s="3" t="s">
        <v>95</v>
      </c>
      <c r="S34" s="3" t="s">
        <v>180</v>
      </c>
      <c r="T34" s="3" t="s">
        <v>181</v>
      </c>
      <c r="U34" s="3"/>
    </row>
    <row r="35" spans="1:21" x14ac:dyDescent="0.2">
      <c r="A35" t="s">
        <v>27</v>
      </c>
      <c r="B35" s="2">
        <v>27787</v>
      </c>
      <c r="D35" s="2">
        <v>21312</v>
      </c>
      <c r="E35" s="2">
        <v>30084</v>
      </c>
      <c r="F35" s="2">
        <v>34331</v>
      </c>
      <c r="G35" s="2">
        <v>30344</v>
      </c>
      <c r="H35" s="2">
        <v>30729</v>
      </c>
      <c r="I35" s="2">
        <v>53161</v>
      </c>
      <c r="L35" t="s">
        <v>27</v>
      </c>
      <c r="M35" s="3" t="s">
        <v>182</v>
      </c>
      <c r="O35" s="5" t="s">
        <v>516</v>
      </c>
      <c r="P35" s="3" t="s">
        <v>183</v>
      </c>
      <c r="Q35" s="3" t="s">
        <v>184</v>
      </c>
      <c r="R35" s="3" t="s">
        <v>185</v>
      </c>
      <c r="S35" s="3" t="s">
        <v>186</v>
      </c>
      <c r="T35" s="3" t="s">
        <v>187</v>
      </c>
      <c r="U35" s="3"/>
    </row>
    <row r="36" spans="1:21" x14ac:dyDescent="0.2">
      <c r="A36" t="s">
        <v>28</v>
      </c>
      <c r="B36" s="2">
        <v>56510</v>
      </c>
      <c r="D36" s="2">
        <v>42835</v>
      </c>
      <c r="E36" s="2">
        <v>47043</v>
      </c>
      <c r="F36" s="2">
        <v>84829</v>
      </c>
      <c r="G36" s="2">
        <v>43108</v>
      </c>
      <c r="H36" s="2">
        <v>26389</v>
      </c>
      <c r="I36" s="2">
        <v>109617</v>
      </c>
      <c r="L36" t="s">
        <v>28</v>
      </c>
      <c r="M36" s="3" t="s">
        <v>188</v>
      </c>
      <c r="O36" s="3" t="s">
        <v>189</v>
      </c>
      <c r="P36" s="3" t="s">
        <v>190</v>
      </c>
      <c r="Q36" s="3" t="s">
        <v>191</v>
      </c>
      <c r="R36" s="3" t="s">
        <v>192</v>
      </c>
      <c r="S36" s="3" t="s">
        <v>193</v>
      </c>
      <c r="T36" s="3" t="s">
        <v>194</v>
      </c>
      <c r="U36" s="3"/>
    </row>
    <row r="37" spans="1:21" x14ac:dyDescent="0.2">
      <c r="A37" t="s">
        <v>29</v>
      </c>
      <c r="B37" s="2">
        <v>50006</v>
      </c>
      <c r="D37" s="2">
        <v>39585</v>
      </c>
      <c r="E37" s="2">
        <v>39805</v>
      </c>
      <c r="F37" s="2">
        <v>52674</v>
      </c>
      <c r="G37" s="2">
        <v>42333</v>
      </c>
      <c r="H37" s="2">
        <v>44127</v>
      </c>
      <c r="I37" s="2">
        <v>82977</v>
      </c>
      <c r="L37" t="s">
        <v>29</v>
      </c>
      <c r="M37" s="3" t="s">
        <v>195</v>
      </c>
      <c r="O37" s="3" t="s">
        <v>196</v>
      </c>
      <c r="P37" s="3" t="s">
        <v>197</v>
      </c>
      <c r="Q37" s="3" t="s">
        <v>198</v>
      </c>
      <c r="R37" s="3" t="s">
        <v>199</v>
      </c>
      <c r="S37" s="3" t="s">
        <v>189</v>
      </c>
      <c r="T37" s="3" t="s">
        <v>200</v>
      </c>
      <c r="U37" s="3"/>
    </row>
    <row r="38" spans="1:21" x14ac:dyDescent="0.2">
      <c r="A38" t="s">
        <v>35</v>
      </c>
      <c r="B38" s="4">
        <v>397913</v>
      </c>
      <c r="D38" s="4">
        <v>367662</v>
      </c>
      <c r="E38" s="4">
        <v>377767</v>
      </c>
      <c r="F38" s="4">
        <v>592079</v>
      </c>
      <c r="G38" s="4">
        <v>425572</v>
      </c>
      <c r="H38" s="4">
        <v>373435</v>
      </c>
      <c r="I38" s="4">
        <v>853116</v>
      </c>
      <c r="J38" s="4"/>
      <c r="L38" t="s">
        <v>35</v>
      </c>
      <c r="M38" s="3" t="s">
        <v>201</v>
      </c>
      <c r="O38" s="3" t="s">
        <v>202</v>
      </c>
      <c r="P38" s="3" t="s">
        <v>203</v>
      </c>
      <c r="Q38" s="3" t="s">
        <v>204</v>
      </c>
      <c r="R38" s="3" t="s">
        <v>122</v>
      </c>
      <c r="S38" s="3" t="s">
        <v>205</v>
      </c>
      <c r="T38" s="3" t="s">
        <v>206</v>
      </c>
      <c r="U38" s="3"/>
    </row>
    <row r="39" spans="1:21" x14ac:dyDescent="0.2">
      <c r="N39" s="3"/>
      <c r="O39" s="3"/>
      <c r="P39" s="3"/>
      <c r="Q39" s="3"/>
      <c r="R39" s="3"/>
      <c r="S39" s="3"/>
      <c r="T39" s="3"/>
      <c r="U39" s="3"/>
    </row>
    <row r="40" spans="1:21" x14ac:dyDescent="0.2">
      <c r="U40" s="3"/>
    </row>
    <row r="41" spans="1:21" x14ac:dyDescent="0.2">
      <c r="A41" t="s">
        <v>527</v>
      </c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31</v>
      </c>
      <c r="L41" t="s">
        <v>520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5</v>
      </c>
      <c r="S41" t="s">
        <v>6</v>
      </c>
      <c r="T41" t="s">
        <v>31</v>
      </c>
      <c r="U41" s="3"/>
    </row>
    <row r="42" spans="1:21" x14ac:dyDescent="0.2">
      <c r="A42" t="s">
        <v>19</v>
      </c>
      <c r="B42" s="2">
        <v>29701</v>
      </c>
      <c r="C42" s="2">
        <v>26320</v>
      </c>
      <c r="E42" s="2">
        <v>28100</v>
      </c>
      <c r="F42" s="2">
        <v>39184</v>
      </c>
      <c r="G42" s="2">
        <v>33469</v>
      </c>
      <c r="H42" s="2">
        <v>30349</v>
      </c>
      <c r="I42" s="2">
        <v>56450</v>
      </c>
      <c r="L42" t="s">
        <v>19</v>
      </c>
      <c r="M42" s="3" t="s">
        <v>64</v>
      </c>
      <c r="N42" s="3" t="s">
        <v>207</v>
      </c>
      <c r="P42" s="3" t="s">
        <v>208</v>
      </c>
      <c r="Q42" s="3" t="s">
        <v>209</v>
      </c>
      <c r="R42" s="3" t="s">
        <v>210</v>
      </c>
      <c r="S42" s="3" t="s">
        <v>62</v>
      </c>
      <c r="T42" s="3" t="s">
        <v>211</v>
      </c>
      <c r="U42" s="3"/>
    </row>
    <row r="43" spans="1:21" x14ac:dyDescent="0.2">
      <c r="A43" t="s">
        <v>20</v>
      </c>
      <c r="B43" s="2">
        <v>21079</v>
      </c>
      <c r="C43" s="2">
        <v>18689</v>
      </c>
      <c r="E43" s="2">
        <v>20413</v>
      </c>
      <c r="F43" s="2">
        <v>36339</v>
      </c>
      <c r="G43" s="2">
        <v>25888</v>
      </c>
      <c r="H43" s="2">
        <v>23496</v>
      </c>
      <c r="I43" s="2">
        <v>47656</v>
      </c>
      <c r="L43" t="s">
        <v>20</v>
      </c>
      <c r="M43" s="3" t="s">
        <v>212</v>
      </c>
      <c r="N43" s="3" t="s">
        <v>213</v>
      </c>
      <c r="P43" s="3" t="s">
        <v>214</v>
      </c>
      <c r="Q43" s="3" t="s">
        <v>215</v>
      </c>
      <c r="R43" s="3" t="s">
        <v>216</v>
      </c>
      <c r="S43" s="3" t="s">
        <v>217</v>
      </c>
      <c r="T43" s="3" t="s">
        <v>109</v>
      </c>
      <c r="U43" s="3"/>
    </row>
    <row r="44" spans="1:21" x14ac:dyDescent="0.2">
      <c r="A44" t="s">
        <v>21</v>
      </c>
      <c r="B44" s="2">
        <v>34954</v>
      </c>
      <c r="C44" s="2">
        <v>37766</v>
      </c>
      <c r="E44" s="2">
        <v>40232</v>
      </c>
      <c r="F44" s="2">
        <v>72893</v>
      </c>
      <c r="G44" s="2">
        <v>52557</v>
      </c>
      <c r="H44" s="2">
        <v>51530</v>
      </c>
      <c r="I44" s="2">
        <v>102106</v>
      </c>
      <c r="L44" t="s">
        <v>21</v>
      </c>
      <c r="M44" s="3" t="s">
        <v>218</v>
      </c>
      <c r="N44" s="3" t="s">
        <v>219</v>
      </c>
      <c r="P44" s="3" t="s">
        <v>220</v>
      </c>
      <c r="Q44" s="3" t="s">
        <v>221</v>
      </c>
      <c r="R44" s="3" t="s">
        <v>222</v>
      </c>
      <c r="S44" s="3" t="s">
        <v>223</v>
      </c>
      <c r="T44" s="3" t="s">
        <v>224</v>
      </c>
      <c r="U44" s="3"/>
    </row>
    <row r="45" spans="1:21" x14ac:dyDescent="0.2">
      <c r="A45" t="s">
        <v>22</v>
      </c>
      <c r="B45" s="2">
        <v>45641</v>
      </c>
      <c r="C45" s="2">
        <v>40696</v>
      </c>
      <c r="E45" s="2">
        <v>40477</v>
      </c>
      <c r="F45" s="2">
        <v>72782</v>
      </c>
      <c r="G45" s="2">
        <v>54797</v>
      </c>
      <c r="H45" s="2">
        <v>44232</v>
      </c>
      <c r="I45" s="2">
        <v>101078</v>
      </c>
      <c r="L45" t="s">
        <v>22</v>
      </c>
      <c r="M45" s="3" t="s">
        <v>225</v>
      </c>
      <c r="N45" s="3" t="s">
        <v>226</v>
      </c>
      <c r="P45" s="3" t="s">
        <v>150</v>
      </c>
      <c r="Q45" s="3" t="s">
        <v>227</v>
      </c>
      <c r="R45" s="3" t="s">
        <v>228</v>
      </c>
      <c r="S45" s="3" t="s">
        <v>229</v>
      </c>
      <c r="T45" s="3" t="s">
        <v>230</v>
      </c>
      <c r="U45" s="3"/>
    </row>
    <row r="46" spans="1:21" x14ac:dyDescent="0.2">
      <c r="A46" t="s">
        <v>23</v>
      </c>
      <c r="B46" s="2">
        <v>24702</v>
      </c>
      <c r="C46" s="2">
        <v>26974</v>
      </c>
      <c r="E46" s="2">
        <v>33492</v>
      </c>
      <c r="F46" s="2">
        <v>47099</v>
      </c>
      <c r="G46" s="2">
        <v>33693</v>
      </c>
      <c r="H46" s="2">
        <v>29806</v>
      </c>
      <c r="I46" s="2">
        <v>66504</v>
      </c>
      <c r="L46" t="s">
        <v>23</v>
      </c>
      <c r="M46" s="3" t="s">
        <v>231</v>
      </c>
      <c r="N46" s="3" t="s">
        <v>232</v>
      </c>
      <c r="P46" s="3" t="s">
        <v>233</v>
      </c>
      <c r="Q46" s="3" t="s">
        <v>234</v>
      </c>
      <c r="R46" s="3" t="s">
        <v>235</v>
      </c>
      <c r="S46" s="3" t="s">
        <v>236</v>
      </c>
      <c r="T46" s="3" t="s">
        <v>237</v>
      </c>
      <c r="U46" s="3"/>
    </row>
    <row r="47" spans="1:21" x14ac:dyDescent="0.2">
      <c r="A47" t="s">
        <v>24</v>
      </c>
      <c r="B47" s="2">
        <v>26641</v>
      </c>
      <c r="C47" s="2">
        <v>30367</v>
      </c>
      <c r="E47" s="2">
        <v>23298</v>
      </c>
      <c r="F47" s="2">
        <v>44043</v>
      </c>
      <c r="G47" s="2">
        <v>38194</v>
      </c>
      <c r="H47" s="2">
        <v>37418</v>
      </c>
      <c r="I47" s="2">
        <v>63838</v>
      </c>
      <c r="L47" t="s">
        <v>24</v>
      </c>
      <c r="M47" s="3" t="s">
        <v>238</v>
      </c>
      <c r="N47" s="3" t="s">
        <v>239</v>
      </c>
      <c r="P47" s="3" t="s">
        <v>240</v>
      </c>
      <c r="Q47" s="3" t="s">
        <v>241</v>
      </c>
      <c r="R47" s="3" t="s">
        <v>242</v>
      </c>
      <c r="S47" s="3" t="s">
        <v>243</v>
      </c>
      <c r="T47" s="3" t="s">
        <v>244</v>
      </c>
      <c r="U47" s="3"/>
    </row>
    <row r="48" spans="1:21" x14ac:dyDescent="0.2">
      <c r="A48" t="s">
        <v>25</v>
      </c>
      <c r="B48" s="2">
        <v>24143</v>
      </c>
      <c r="C48" s="2">
        <v>25032</v>
      </c>
      <c r="E48" s="2">
        <v>25230</v>
      </c>
      <c r="F48" s="2">
        <v>49496</v>
      </c>
      <c r="G48" s="2">
        <v>33459</v>
      </c>
      <c r="H48" s="2">
        <v>38978</v>
      </c>
      <c r="I48" s="2">
        <v>69330</v>
      </c>
      <c r="L48" t="s">
        <v>25</v>
      </c>
      <c r="M48" s="3" t="s">
        <v>245</v>
      </c>
      <c r="N48" s="3" t="s">
        <v>246</v>
      </c>
      <c r="P48" s="3" t="s">
        <v>247</v>
      </c>
      <c r="Q48" s="3" t="s">
        <v>248</v>
      </c>
      <c r="R48" s="3" t="s">
        <v>249</v>
      </c>
      <c r="S48" s="3" t="s">
        <v>250</v>
      </c>
      <c r="T48" s="3" t="s">
        <v>251</v>
      </c>
      <c r="U48" s="3"/>
    </row>
    <row r="49" spans="1:21" x14ac:dyDescent="0.2">
      <c r="A49" t="s">
        <v>26</v>
      </c>
      <c r="B49" s="2">
        <v>22834</v>
      </c>
      <c r="C49" s="2">
        <v>24226</v>
      </c>
      <c r="E49" s="2">
        <v>27118</v>
      </c>
      <c r="F49" s="2">
        <v>47108</v>
      </c>
      <c r="G49" s="2">
        <v>36224</v>
      </c>
      <c r="H49" s="2">
        <v>30857</v>
      </c>
      <c r="I49" s="2">
        <v>61036</v>
      </c>
      <c r="L49" t="s">
        <v>26</v>
      </c>
      <c r="M49" s="3" t="s">
        <v>252</v>
      </c>
      <c r="N49" s="3" t="s">
        <v>178</v>
      </c>
      <c r="P49" s="3" t="s">
        <v>253</v>
      </c>
      <c r="Q49" s="3" t="s">
        <v>254</v>
      </c>
      <c r="R49" s="3" t="s">
        <v>255</v>
      </c>
      <c r="S49" s="3" t="s">
        <v>256</v>
      </c>
      <c r="T49" s="3" t="s">
        <v>257</v>
      </c>
      <c r="U49" s="3"/>
    </row>
    <row r="50" spans="1:21" x14ac:dyDescent="0.2">
      <c r="A50" t="s">
        <v>27</v>
      </c>
      <c r="B50" s="2">
        <v>30598</v>
      </c>
      <c r="C50" s="2">
        <v>20337</v>
      </c>
      <c r="E50" s="2">
        <v>27873</v>
      </c>
      <c r="F50" s="2">
        <v>32112</v>
      </c>
      <c r="G50" s="2">
        <v>29051</v>
      </c>
      <c r="H50" s="2">
        <v>30210</v>
      </c>
      <c r="I50" s="2">
        <v>51703</v>
      </c>
      <c r="L50" t="s">
        <v>27</v>
      </c>
      <c r="M50" s="3" t="s">
        <v>258</v>
      </c>
      <c r="N50" s="3" t="s">
        <v>259</v>
      </c>
      <c r="P50" s="3" t="s">
        <v>180</v>
      </c>
      <c r="Q50" s="3" t="s">
        <v>260</v>
      </c>
      <c r="R50" s="3" t="s">
        <v>261</v>
      </c>
      <c r="S50" s="3" t="s">
        <v>147</v>
      </c>
      <c r="T50" s="3" t="s">
        <v>262</v>
      </c>
      <c r="U50" s="3"/>
    </row>
    <row r="51" spans="1:21" x14ac:dyDescent="0.2">
      <c r="A51" t="s">
        <v>28</v>
      </c>
      <c r="B51" s="2">
        <v>56772</v>
      </c>
      <c r="C51" s="2">
        <v>41534</v>
      </c>
      <c r="E51" s="2">
        <v>41379</v>
      </c>
      <c r="F51" s="2">
        <v>86952</v>
      </c>
      <c r="G51" s="2">
        <v>49003</v>
      </c>
      <c r="H51" s="2">
        <v>45554</v>
      </c>
      <c r="I51" s="2">
        <v>109667</v>
      </c>
      <c r="L51" t="s">
        <v>28</v>
      </c>
      <c r="M51" s="3" t="s">
        <v>263</v>
      </c>
      <c r="N51" s="3" t="s">
        <v>264</v>
      </c>
      <c r="P51" s="3" t="s">
        <v>265</v>
      </c>
      <c r="Q51" s="3" t="s">
        <v>266</v>
      </c>
      <c r="R51" s="3" t="s">
        <v>267</v>
      </c>
      <c r="S51" s="3" t="s">
        <v>116</v>
      </c>
      <c r="T51" s="3" t="s">
        <v>268</v>
      </c>
      <c r="U51" s="3"/>
    </row>
    <row r="52" spans="1:21" x14ac:dyDescent="0.2">
      <c r="A52" t="s">
        <v>29</v>
      </c>
      <c r="B52" s="2">
        <v>48264</v>
      </c>
      <c r="C52" s="2">
        <v>38686</v>
      </c>
      <c r="E52" s="2">
        <v>35425</v>
      </c>
      <c r="F52" s="2">
        <v>50376</v>
      </c>
      <c r="G52" s="2">
        <v>49868</v>
      </c>
      <c r="H52" s="2">
        <v>49304</v>
      </c>
      <c r="I52" s="2">
        <v>81927</v>
      </c>
      <c r="L52" t="s">
        <v>29</v>
      </c>
      <c r="M52" s="3" t="s">
        <v>269</v>
      </c>
      <c r="N52" s="3" t="s">
        <v>270</v>
      </c>
      <c r="P52" s="3" t="s">
        <v>104</v>
      </c>
      <c r="Q52" s="3" t="s">
        <v>271</v>
      </c>
      <c r="R52" s="3" t="s">
        <v>272</v>
      </c>
      <c r="S52" s="3" t="s">
        <v>273</v>
      </c>
      <c r="T52" s="3" t="s">
        <v>274</v>
      </c>
      <c r="U52" s="3"/>
    </row>
    <row r="53" spans="1:21" x14ac:dyDescent="0.2">
      <c r="A53" t="s">
        <v>35</v>
      </c>
      <c r="B53" s="4">
        <v>393125</v>
      </c>
      <c r="C53" s="4">
        <v>363343</v>
      </c>
      <c r="E53" s="4">
        <v>372008</v>
      </c>
      <c r="F53" s="4">
        <v>619009</v>
      </c>
      <c r="G53" s="4">
        <v>472306</v>
      </c>
      <c r="H53" s="4">
        <v>446080</v>
      </c>
      <c r="I53" s="4">
        <v>853899</v>
      </c>
      <c r="J53" s="4"/>
      <c r="L53" t="s">
        <v>35</v>
      </c>
      <c r="M53" s="3" t="s">
        <v>275</v>
      </c>
      <c r="N53" s="3" t="s">
        <v>276</v>
      </c>
      <c r="P53" s="3" t="s">
        <v>277</v>
      </c>
      <c r="Q53" s="3" t="s">
        <v>278</v>
      </c>
      <c r="R53" s="3" t="s">
        <v>126</v>
      </c>
      <c r="S53" s="3" t="s">
        <v>279</v>
      </c>
      <c r="T53" s="3" t="s">
        <v>280</v>
      </c>
      <c r="U53" s="3"/>
    </row>
    <row r="54" spans="1:21" x14ac:dyDescent="0.2">
      <c r="U54" s="3"/>
    </row>
    <row r="55" spans="1:21" x14ac:dyDescent="0.2">
      <c r="U55" s="3"/>
    </row>
    <row r="56" spans="1:21" x14ac:dyDescent="0.2">
      <c r="A56" t="s">
        <v>528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31</v>
      </c>
      <c r="L56" t="s">
        <v>521</v>
      </c>
      <c r="M56" t="s">
        <v>0</v>
      </c>
      <c r="N56" t="s">
        <v>1</v>
      </c>
      <c r="O56" t="s">
        <v>2</v>
      </c>
      <c r="P56" t="s">
        <v>3</v>
      </c>
      <c r="Q56" t="s">
        <v>4</v>
      </c>
      <c r="R56" t="s">
        <v>5</v>
      </c>
      <c r="S56" t="s">
        <v>6</v>
      </c>
      <c r="T56" t="s">
        <v>31</v>
      </c>
      <c r="U56" s="3"/>
    </row>
    <row r="57" spans="1:21" x14ac:dyDescent="0.2">
      <c r="A57" t="s">
        <v>19</v>
      </c>
      <c r="B57" s="2">
        <v>25278</v>
      </c>
      <c r="C57" s="2">
        <v>21089</v>
      </c>
      <c r="D57" s="2">
        <v>27597</v>
      </c>
      <c r="F57" s="2">
        <v>28219</v>
      </c>
      <c r="G57" s="2">
        <v>29817</v>
      </c>
      <c r="H57" s="2">
        <v>29971</v>
      </c>
      <c r="I57" s="2">
        <v>55229</v>
      </c>
      <c r="L57" t="s">
        <v>19</v>
      </c>
      <c r="M57" s="3" t="s">
        <v>65</v>
      </c>
      <c r="N57" s="3" t="s">
        <v>281</v>
      </c>
      <c r="O57" s="3" t="s">
        <v>186</v>
      </c>
      <c r="Q57" s="3" t="s">
        <v>282</v>
      </c>
      <c r="R57" s="3" t="s">
        <v>283</v>
      </c>
      <c r="S57" s="3" t="s">
        <v>284</v>
      </c>
      <c r="T57" s="3" t="s">
        <v>285</v>
      </c>
      <c r="U57" s="3"/>
    </row>
    <row r="58" spans="1:21" x14ac:dyDescent="0.2">
      <c r="A58" t="s">
        <v>20</v>
      </c>
      <c r="B58" s="2">
        <v>23005</v>
      </c>
      <c r="C58" s="2">
        <v>19246</v>
      </c>
      <c r="D58" s="2">
        <v>19859</v>
      </c>
      <c r="F58" s="2">
        <v>34009</v>
      </c>
      <c r="G58" s="2">
        <v>25018</v>
      </c>
      <c r="H58" s="2">
        <v>25342</v>
      </c>
      <c r="I58" s="2">
        <v>46925</v>
      </c>
      <c r="L58" t="s">
        <v>20</v>
      </c>
      <c r="M58" s="3" t="s">
        <v>286</v>
      </c>
      <c r="N58" s="3" t="s">
        <v>287</v>
      </c>
      <c r="O58" s="3" t="s">
        <v>288</v>
      </c>
      <c r="Q58" s="3" t="s">
        <v>289</v>
      </c>
      <c r="R58" s="3" t="s">
        <v>290</v>
      </c>
      <c r="S58" s="3" t="s">
        <v>291</v>
      </c>
      <c r="T58" s="3" t="s">
        <v>292</v>
      </c>
      <c r="U58" s="3"/>
    </row>
    <row r="59" spans="1:21" x14ac:dyDescent="0.2">
      <c r="A59" t="s">
        <v>21</v>
      </c>
      <c r="B59" s="2">
        <v>46846</v>
      </c>
      <c r="C59" s="2">
        <v>39598</v>
      </c>
      <c r="D59" s="2">
        <v>40115</v>
      </c>
      <c r="F59" s="2">
        <v>71063</v>
      </c>
      <c r="G59" s="2">
        <v>51407</v>
      </c>
      <c r="H59" s="2">
        <v>51595</v>
      </c>
      <c r="I59" s="2">
        <v>102237</v>
      </c>
      <c r="L59" t="s">
        <v>21</v>
      </c>
      <c r="M59" s="3" t="s">
        <v>293</v>
      </c>
      <c r="N59" s="3" t="s">
        <v>294</v>
      </c>
      <c r="O59" s="3" t="s">
        <v>295</v>
      </c>
      <c r="Q59" s="3" t="s">
        <v>296</v>
      </c>
      <c r="R59" s="3" t="s">
        <v>297</v>
      </c>
      <c r="S59" s="3" t="s">
        <v>223</v>
      </c>
      <c r="T59" s="3" t="s">
        <v>224</v>
      </c>
      <c r="U59" s="3"/>
    </row>
    <row r="60" spans="1:21" x14ac:dyDescent="0.2">
      <c r="A60" t="s">
        <v>22</v>
      </c>
      <c r="B60" s="2">
        <v>38931</v>
      </c>
      <c r="C60" s="2">
        <v>37735</v>
      </c>
      <c r="D60" s="2">
        <v>40052</v>
      </c>
      <c r="F60" s="2">
        <v>68156</v>
      </c>
      <c r="G60" s="2">
        <v>56248</v>
      </c>
      <c r="H60" s="2">
        <v>40193</v>
      </c>
      <c r="I60" s="2">
        <v>99655</v>
      </c>
      <c r="L60" t="s">
        <v>22</v>
      </c>
      <c r="M60" s="3" t="s">
        <v>189</v>
      </c>
      <c r="N60" s="3" t="s">
        <v>298</v>
      </c>
      <c r="O60" s="3" t="s">
        <v>299</v>
      </c>
      <c r="Q60" s="3" t="s">
        <v>300</v>
      </c>
      <c r="R60" s="3" t="s">
        <v>301</v>
      </c>
      <c r="S60" s="3" t="s">
        <v>302</v>
      </c>
      <c r="T60" s="3" t="s">
        <v>194</v>
      </c>
      <c r="U60" s="3"/>
    </row>
    <row r="61" spans="1:21" x14ac:dyDescent="0.2">
      <c r="A61" t="s">
        <v>23</v>
      </c>
      <c r="B61" s="2">
        <v>29942</v>
      </c>
      <c r="C61" s="2">
        <v>30370</v>
      </c>
      <c r="D61" s="2">
        <v>33194</v>
      </c>
      <c r="F61" s="2">
        <v>46613</v>
      </c>
      <c r="G61" s="2">
        <v>34256</v>
      </c>
      <c r="H61" s="2">
        <v>34720</v>
      </c>
      <c r="I61" s="2">
        <v>66010</v>
      </c>
      <c r="L61" t="s">
        <v>23</v>
      </c>
      <c r="M61" s="3" t="s">
        <v>170</v>
      </c>
      <c r="N61" s="3" t="s">
        <v>303</v>
      </c>
      <c r="O61" s="3" t="s">
        <v>304</v>
      </c>
      <c r="Q61" s="3" t="s">
        <v>305</v>
      </c>
      <c r="R61" s="3" t="s">
        <v>306</v>
      </c>
      <c r="S61" s="3" t="s">
        <v>64</v>
      </c>
      <c r="T61" s="3" t="s">
        <v>211</v>
      </c>
      <c r="U61" s="3"/>
    </row>
    <row r="62" spans="1:21" x14ac:dyDescent="0.2">
      <c r="A62" t="s">
        <v>24</v>
      </c>
      <c r="B62" s="2">
        <v>26734</v>
      </c>
      <c r="C62" s="2">
        <v>30071</v>
      </c>
      <c r="D62" s="2">
        <v>22755</v>
      </c>
      <c r="F62" s="2">
        <v>40630</v>
      </c>
      <c r="G62" s="2">
        <v>34291</v>
      </c>
      <c r="H62" s="2">
        <v>35047</v>
      </c>
      <c r="I62" s="2">
        <v>62535</v>
      </c>
      <c r="L62" t="s">
        <v>24</v>
      </c>
      <c r="M62" s="3" t="s">
        <v>307</v>
      </c>
      <c r="N62" s="3" t="s">
        <v>308</v>
      </c>
      <c r="O62" s="3" t="s">
        <v>309</v>
      </c>
      <c r="Q62" s="3" t="s">
        <v>310</v>
      </c>
      <c r="R62" s="3" t="s">
        <v>311</v>
      </c>
      <c r="S62" s="3" t="s">
        <v>312</v>
      </c>
      <c r="T62" s="3" t="s">
        <v>313</v>
      </c>
      <c r="U62" s="3"/>
    </row>
    <row r="63" spans="1:21" x14ac:dyDescent="0.2">
      <c r="A63" t="s">
        <v>25</v>
      </c>
      <c r="B63" s="2">
        <v>28176</v>
      </c>
      <c r="C63" s="2">
        <v>24704</v>
      </c>
      <c r="D63" s="2">
        <v>24143</v>
      </c>
      <c r="F63" s="2">
        <v>46613</v>
      </c>
      <c r="G63" s="2">
        <v>31192</v>
      </c>
      <c r="H63" s="2">
        <v>35469</v>
      </c>
      <c r="I63" s="2">
        <v>68013</v>
      </c>
      <c r="L63" t="s">
        <v>25</v>
      </c>
      <c r="M63" s="3" t="s">
        <v>314</v>
      </c>
      <c r="N63" s="3" t="s">
        <v>247</v>
      </c>
      <c r="O63" s="3" t="s">
        <v>315</v>
      </c>
      <c r="Q63" s="3" t="s">
        <v>316</v>
      </c>
      <c r="R63" s="3" t="s">
        <v>317</v>
      </c>
      <c r="S63" s="3" t="s">
        <v>318</v>
      </c>
      <c r="T63" s="3" t="s">
        <v>73</v>
      </c>
      <c r="U63" s="3"/>
    </row>
    <row r="64" spans="1:21" x14ac:dyDescent="0.2">
      <c r="A64" t="s">
        <v>26</v>
      </c>
      <c r="B64" s="2">
        <v>27578</v>
      </c>
      <c r="C64" s="2">
        <v>23868</v>
      </c>
      <c r="D64" s="2">
        <v>26471</v>
      </c>
      <c r="F64" s="2">
        <v>40401</v>
      </c>
      <c r="G64" s="2">
        <v>31952</v>
      </c>
      <c r="H64" s="2">
        <v>27478</v>
      </c>
      <c r="I64" s="2">
        <v>60014</v>
      </c>
      <c r="L64" t="s">
        <v>26</v>
      </c>
      <c r="M64" s="3" t="s">
        <v>319</v>
      </c>
      <c r="N64" s="3" t="s">
        <v>320</v>
      </c>
      <c r="O64" s="3" t="s">
        <v>258</v>
      </c>
      <c r="Q64" s="3" t="s">
        <v>321</v>
      </c>
      <c r="R64" s="3" t="s">
        <v>318</v>
      </c>
      <c r="S64" s="3" t="s">
        <v>284</v>
      </c>
      <c r="T64" s="3" t="s">
        <v>322</v>
      </c>
      <c r="U64" s="3"/>
    </row>
    <row r="65" spans="1:21" x14ac:dyDescent="0.2">
      <c r="A65" t="s">
        <v>27</v>
      </c>
      <c r="B65" s="2">
        <v>32283</v>
      </c>
      <c r="C65" s="2">
        <v>28617</v>
      </c>
      <c r="D65" s="2">
        <v>27495</v>
      </c>
      <c r="F65" s="2">
        <v>28563</v>
      </c>
      <c r="G65" s="2">
        <v>27941</v>
      </c>
      <c r="H65" s="2">
        <v>27607</v>
      </c>
      <c r="I65" s="2">
        <v>51434</v>
      </c>
      <c r="L65" t="s">
        <v>27</v>
      </c>
      <c r="M65" s="3" t="s">
        <v>323</v>
      </c>
      <c r="N65" s="3" t="s">
        <v>186</v>
      </c>
      <c r="O65" s="3" t="s">
        <v>142</v>
      </c>
      <c r="Q65" s="3" t="s">
        <v>324</v>
      </c>
      <c r="R65" s="3" t="s">
        <v>325</v>
      </c>
      <c r="S65" s="3" t="s">
        <v>326</v>
      </c>
      <c r="T65" s="3" t="s">
        <v>327</v>
      </c>
      <c r="U65" s="3"/>
    </row>
    <row r="66" spans="1:21" x14ac:dyDescent="0.2">
      <c r="A66" t="s">
        <v>28</v>
      </c>
      <c r="B66" s="2">
        <v>54972</v>
      </c>
      <c r="C66" s="2">
        <v>42971</v>
      </c>
      <c r="D66" s="2">
        <v>38286</v>
      </c>
      <c r="F66" s="2">
        <v>81596</v>
      </c>
      <c r="G66" s="2">
        <v>47644</v>
      </c>
      <c r="H66" s="2">
        <v>43806</v>
      </c>
      <c r="I66" s="2">
        <v>102874</v>
      </c>
      <c r="L66" t="s">
        <v>28</v>
      </c>
      <c r="M66" s="3" t="s">
        <v>328</v>
      </c>
      <c r="N66" s="3" t="s">
        <v>329</v>
      </c>
      <c r="O66" s="3" t="s">
        <v>167</v>
      </c>
      <c r="Q66" s="3" t="s">
        <v>330</v>
      </c>
      <c r="R66" s="3" t="s">
        <v>331</v>
      </c>
      <c r="S66" s="3" t="s">
        <v>332</v>
      </c>
      <c r="T66" s="3" t="s">
        <v>194</v>
      </c>
      <c r="U66" s="3"/>
    </row>
    <row r="67" spans="1:21" x14ac:dyDescent="0.2">
      <c r="A67" t="s">
        <v>29</v>
      </c>
      <c r="B67" s="2">
        <v>43426</v>
      </c>
      <c r="C67" s="2">
        <v>36899</v>
      </c>
      <c r="D67" s="2">
        <v>33860</v>
      </c>
      <c r="F67" s="2">
        <v>43961</v>
      </c>
      <c r="G67" s="2">
        <v>43923</v>
      </c>
      <c r="H67" s="2">
        <v>44640</v>
      </c>
      <c r="I67" s="2">
        <v>78487</v>
      </c>
      <c r="L67" t="s">
        <v>29</v>
      </c>
      <c r="M67" s="3" t="s">
        <v>333</v>
      </c>
      <c r="N67" s="3" t="s">
        <v>334</v>
      </c>
      <c r="O67" s="3" t="s">
        <v>239</v>
      </c>
      <c r="Q67" s="3" t="s">
        <v>335</v>
      </c>
      <c r="R67" s="3" t="s">
        <v>336</v>
      </c>
      <c r="S67" s="3" t="s">
        <v>337</v>
      </c>
      <c r="T67" s="3" t="s">
        <v>338</v>
      </c>
      <c r="U67" s="3"/>
    </row>
    <row r="68" spans="1:21" x14ac:dyDescent="0.2">
      <c r="A68" t="s">
        <v>35</v>
      </c>
      <c r="B68" s="4">
        <v>413050</v>
      </c>
      <c r="C68" s="4">
        <v>373961</v>
      </c>
      <c r="D68" s="4">
        <v>372460</v>
      </c>
      <c r="F68" s="4">
        <v>583945</v>
      </c>
      <c r="G68" s="4">
        <v>460767</v>
      </c>
      <c r="H68" s="4">
        <v>440759</v>
      </c>
      <c r="I68" s="4">
        <v>850746</v>
      </c>
      <c r="J68" s="4"/>
      <c r="L68" t="s">
        <v>35</v>
      </c>
      <c r="M68" s="3" t="s">
        <v>339</v>
      </c>
      <c r="N68" s="3" t="s">
        <v>340</v>
      </c>
      <c r="O68" s="3" t="s">
        <v>260</v>
      </c>
      <c r="Q68" s="3" t="s">
        <v>341</v>
      </c>
      <c r="R68" s="3" t="s">
        <v>250</v>
      </c>
      <c r="S68" s="3" t="s">
        <v>342</v>
      </c>
      <c r="T68" s="3" t="s">
        <v>206</v>
      </c>
      <c r="U68" s="3"/>
    </row>
    <row r="69" spans="1:21" x14ac:dyDescent="0.2">
      <c r="U69" s="3"/>
    </row>
    <row r="70" spans="1:21" x14ac:dyDescent="0.2">
      <c r="U70" s="3"/>
    </row>
    <row r="71" spans="1:21" x14ac:dyDescent="0.2">
      <c r="A71" t="s">
        <v>529</v>
      </c>
      <c r="B71" s="2" t="s">
        <v>0</v>
      </c>
      <c r="C71" s="2" t="s">
        <v>1</v>
      </c>
      <c r="D71" s="2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I71" s="2" t="s">
        <v>31</v>
      </c>
      <c r="L71" t="s">
        <v>522</v>
      </c>
      <c r="M71" t="s">
        <v>0</v>
      </c>
      <c r="N71" t="s">
        <v>1</v>
      </c>
      <c r="O71" t="s">
        <v>2</v>
      </c>
      <c r="P71" t="s">
        <v>3</v>
      </c>
      <c r="Q71" t="s">
        <v>4</v>
      </c>
      <c r="R71" t="s">
        <v>5</v>
      </c>
      <c r="S71" t="s">
        <v>6</v>
      </c>
      <c r="T71" t="s">
        <v>31</v>
      </c>
      <c r="U71" s="3"/>
    </row>
    <row r="72" spans="1:21" x14ac:dyDescent="0.2">
      <c r="A72" t="s">
        <v>19</v>
      </c>
      <c r="B72" s="2">
        <v>23988</v>
      </c>
      <c r="C72" s="2">
        <v>30385</v>
      </c>
      <c r="D72" s="2">
        <v>38608</v>
      </c>
      <c r="E72" s="2">
        <v>28130</v>
      </c>
      <c r="G72" s="2">
        <v>38148</v>
      </c>
      <c r="H72" s="2">
        <v>38365</v>
      </c>
      <c r="I72" s="2">
        <v>57782</v>
      </c>
      <c r="L72" t="s">
        <v>19</v>
      </c>
      <c r="M72" s="3" t="s">
        <v>343</v>
      </c>
      <c r="N72" s="3" t="s">
        <v>177</v>
      </c>
      <c r="O72" s="3" t="s">
        <v>344</v>
      </c>
      <c r="P72" s="3" t="s">
        <v>345</v>
      </c>
      <c r="R72" s="3" t="s">
        <v>346</v>
      </c>
      <c r="S72" s="3" t="s">
        <v>347</v>
      </c>
      <c r="T72" s="3" t="s">
        <v>348</v>
      </c>
      <c r="U72" s="3"/>
    </row>
    <row r="73" spans="1:21" x14ac:dyDescent="0.2">
      <c r="A73" t="s">
        <v>20</v>
      </c>
      <c r="B73" s="2">
        <v>27556</v>
      </c>
      <c r="C73" s="2">
        <v>34503</v>
      </c>
      <c r="D73" s="2">
        <v>36041</v>
      </c>
      <c r="E73" s="2">
        <v>34363</v>
      </c>
      <c r="G73" s="2">
        <v>31077</v>
      </c>
      <c r="H73" s="2">
        <v>32711</v>
      </c>
      <c r="I73" s="2">
        <v>50857</v>
      </c>
      <c r="L73" t="s">
        <v>20</v>
      </c>
      <c r="M73" s="3" t="s">
        <v>349</v>
      </c>
      <c r="N73" s="3" t="s">
        <v>350</v>
      </c>
      <c r="O73" s="3" t="s">
        <v>150</v>
      </c>
      <c r="P73" s="3" t="s">
        <v>351</v>
      </c>
      <c r="R73" s="3" t="s">
        <v>352</v>
      </c>
      <c r="S73" s="3" t="s">
        <v>353</v>
      </c>
      <c r="T73" s="3" t="s">
        <v>354</v>
      </c>
      <c r="U73" s="3"/>
    </row>
    <row r="74" spans="1:21" x14ac:dyDescent="0.2">
      <c r="A74" t="s">
        <v>21</v>
      </c>
      <c r="B74" s="2">
        <v>62575</v>
      </c>
      <c r="C74" s="2">
        <v>71742</v>
      </c>
      <c r="D74" s="2">
        <v>71813</v>
      </c>
      <c r="E74" s="2">
        <v>69627</v>
      </c>
      <c r="G74" s="2">
        <v>67551</v>
      </c>
      <c r="H74" s="2">
        <v>63236</v>
      </c>
      <c r="I74" s="2">
        <v>106240</v>
      </c>
      <c r="L74" t="s">
        <v>21</v>
      </c>
      <c r="M74" s="3" t="s">
        <v>196</v>
      </c>
      <c r="N74" s="3" t="s">
        <v>299</v>
      </c>
      <c r="O74" s="3" t="s">
        <v>355</v>
      </c>
      <c r="P74" s="3" t="s">
        <v>356</v>
      </c>
      <c r="R74" s="3" t="s">
        <v>357</v>
      </c>
      <c r="S74" s="3" t="s">
        <v>358</v>
      </c>
      <c r="T74" s="3" t="s">
        <v>359</v>
      </c>
      <c r="U74" s="3"/>
    </row>
    <row r="75" spans="1:21" x14ac:dyDescent="0.2">
      <c r="A75" t="s">
        <v>22</v>
      </c>
      <c r="B75" s="2">
        <v>57334</v>
      </c>
      <c r="C75" s="2">
        <v>66396</v>
      </c>
      <c r="D75" s="2">
        <v>69833</v>
      </c>
      <c r="E75" s="2">
        <v>66797</v>
      </c>
      <c r="G75" s="2">
        <v>69631</v>
      </c>
      <c r="H75" s="2">
        <v>70058</v>
      </c>
      <c r="I75" s="2">
        <v>107749</v>
      </c>
      <c r="L75" t="s">
        <v>22</v>
      </c>
      <c r="M75" s="3" t="s">
        <v>360</v>
      </c>
      <c r="N75" s="3" t="s">
        <v>361</v>
      </c>
      <c r="O75" s="3" t="s">
        <v>362</v>
      </c>
      <c r="P75" s="3" t="s">
        <v>363</v>
      </c>
      <c r="R75" s="3" t="s">
        <v>364</v>
      </c>
      <c r="S75" s="3" t="s">
        <v>365</v>
      </c>
      <c r="T75" s="3" t="s">
        <v>366</v>
      </c>
      <c r="U75" s="3"/>
    </row>
    <row r="76" spans="1:21" x14ac:dyDescent="0.2">
      <c r="A76" t="s">
        <v>23</v>
      </c>
      <c r="B76" s="2">
        <v>38125</v>
      </c>
      <c r="C76" s="2">
        <v>45016</v>
      </c>
      <c r="D76" s="2">
        <v>45407</v>
      </c>
      <c r="E76" s="2">
        <v>46185</v>
      </c>
      <c r="G76" s="2">
        <v>39433</v>
      </c>
      <c r="H76" s="2">
        <v>44583</v>
      </c>
      <c r="I76" s="2">
        <v>68453</v>
      </c>
      <c r="L76" t="s">
        <v>23</v>
      </c>
      <c r="M76" s="3" t="s">
        <v>367</v>
      </c>
      <c r="N76" s="3" t="s">
        <v>368</v>
      </c>
      <c r="O76" s="3" t="s">
        <v>347</v>
      </c>
      <c r="P76" s="3" t="s">
        <v>369</v>
      </c>
      <c r="R76" s="3" t="s">
        <v>370</v>
      </c>
      <c r="S76" s="3" t="s">
        <v>371</v>
      </c>
      <c r="T76" s="3" t="s">
        <v>188</v>
      </c>
      <c r="U76" s="3"/>
    </row>
    <row r="77" spans="1:21" x14ac:dyDescent="0.2">
      <c r="A77" t="s">
        <v>24</v>
      </c>
      <c r="B77" s="2">
        <v>35265</v>
      </c>
      <c r="C77" s="2">
        <v>34836</v>
      </c>
      <c r="D77" s="2">
        <v>42223</v>
      </c>
      <c r="E77" s="2">
        <v>39755</v>
      </c>
      <c r="G77" s="2">
        <v>36027</v>
      </c>
      <c r="H77" s="2">
        <v>38286</v>
      </c>
      <c r="I77" s="2">
        <v>64690</v>
      </c>
      <c r="L77" t="s">
        <v>24</v>
      </c>
      <c r="M77" s="3" t="s">
        <v>372</v>
      </c>
      <c r="N77" s="3" t="s">
        <v>151</v>
      </c>
      <c r="O77" s="3" t="s">
        <v>273</v>
      </c>
      <c r="P77" s="3" t="s">
        <v>337</v>
      </c>
      <c r="R77" s="3" t="s">
        <v>350</v>
      </c>
      <c r="S77" s="3" t="s">
        <v>88</v>
      </c>
      <c r="T77" s="3" t="s">
        <v>373</v>
      </c>
      <c r="U77" s="3"/>
    </row>
    <row r="78" spans="1:21" x14ac:dyDescent="0.2">
      <c r="A78" t="s">
        <v>25</v>
      </c>
      <c r="B78" s="2">
        <v>45828</v>
      </c>
      <c r="C78" s="2">
        <v>48160</v>
      </c>
      <c r="D78" s="2">
        <v>48072</v>
      </c>
      <c r="E78" s="2">
        <v>46691</v>
      </c>
      <c r="G78" s="2">
        <v>44282</v>
      </c>
      <c r="H78" s="2">
        <v>43625</v>
      </c>
      <c r="I78" s="2">
        <v>71946</v>
      </c>
      <c r="L78" t="s">
        <v>25</v>
      </c>
      <c r="M78" s="3" t="s">
        <v>374</v>
      </c>
      <c r="N78" s="3" t="s">
        <v>337</v>
      </c>
      <c r="O78" s="3" t="s">
        <v>375</v>
      </c>
      <c r="P78" s="3" t="s">
        <v>221</v>
      </c>
      <c r="R78" s="3" t="s">
        <v>376</v>
      </c>
      <c r="S78" s="3" t="s">
        <v>350</v>
      </c>
      <c r="T78" s="3" t="s">
        <v>377</v>
      </c>
      <c r="U78" s="3"/>
    </row>
    <row r="79" spans="1:21" x14ac:dyDescent="0.2">
      <c r="A79" t="s">
        <v>26</v>
      </c>
      <c r="B79" s="2">
        <v>34311</v>
      </c>
      <c r="C79" s="2">
        <v>40344</v>
      </c>
      <c r="D79" s="2">
        <v>44956</v>
      </c>
      <c r="E79" s="2">
        <v>39001</v>
      </c>
      <c r="G79" s="2">
        <v>37554</v>
      </c>
      <c r="H79" s="2">
        <v>39048</v>
      </c>
      <c r="I79" s="2">
        <v>61724</v>
      </c>
      <c r="L79" t="s">
        <v>26</v>
      </c>
      <c r="M79" s="3" t="s">
        <v>378</v>
      </c>
      <c r="N79" s="3" t="s">
        <v>356</v>
      </c>
      <c r="O79" s="3" t="s">
        <v>229</v>
      </c>
      <c r="P79" s="3" t="s">
        <v>379</v>
      </c>
      <c r="R79" s="3" t="s">
        <v>380</v>
      </c>
      <c r="S79" s="3" t="s">
        <v>138</v>
      </c>
      <c r="T79" s="3" t="s">
        <v>381</v>
      </c>
      <c r="U79" s="3"/>
    </row>
    <row r="80" spans="1:21" x14ac:dyDescent="0.2">
      <c r="A80" t="s">
        <v>27</v>
      </c>
      <c r="B80" s="2">
        <v>29847</v>
      </c>
      <c r="C80" s="2">
        <v>31518</v>
      </c>
      <c r="D80" s="2">
        <v>30876</v>
      </c>
      <c r="E80" s="2">
        <v>28088</v>
      </c>
      <c r="G80" s="2">
        <v>26304</v>
      </c>
      <c r="H80" s="2">
        <v>27958</v>
      </c>
      <c r="I80" s="2">
        <v>52225</v>
      </c>
      <c r="L80" t="s">
        <v>27</v>
      </c>
      <c r="M80" s="3" t="s">
        <v>382</v>
      </c>
      <c r="N80" s="3" t="s">
        <v>383</v>
      </c>
      <c r="O80" s="3" t="s">
        <v>384</v>
      </c>
      <c r="P80" s="3" t="s">
        <v>385</v>
      </c>
      <c r="R80" s="3" t="s">
        <v>386</v>
      </c>
      <c r="S80" s="3" t="s">
        <v>387</v>
      </c>
      <c r="T80" s="3" t="s">
        <v>273</v>
      </c>
      <c r="U80" s="3"/>
    </row>
    <row r="81" spans="1:21" x14ac:dyDescent="0.2">
      <c r="A81" t="s">
        <v>28</v>
      </c>
      <c r="B81" s="2">
        <v>41606</v>
      </c>
      <c r="C81" s="2">
        <v>78276</v>
      </c>
      <c r="D81" s="2">
        <v>81883</v>
      </c>
      <c r="E81" s="2">
        <v>82345</v>
      </c>
      <c r="G81" s="2">
        <v>74493</v>
      </c>
      <c r="H81" s="2">
        <v>81256</v>
      </c>
      <c r="I81" s="2">
        <v>113711</v>
      </c>
      <c r="L81" t="s">
        <v>28</v>
      </c>
      <c r="M81" s="3" t="s">
        <v>388</v>
      </c>
      <c r="N81" s="3" t="s">
        <v>389</v>
      </c>
      <c r="O81" s="3" t="s">
        <v>390</v>
      </c>
      <c r="P81" s="3" t="s">
        <v>391</v>
      </c>
      <c r="R81" s="3" t="s">
        <v>392</v>
      </c>
      <c r="S81" s="3" t="s">
        <v>393</v>
      </c>
      <c r="T81" s="3" t="s">
        <v>394</v>
      </c>
      <c r="U81" s="3"/>
    </row>
    <row r="82" spans="1:21" x14ac:dyDescent="0.2">
      <c r="A82" t="s">
        <v>29</v>
      </c>
      <c r="B82" s="2">
        <v>28119</v>
      </c>
      <c r="C82" s="2">
        <v>48718</v>
      </c>
      <c r="D82" s="2">
        <v>47656</v>
      </c>
      <c r="E82" s="2">
        <v>43221</v>
      </c>
      <c r="G82" s="2">
        <v>47161</v>
      </c>
      <c r="H82" s="2">
        <v>47459</v>
      </c>
      <c r="I82" s="2">
        <v>79222</v>
      </c>
      <c r="L82" t="s">
        <v>29</v>
      </c>
      <c r="M82" s="3" t="s">
        <v>395</v>
      </c>
      <c r="N82" s="3" t="s">
        <v>396</v>
      </c>
      <c r="O82" s="3" t="s">
        <v>310</v>
      </c>
      <c r="P82" s="3" t="s">
        <v>397</v>
      </c>
      <c r="R82" s="3" t="s">
        <v>398</v>
      </c>
      <c r="S82" s="3" t="s">
        <v>399</v>
      </c>
      <c r="T82" s="3" t="s">
        <v>400</v>
      </c>
      <c r="U82" s="3"/>
    </row>
    <row r="83" spans="1:21" x14ac:dyDescent="0.2">
      <c r="A83" t="s">
        <v>35</v>
      </c>
      <c r="B83" s="4">
        <v>462494</v>
      </c>
      <c r="C83" s="4">
        <v>575960</v>
      </c>
      <c r="D83" s="4">
        <v>610235</v>
      </c>
      <c r="E83" s="4">
        <v>575146</v>
      </c>
      <c r="G83" s="4">
        <v>556606</v>
      </c>
      <c r="H83" s="4">
        <v>572875</v>
      </c>
      <c r="I83" s="4">
        <v>898249</v>
      </c>
      <c r="J83" s="4"/>
      <c r="L83" t="s">
        <v>35</v>
      </c>
      <c r="M83" s="3" t="s">
        <v>401</v>
      </c>
      <c r="N83" s="3" t="s">
        <v>402</v>
      </c>
      <c r="O83" s="3" t="s">
        <v>403</v>
      </c>
      <c r="P83" s="3" t="s">
        <v>86</v>
      </c>
      <c r="R83" s="3" t="s">
        <v>404</v>
      </c>
      <c r="S83" s="3" t="s">
        <v>405</v>
      </c>
      <c r="T83" s="3" t="s">
        <v>406</v>
      </c>
      <c r="U83" s="3"/>
    </row>
    <row r="84" spans="1:21" x14ac:dyDescent="0.2">
      <c r="U84" s="3"/>
    </row>
    <row r="85" spans="1:21" x14ac:dyDescent="0.2">
      <c r="U85" s="3"/>
    </row>
    <row r="86" spans="1:21" x14ac:dyDescent="0.2">
      <c r="A86" t="s">
        <v>531</v>
      </c>
      <c r="B86" s="2" t="s">
        <v>0</v>
      </c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2" t="s">
        <v>6</v>
      </c>
      <c r="I86" s="2" t="s">
        <v>31</v>
      </c>
      <c r="L86" t="s">
        <v>534</v>
      </c>
      <c r="M86" t="s">
        <v>0</v>
      </c>
      <c r="N86" t="s">
        <v>1</v>
      </c>
      <c r="O86" t="s">
        <v>2</v>
      </c>
      <c r="P86" t="s">
        <v>3</v>
      </c>
      <c r="Q86" t="s">
        <v>4</v>
      </c>
      <c r="R86" t="s">
        <v>5</v>
      </c>
      <c r="S86" t="s">
        <v>6</v>
      </c>
      <c r="T86" t="s">
        <v>31</v>
      </c>
      <c r="U86" s="3"/>
    </row>
    <row r="87" spans="1:21" x14ac:dyDescent="0.2">
      <c r="A87" t="s">
        <v>19</v>
      </c>
      <c r="B87" s="2">
        <v>35851</v>
      </c>
      <c r="C87" s="2">
        <v>27549</v>
      </c>
      <c r="D87" s="2">
        <v>35198</v>
      </c>
      <c r="E87" s="2">
        <v>31651</v>
      </c>
      <c r="F87" s="2">
        <v>40114</v>
      </c>
      <c r="H87" s="2">
        <v>22286</v>
      </c>
      <c r="I87" s="2">
        <v>58916</v>
      </c>
      <c r="L87" t="s">
        <v>19</v>
      </c>
      <c r="M87" s="3" t="s">
        <v>407</v>
      </c>
      <c r="N87" s="3" t="s">
        <v>408</v>
      </c>
      <c r="O87" s="3" t="s">
        <v>50</v>
      </c>
      <c r="P87" s="3" t="s">
        <v>319</v>
      </c>
      <c r="Q87" s="3" t="s">
        <v>409</v>
      </c>
      <c r="S87" s="3" t="s">
        <v>410</v>
      </c>
      <c r="T87" s="3" t="s">
        <v>411</v>
      </c>
      <c r="U87" s="3"/>
    </row>
    <row r="88" spans="1:21" x14ac:dyDescent="0.2">
      <c r="A88" t="s">
        <v>20</v>
      </c>
      <c r="B88" s="2">
        <v>26312</v>
      </c>
      <c r="C88" s="2">
        <v>25046</v>
      </c>
      <c r="D88" s="2">
        <v>26389</v>
      </c>
      <c r="E88" s="2">
        <v>26226</v>
      </c>
      <c r="F88" s="2">
        <v>32033</v>
      </c>
      <c r="H88" s="2">
        <v>17030</v>
      </c>
      <c r="I88" s="2">
        <v>49585</v>
      </c>
      <c r="L88" t="s">
        <v>20</v>
      </c>
      <c r="M88" s="3" t="s">
        <v>412</v>
      </c>
      <c r="N88" s="3" t="s">
        <v>276</v>
      </c>
      <c r="O88" s="3" t="s">
        <v>323</v>
      </c>
      <c r="P88" s="3" t="s">
        <v>413</v>
      </c>
      <c r="Q88" s="3" t="s">
        <v>414</v>
      </c>
      <c r="S88" s="3" t="s">
        <v>415</v>
      </c>
      <c r="T88" s="3" t="s">
        <v>416</v>
      </c>
      <c r="U88" s="3"/>
    </row>
    <row r="89" spans="1:21" x14ac:dyDescent="0.2">
      <c r="A89" t="s">
        <v>21</v>
      </c>
      <c r="B89" s="2">
        <v>53812</v>
      </c>
      <c r="C89" s="2">
        <v>49367</v>
      </c>
      <c r="D89" s="2">
        <v>53368</v>
      </c>
      <c r="E89" s="2">
        <v>52612</v>
      </c>
      <c r="F89" s="2">
        <v>69867</v>
      </c>
      <c r="H89" s="2">
        <v>38001</v>
      </c>
      <c r="I89" s="2">
        <v>106809</v>
      </c>
      <c r="L89" t="s">
        <v>21</v>
      </c>
      <c r="M89" s="3" t="s">
        <v>417</v>
      </c>
      <c r="N89" s="3" t="s">
        <v>418</v>
      </c>
      <c r="O89" s="3" t="s">
        <v>223</v>
      </c>
      <c r="P89" s="3" t="s">
        <v>419</v>
      </c>
      <c r="Q89" s="3" t="s">
        <v>420</v>
      </c>
      <c r="S89" s="3" t="s">
        <v>421</v>
      </c>
      <c r="T89" s="3" t="s">
        <v>422</v>
      </c>
      <c r="U89" s="3"/>
    </row>
    <row r="90" spans="1:21" x14ac:dyDescent="0.2">
      <c r="A90" t="s">
        <v>22</v>
      </c>
      <c r="B90" s="2">
        <v>54786</v>
      </c>
      <c r="C90" s="2">
        <v>53438</v>
      </c>
      <c r="D90" s="2">
        <v>56285</v>
      </c>
      <c r="E90" s="2">
        <v>58020</v>
      </c>
      <c r="F90" s="2">
        <v>74052</v>
      </c>
      <c r="H90" s="2">
        <v>43589</v>
      </c>
      <c r="I90" s="2">
        <v>109928</v>
      </c>
      <c r="L90" t="s">
        <v>22</v>
      </c>
      <c r="M90" s="3" t="s">
        <v>188</v>
      </c>
      <c r="N90" s="3" t="s">
        <v>411</v>
      </c>
      <c r="O90" s="3" t="s">
        <v>423</v>
      </c>
      <c r="P90" s="3" t="s">
        <v>110</v>
      </c>
      <c r="Q90" s="3" t="s">
        <v>424</v>
      </c>
      <c r="S90" s="3" t="s">
        <v>425</v>
      </c>
      <c r="T90" s="3" t="s">
        <v>426</v>
      </c>
      <c r="U90" s="3"/>
    </row>
    <row r="91" spans="1:21" x14ac:dyDescent="0.2">
      <c r="A91" t="s">
        <v>23</v>
      </c>
      <c r="B91" s="2">
        <v>32701</v>
      </c>
      <c r="C91" s="2">
        <v>30120</v>
      </c>
      <c r="D91" s="2">
        <v>34511</v>
      </c>
      <c r="E91" s="2">
        <v>35880</v>
      </c>
      <c r="F91" s="2">
        <v>41191</v>
      </c>
      <c r="H91" s="2">
        <v>28985</v>
      </c>
      <c r="I91" s="2">
        <v>68170</v>
      </c>
      <c r="L91" t="s">
        <v>23</v>
      </c>
      <c r="M91" s="3" t="s">
        <v>427</v>
      </c>
      <c r="N91" s="3" t="s">
        <v>428</v>
      </c>
      <c r="O91" s="3" t="s">
        <v>314</v>
      </c>
      <c r="P91" s="3" t="s">
        <v>395</v>
      </c>
      <c r="Q91" s="3" t="s">
        <v>429</v>
      </c>
      <c r="S91" s="3" t="s">
        <v>245</v>
      </c>
      <c r="T91" s="3" t="s">
        <v>430</v>
      </c>
      <c r="U91" s="3"/>
    </row>
    <row r="92" spans="1:21" x14ac:dyDescent="0.2">
      <c r="A92" t="s">
        <v>24</v>
      </c>
      <c r="B92" s="2">
        <v>36732</v>
      </c>
      <c r="C92" s="2">
        <v>35251</v>
      </c>
      <c r="D92" s="2">
        <v>37705</v>
      </c>
      <c r="E92" s="2">
        <v>34947</v>
      </c>
      <c r="F92" s="2">
        <v>37191</v>
      </c>
      <c r="H92" s="2">
        <v>25607</v>
      </c>
      <c r="I92" s="2">
        <v>65166</v>
      </c>
      <c r="L92" t="s">
        <v>24</v>
      </c>
      <c r="M92" s="3" t="s">
        <v>67</v>
      </c>
      <c r="N92" s="3" t="s">
        <v>93</v>
      </c>
      <c r="O92" s="3" t="s">
        <v>431</v>
      </c>
      <c r="P92" s="3" t="s">
        <v>432</v>
      </c>
      <c r="Q92" s="3" t="s">
        <v>433</v>
      </c>
      <c r="S92" s="3" t="s">
        <v>434</v>
      </c>
      <c r="T92" s="3" t="s">
        <v>435</v>
      </c>
      <c r="U92" s="3"/>
    </row>
    <row r="93" spans="1:21" x14ac:dyDescent="0.2">
      <c r="A93" t="s">
        <v>25</v>
      </c>
      <c r="B93" s="2">
        <v>33200</v>
      </c>
      <c r="C93" s="2">
        <v>28722</v>
      </c>
      <c r="D93" s="2">
        <v>33482</v>
      </c>
      <c r="E93" s="2">
        <v>32212</v>
      </c>
      <c r="F93" s="2">
        <v>45194</v>
      </c>
      <c r="H93" s="2">
        <v>27889</v>
      </c>
      <c r="I93" s="2">
        <v>70271</v>
      </c>
      <c r="L93" t="s">
        <v>25</v>
      </c>
      <c r="M93" s="3" t="s">
        <v>419</v>
      </c>
      <c r="N93" s="3" t="s">
        <v>309</v>
      </c>
      <c r="O93" s="3" t="s">
        <v>436</v>
      </c>
      <c r="P93" s="3" t="s">
        <v>317</v>
      </c>
      <c r="Q93" s="3" t="s">
        <v>376</v>
      </c>
      <c r="S93" s="3" t="s">
        <v>437</v>
      </c>
      <c r="T93" s="3" t="s">
        <v>73</v>
      </c>
      <c r="U93" s="3"/>
    </row>
    <row r="94" spans="1:21" x14ac:dyDescent="0.2">
      <c r="A94" t="s">
        <v>26</v>
      </c>
      <c r="B94" s="2">
        <v>32566</v>
      </c>
      <c r="C94" s="2">
        <v>30608</v>
      </c>
      <c r="D94" s="2">
        <v>35902</v>
      </c>
      <c r="E94" s="2">
        <v>32230</v>
      </c>
      <c r="F94" s="2">
        <v>39501</v>
      </c>
      <c r="H94" s="2">
        <v>24749</v>
      </c>
      <c r="I94" s="2">
        <v>62889</v>
      </c>
      <c r="L94" t="s">
        <v>26</v>
      </c>
      <c r="M94" s="3" t="s">
        <v>438</v>
      </c>
      <c r="N94" s="3" t="s">
        <v>439</v>
      </c>
      <c r="O94" s="3" t="s">
        <v>440</v>
      </c>
      <c r="P94" s="3" t="s">
        <v>97</v>
      </c>
      <c r="Q94" s="3" t="s">
        <v>125</v>
      </c>
      <c r="S94" s="3" t="s">
        <v>441</v>
      </c>
      <c r="T94" s="3" t="s">
        <v>257</v>
      </c>
      <c r="U94" s="3"/>
    </row>
    <row r="95" spans="1:21" x14ac:dyDescent="0.2">
      <c r="A95" t="s">
        <v>27</v>
      </c>
      <c r="B95" s="2">
        <v>31216</v>
      </c>
      <c r="C95" s="2">
        <v>29688</v>
      </c>
      <c r="D95" s="2">
        <v>30026</v>
      </c>
      <c r="E95" s="2">
        <v>29433</v>
      </c>
      <c r="F95" s="2">
        <v>28476</v>
      </c>
      <c r="H95" s="2">
        <v>22442</v>
      </c>
      <c r="I95" s="2">
        <v>53436</v>
      </c>
      <c r="L95" t="s">
        <v>27</v>
      </c>
      <c r="M95" s="3" t="s">
        <v>442</v>
      </c>
      <c r="N95" s="3" t="s">
        <v>443</v>
      </c>
      <c r="O95" s="3" t="s">
        <v>444</v>
      </c>
      <c r="P95" s="3" t="s">
        <v>387</v>
      </c>
      <c r="Q95" s="3" t="s">
        <v>445</v>
      </c>
      <c r="S95" s="3" t="s">
        <v>446</v>
      </c>
      <c r="T95" s="3" t="s">
        <v>447</v>
      </c>
      <c r="U95" s="3"/>
    </row>
    <row r="96" spans="1:21" x14ac:dyDescent="0.2">
      <c r="A96" t="s">
        <v>28</v>
      </c>
      <c r="B96" s="2">
        <v>58836</v>
      </c>
      <c r="C96" s="2">
        <v>41216</v>
      </c>
      <c r="D96" s="2">
        <v>49601</v>
      </c>
      <c r="E96" s="2">
        <v>50785</v>
      </c>
      <c r="F96" s="2">
        <v>79645</v>
      </c>
      <c r="H96" s="2">
        <v>35516</v>
      </c>
      <c r="I96" s="2">
        <v>109599</v>
      </c>
      <c r="L96" t="s">
        <v>28</v>
      </c>
      <c r="M96" s="3" t="s">
        <v>228</v>
      </c>
      <c r="N96" s="3" t="s">
        <v>379</v>
      </c>
      <c r="O96" s="3" t="s">
        <v>448</v>
      </c>
      <c r="P96" s="3" t="s">
        <v>449</v>
      </c>
      <c r="Q96" s="3" t="s">
        <v>450</v>
      </c>
      <c r="S96" s="3" t="s">
        <v>451</v>
      </c>
      <c r="T96" s="3" t="s">
        <v>194</v>
      </c>
      <c r="U96" s="3"/>
    </row>
    <row r="97" spans="1:21" x14ac:dyDescent="0.2">
      <c r="A97" t="s">
        <v>29</v>
      </c>
      <c r="B97" s="2">
        <v>47752</v>
      </c>
      <c r="C97" s="2">
        <v>41345</v>
      </c>
      <c r="D97" s="2">
        <v>50700</v>
      </c>
      <c r="E97" s="2">
        <v>45989</v>
      </c>
      <c r="F97" s="2">
        <v>50257</v>
      </c>
      <c r="H97" s="2">
        <v>24305</v>
      </c>
      <c r="I97" s="2">
        <v>83494</v>
      </c>
      <c r="L97" t="s">
        <v>29</v>
      </c>
      <c r="M97" s="3" t="s">
        <v>335</v>
      </c>
      <c r="N97" s="3" t="s">
        <v>452</v>
      </c>
      <c r="O97" s="3" t="s">
        <v>453</v>
      </c>
      <c r="P97" s="3" t="s">
        <v>454</v>
      </c>
      <c r="Q97" s="3" t="s">
        <v>455</v>
      </c>
      <c r="S97" s="3" t="s">
        <v>456</v>
      </c>
      <c r="T97" s="3" t="s">
        <v>457</v>
      </c>
      <c r="U97" s="3"/>
    </row>
    <row r="98" spans="1:21" x14ac:dyDescent="0.2">
      <c r="A98" t="s">
        <v>35</v>
      </c>
      <c r="B98" s="4">
        <v>466574</v>
      </c>
      <c r="C98" s="4">
        <v>415167</v>
      </c>
      <c r="D98" s="4">
        <v>470203</v>
      </c>
      <c r="E98" s="4">
        <v>457046</v>
      </c>
      <c r="F98" s="4">
        <v>561920</v>
      </c>
      <c r="H98" s="4">
        <v>330037</v>
      </c>
      <c r="I98" s="4">
        <v>869572</v>
      </c>
      <c r="J98" s="4"/>
      <c r="L98" t="s">
        <v>35</v>
      </c>
      <c r="M98" s="3" t="s">
        <v>458</v>
      </c>
      <c r="N98" s="3" t="s">
        <v>154</v>
      </c>
      <c r="O98" s="3" t="s">
        <v>459</v>
      </c>
      <c r="P98" s="3" t="s">
        <v>103</v>
      </c>
      <c r="Q98" s="3" t="s">
        <v>460</v>
      </c>
      <c r="S98" s="3" t="s">
        <v>461</v>
      </c>
      <c r="T98" s="3" t="s">
        <v>462</v>
      </c>
      <c r="U98" s="3"/>
    </row>
    <row r="99" spans="1:21" x14ac:dyDescent="0.2">
      <c r="U99" s="3"/>
    </row>
    <row r="100" spans="1:21" x14ac:dyDescent="0.2">
      <c r="U100" s="3"/>
    </row>
    <row r="101" spans="1:21" x14ac:dyDescent="0.2">
      <c r="A101" t="s">
        <v>530</v>
      </c>
      <c r="B101" s="2" t="s">
        <v>0</v>
      </c>
      <c r="C101" s="2" t="s">
        <v>1</v>
      </c>
      <c r="D101" s="2" t="s">
        <v>2</v>
      </c>
      <c r="E101" s="2" t="s">
        <v>3</v>
      </c>
      <c r="F101" s="2" t="s">
        <v>4</v>
      </c>
      <c r="G101" s="2" t="s">
        <v>5</v>
      </c>
      <c r="H101" s="2" t="s">
        <v>6</v>
      </c>
      <c r="I101" s="2" t="s">
        <v>31</v>
      </c>
      <c r="L101" t="s">
        <v>523</v>
      </c>
      <c r="M101" t="s">
        <v>0</v>
      </c>
      <c r="N101" t="s">
        <v>1</v>
      </c>
      <c r="O101" t="s">
        <v>2</v>
      </c>
      <c r="P101" t="s">
        <v>3</v>
      </c>
      <c r="Q101" t="s">
        <v>4</v>
      </c>
      <c r="R101" t="s">
        <v>5</v>
      </c>
      <c r="S101" t="s">
        <v>6</v>
      </c>
      <c r="T101" t="s">
        <v>31</v>
      </c>
      <c r="U101" s="3"/>
    </row>
    <row r="102" spans="1:21" x14ac:dyDescent="0.2">
      <c r="A102" t="s">
        <v>19</v>
      </c>
      <c r="B102" s="2">
        <v>35556</v>
      </c>
      <c r="C102" s="2">
        <v>27898</v>
      </c>
      <c r="D102" s="2">
        <v>31008</v>
      </c>
      <c r="E102" s="2">
        <v>31170</v>
      </c>
      <c r="F102" s="2">
        <v>39539</v>
      </c>
      <c r="G102" s="2">
        <v>21917</v>
      </c>
      <c r="I102" s="2">
        <v>57667</v>
      </c>
      <c r="L102" t="s">
        <v>19</v>
      </c>
      <c r="M102" s="3" t="s">
        <v>463</v>
      </c>
      <c r="N102" s="3" t="s">
        <v>464</v>
      </c>
      <c r="O102" s="3" t="s">
        <v>146</v>
      </c>
      <c r="P102" s="3" t="s">
        <v>205</v>
      </c>
      <c r="Q102" s="3" t="s">
        <v>465</v>
      </c>
      <c r="R102" s="3" t="s">
        <v>466</v>
      </c>
      <c r="T102" s="3" t="s">
        <v>467</v>
      </c>
      <c r="U102" s="3"/>
    </row>
    <row r="103" spans="1:21" x14ac:dyDescent="0.2">
      <c r="A103" t="s">
        <v>20</v>
      </c>
      <c r="B103" s="2">
        <v>22864</v>
      </c>
      <c r="C103" s="2">
        <v>21216</v>
      </c>
      <c r="D103" s="2">
        <v>23627</v>
      </c>
      <c r="E103" s="2">
        <v>25978</v>
      </c>
      <c r="F103" s="2">
        <v>33253</v>
      </c>
      <c r="G103" s="2">
        <v>16614</v>
      </c>
      <c r="I103" s="2">
        <v>48197</v>
      </c>
      <c r="L103" t="s">
        <v>20</v>
      </c>
      <c r="M103" s="3" t="s">
        <v>324</v>
      </c>
      <c r="N103" s="3" t="s">
        <v>468</v>
      </c>
      <c r="O103" s="3" t="s">
        <v>469</v>
      </c>
      <c r="P103" s="3" t="s">
        <v>470</v>
      </c>
      <c r="Q103" s="3" t="s">
        <v>471</v>
      </c>
      <c r="R103" s="3" t="s">
        <v>472</v>
      </c>
      <c r="T103" s="3" t="s">
        <v>473</v>
      </c>
      <c r="U103" s="3"/>
    </row>
    <row r="104" spans="1:21" x14ac:dyDescent="0.2">
      <c r="A104" t="s">
        <v>21</v>
      </c>
      <c r="B104" s="2">
        <v>48358</v>
      </c>
      <c r="C104" s="2">
        <v>45895</v>
      </c>
      <c r="D104" s="2">
        <v>52468</v>
      </c>
      <c r="E104" s="2">
        <v>52884</v>
      </c>
      <c r="F104" s="2">
        <v>65855</v>
      </c>
      <c r="G104" s="2">
        <v>38091</v>
      </c>
      <c r="I104" s="2">
        <v>104959</v>
      </c>
      <c r="L104" t="s">
        <v>21</v>
      </c>
      <c r="M104" s="3" t="s">
        <v>474</v>
      </c>
      <c r="N104" s="3" t="s">
        <v>475</v>
      </c>
      <c r="O104" s="3" t="s">
        <v>476</v>
      </c>
      <c r="P104" s="3" t="s">
        <v>477</v>
      </c>
      <c r="Q104" s="3" t="s">
        <v>478</v>
      </c>
      <c r="R104" s="3" t="s">
        <v>479</v>
      </c>
      <c r="T104" s="3" t="s">
        <v>480</v>
      </c>
      <c r="U104" s="3"/>
    </row>
    <row r="105" spans="1:21" x14ac:dyDescent="0.2">
      <c r="A105" t="s">
        <v>22</v>
      </c>
      <c r="B105" s="2">
        <v>37089</v>
      </c>
      <c r="C105" s="2">
        <v>32069</v>
      </c>
      <c r="D105" s="2">
        <v>46532</v>
      </c>
      <c r="E105" s="2">
        <v>41739</v>
      </c>
      <c r="F105" s="2">
        <v>77176</v>
      </c>
      <c r="G105" s="2">
        <v>46237</v>
      </c>
      <c r="I105" s="2">
        <v>105162</v>
      </c>
      <c r="L105" t="s">
        <v>22</v>
      </c>
      <c r="M105" s="3" t="s">
        <v>347</v>
      </c>
      <c r="N105" s="3" t="s">
        <v>117</v>
      </c>
      <c r="O105" s="3" t="s">
        <v>187</v>
      </c>
      <c r="P105" s="3" t="s">
        <v>481</v>
      </c>
      <c r="Q105" s="3" t="s">
        <v>482</v>
      </c>
      <c r="R105" s="3" t="s">
        <v>483</v>
      </c>
      <c r="T105" s="3" t="s">
        <v>484</v>
      </c>
      <c r="U105" s="3"/>
    </row>
    <row r="106" spans="1:21" x14ac:dyDescent="0.2">
      <c r="A106" t="s">
        <v>23</v>
      </c>
      <c r="B106" s="2">
        <v>30256</v>
      </c>
      <c r="C106" s="2">
        <v>25354</v>
      </c>
      <c r="D106" s="2">
        <v>29908</v>
      </c>
      <c r="E106" s="2">
        <v>35765</v>
      </c>
      <c r="F106" s="2">
        <v>46625</v>
      </c>
      <c r="G106" s="2">
        <v>28995</v>
      </c>
      <c r="I106" s="2">
        <v>67345</v>
      </c>
      <c r="L106" t="s">
        <v>23</v>
      </c>
      <c r="M106" s="3" t="s">
        <v>294</v>
      </c>
      <c r="N106" s="3" t="s">
        <v>485</v>
      </c>
      <c r="O106" s="3" t="s">
        <v>486</v>
      </c>
      <c r="P106" s="3" t="s">
        <v>487</v>
      </c>
      <c r="Q106" s="3" t="s">
        <v>488</v>
      </c>
      <c r="R106" s="3" t="s">
        <v>489</v>
      </c>
      <c r="T106" s="3" t="s">
        <v>162</v>
      </c>
      <c r="U106" s="3"/>
    </row>
    <row r="107" spans="1:21" x14ac:dyDescent="0.2">
      <c r="A107" t="s">
        <v>24</v>
      </c>
      <c r="B107" s="2">
        <v>35959</v>
      </c>
      <c r="C107" s="2">
        <v>35546</v>
      </c>
      <c r="D107" s="2">
        <v>37257</v>
      </c>
      <c r="E107" s="2">
        <v>35655</v>
      </c>
      <c r="F107" s="2">
        <v>39626</v>
      </c>
      <c r="G107" s="2">
        <v>25604</v>
      </c>
      <c r="I107" s="2">
        <v>64778</v>
      </c>
      <c r="L107" t="s">
        <v>24</v>
      </c>
      <c r="M107" s="3" t="s">
        <v>55</v>
      </c>
      <c r="N107" s="3" t="s">
        <v>490</v>
      </c>
      <c r="O107" s="3" t="s">
        <v>481</v>
      </c>
      <c r="P107" s="3" t="s">
        <v>491</v>
      </c>
      <c r="Q107" s="3" t="s">
        <v>492</v>
      </c>
      <c r="R107" s="3" t="s">
        <v>434</v>
      </c>
      <c r="T107" s="3" t="s">
        <v>244</v>
      </c>
      <c r="U107" s="3"/>
    </row>
    <row r="108" spans="1:21" x14ac:dyDescent="0.2">
      <c r="A108" t="s">
        <v>25</v>
      </c>
      <c r="B108" s="2">
        <v>38707</v>
      </c>
      <c r="C108" s="2">
        <v>32732</v>
      </c>
      <c r="D108" s="2">
        <v>38758</v>
      </c>
      <c r="E108" s="2">
        <v>36364</v>
      </c>
      <c r="F108" s="2">
        <v>44858</v>
      </c>
      <c r="G108" s="2">
        <v>27738</v>
      </c>
      <c r="I108" s="2">
        <v>70308</v>
      </c>
      <c r="L108" t="s">
        <v>25</v>
      </c>
      <c r="M108" s="3" t="s">
        <v>401</v>
      </c>
      <c r="N108" s="3" t="s">
        <v>175</v>
      </c>
      <c r="O108" s="3" t="s">
        <v>493</v>
      </c>
      <c r="P108" s="3" t="s">
        <v>318</v>
      </c>
      <c r="Q108" s="3" t="s">
        <v>376</v>
      </c>
      <c r="R108" s="3" t="s">
        <v>494</v>
      </c>
      <c r="T108" s="3" t="s">
        <v>495</v>
      </c>
      <c r="U108" s="3"/>
    </row>
    <row r="109" spans="1:21" x14ac:dyDescent="0.2">
      <c r="A109" t="s">
        <v>26</v>
      </c>
      <c r="B109" s="2">
        <v>28942</v>
      </c>
      <c r="C109" s="2">
        <v>24083</v>
      </c>
      <c r="D109" s="2">
        <v>30177</v>
      </c>
      <c r="E109" s="2">
        <v>27738</v>
      </c>
      <c r="F109" s="2">
        <v>40380</v>
      </c>
      <c r="G109" s="2">
        <v>24829</v>
      </c>
      <c r="I109" s="2">
        <v>60699</v>
      </c>
      <c r="L109" t="s">
        <v>26</v>
      </c>
      <c r="M109" s="3" t="s">
        <v>496</v>
      </c>
      <c r="N109" s="3" t="s">
        <v>160</v>
      </c>
      <c r="O109" s="3" t="s">
        <v>497</v>
      </c>
      <c r="P109" s="3" t="s">
        <v>498</v>
      </c>
      <c r="Q109" s="3" t="s">
        <v>298</v>
      </c>
      <c r="R109" s="3" t="s">
        <v>499</v>
      </c>
      <c r="T109" s="3" t="s">
        <v>63</v>
      </c>
    </row>
    <row r="110" spans="1:21" x14ac:dyDescent="0.2">
      <c r="A110" t="s">
        <v>27</v>
      </c>
      <c r="B110" s="2">
        <v>33846</v>
      </c>
      <c r="C110" s="2">
        <v>30186</v>
      </c>
      <c r="D110" s="2">
        <v>30798</v>
      </c>
      <c r="E110" s="2">
        <v>28803</v>
      </c>
      <c r="F110" s="2">
        <v>30265</v>
      </c>
      <c r="G110" s="2">
        <v>22356</v>
      </c>
      <c r="I110" s="2">
        <v>53252</v>
      </c>
      <c r="L110" t="s">
        <v>27</v>
      </c>
      <c r="M110" s="3" t="s">
        <v>500</v>
      </c>
      <c r="N110" s="3" t="s">
        <v>309</v>
      </c>
      <c r="O110" s="3" t="s">
        <v>501</v>
      </c>
      <c r="P110" s="3" t="s">
        <v>502</v>
      </c>
      <c r="Q110" s="3" t="s">
        <v>174</v>
      </c>
      <c r="R110" s="3" t="s">
        <v>503</v>
      </c>
      <c r="T110" s="3" t="s">
        <v>447</v>
      </c>
    </row>
    <row r="111" spans="1:21" x14ac:dyDescent="0.2">
      <c r="A111" t="s">
        <v>28</v>
      </c>
      <c r="B111" s="2">
        <v>58023</v>
      </c>
      <c r="C111" s="2">
        <v>24915</v>
      </c>
      <c r="D111" s="2">
        <v>45904</v>
      </c>
      <c r="E111" s="2">
        <v>47524</v>
      </c>
      <c r="F111" s="2">
        <v>86222</v>
      </c>
      <c r="G111" s="2">
        <v>35228</v>
      </c>
      <c r="I111" s="2">
        <v>108549</v>
      </c>
      <c r="L111" t="s">
        <v>28</v>
      </c>
      <c r="M111" s="3" t="s">
        <v>504</v>
      </c>
      <c r="N111" s="3" t="s">
        <v>505</v>
      </c>
      <c r="O111" s="3" t="s">
        <v>506</v>
      </c>
      <c r="P111" s="3" t="s">
        <v>204</v>
      </c>
      <c r="Q111" s="3" t="s">
        <v>507</v>
      </c>
      <c r="R111" s="3" t="s">
        <v>104</v>
      </c>
      <c r="T111" s="3" t="s">
        <v>508</v>
      </c>
    </row>
    <row r="112" spans="1:21" x14ac:dyDescent="0.2">
      <c r="A112" t="s">
        <v>29</v>
      </c>
      <c r="B112" s="2">
        <v>44485</v>
      </c>
      <c r="C112" s="2">
        <v>42495</v>
      </c>
      <c r="D112" s="2">
        <v>49044</v>
      </c>
      <c r="E112" s="2">
        <v>46304</v>
      </c>
      <c r="F112" s="2">
        <v>49556</v>
      </c>
      <c r="G112" s="2">
        <v>23763</v>
      </c>
      <c r="I112" s="2">
        <v>81438</v>
      </c>
      <c r="L112" t="s">
        <v>29</v>
      </c>
      <c r="M112" s="3" t="s">
        <v>509</v>
      </c>
      <c r="N112" s="3" t="s">
        <v>420</v>
      </c>
      <c r="O112" s="3" t="s">
        <v>229</v>
      </c>
      <c r="P112" s="3" t="s">
        <v>425</v>
      </c>
      <c r="Q112" s="3" t="s">
        <v>453</v>
      </c>
      <c r="R112" s="3" t="s">
        <v>456</v>
      </c>
      <c r="T112" s="3" t="s">
        <v>510</v>
      </c>
    </row>
    <row r="113" spans="1:20" x14ac:dyDescent="0.2">
      <c r="A113" t="s">
        <v>35</v>
      </c>
      <c r="B113" s="4">
        <v>435661</v>
      </c>
      <c r="C113" s="4">
        <v>364014</v>
      </c>
      <c r="D113" s="4">
        <v>442477</v>
      </c>
      <c r="E113" s="4">
        <v>436458</v>
      </c>
      <c r="F113" s="4">
        <v>579168</v>
      </c>
      <c r="G113" s="4">
        <v>331440</v>
      </c>
      <c r="I113" s="4">
        <v>852546</v>
      </c>
      <c r="J113" s="4"/>
      <c r="L113" t="s">
        <v>35</v>
      </c>
      <c r="M113" s="3" t="s">
        <v>105</v>
      </c>
      <c r="N113" s="3" t="s">
        <v>511</v>
      </c>
      <c r="O113" s="3" t="s">
        <v>104</v>
      </c>
      <c r="P113" s="3" t="s">
        <v>512</v>
      </c>
      <c r="Q113" s="3" t="s">
        <v>513</v>
      </c>
      <c r="R113" s="3" t="s">
        <v>514</v>
      </c>
      <c r="T113" s="3" t="s">
        <v>515</v>
      </c>
    </row>
    <row r="116" spans="1:20" x14ac:dyDescent="0.2">
      <c r="A116" t="s">
        <v>532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6</v>
      </c>
      <c r="H116" t="s">
        <v>5</v>
      </c>
      <c r="I116"/>
      <c r="J116"/>
      <c r="L116" t="s">
        <v>533</v>
      </c>
      <c r="M116" t="s">
        <v>0</v>
      </c>
      <c r="N116" t="s">
        <v>1</v>
      </c>
      <c r="O116" t="s">
        <v>2</v>
      </c>
      <c r="P116" t="s">
        <v>3</v>
      </c>
      <c r="Q116" t="s">
        <v>4</v>
      </c>
      <c r="R116" t="s">
        <v>6</v>
      </c>
      <c r="S116" t="s">
        <v>5</v>
      </c>
    </row>
    <row r="117" spans="1:20" x14ac:dyDescent="0.2">
      <c r="A117" t="s">
        <v>19</v>
      </c>
      <c r="B117" s="2">
        <v>75333</v>
      </c>
      <c r="C117" s="2">
        <v>58106</v>
      </c>
      <c r="D117" s="2">
        <v>56450</v>
      </c>
      <c r="E117" s="2">
        <v>55229</v>
      </c>
      <c r="F117" s="2">
        <v>57782</v>
      </c>
      <c r="G117" s="2">
        <v>58916</v>
      </c>
      <c r="H117" s="2">
        <v>57667</v>
      </c>
      <c r="I117" s="3"/>
      <c r="J117" s="3"/>
      <c r="L117" t="s">
        <v>19</v>
      </c>
      <c r="M117" s="3" t="s">
        <v>56</v>
      </c>
      <c r="N117" s="3" t="s">
        <v>134</v>
      </c>
      <c r="O117" s="3" t="s">
        <v>211</v>
      </c>
      <c r="P117" s="3" t="s">
        <v>285</v>
      </c>
      <c r="Q117" s="3" t="s">
        <v>348</v>
      </c>
      <c r="R117" s="3" t="s">
        <v>411</v>
      </c>
      <c r="S117" s="3" t="s">
        <v>467</v>
      </c>
    </row>
    <row r="118" spans="1:20" x14ac:dyDescent="0.2">
      <c r="A118" t="s">
        <v>20</v>
      </c>
      <c r="B118" s="2">
        <v>58989</v>
      </c>
      <c r="C118" s="2">
        <v>48720</v>
      </c>
      <c r="D118" s="2">
        <v>47656</v>
      </c>
      <c r="E118" s="2">
        <v>46925</v>
      </c>
      <c r="F118" s="2">
        <v>50857</v>
      </c>
      <c r="G118" s="2">
        <v>49585</v>
      </c>
      <c r="H118" s="2">
        <v>48197</v>
      </c>
      <c r="I118" s="3"/>
      <c r="J118" s="3"/>
      <c r="L118" t="s">
        <v>20</v>
      </c>
      <c r="M118" s="3" t="s">
        <v>63</v>
      </c>
      <c r="N118" s="3" t="s">
        <v>141</v>
      </c>
      <c r="O118" s="3" t="s">
        <v>109</v>
      </c>
      <c r="P118" s="3" t="s">
        <v>292</v>
      </c>
      <c r="Q118" s="3" t="s">
        <v>354</v>
      </c>
      <c r="R118" s="3" t="s">
        <v>416</v>
      </c>
      <c r="S118" s="3" t="s">
        <v>473</v>
      </c>
    </row>
    <row r="119" spans="1:20" x14ac:dyDescent="0.2">
      <c r="A119" t="s">
        <v>21</v>
      </c>
      <c r="B119" s="2">
        <v>124028</v>
      </c>
      <c r="C119" s="2">
        <v>104908</v>
      </c>
      <c r="D119" s="2">
        <v>102106</v>
      </c>
      <c r="E119" s="2">
        <v>102237</v>
      </c>
      <c r="F119" s="2">
        <v>106240</v>
      </c>
      <c r="G119" s="2">
        <v>106809</v>
      </c>
      <c r="H119" s="2">
        <v>104959</v>
      </c>
      <c r="I119" s="3"/>
      <c r="J119" s="3"/>
      <c r="L119" t="s">
        <v>21</v>
      </c>
      <c r="M119" s="3" t="s">
        <v>69</v>
      </c>
      <c r="N119" s="3" t="s">
        <v>148</v>
      </c>
      <c r="O119" s="3" t="s">
        <v>224</v>
      </c>
      <c r="P119" s="3" t="s">
        <v>224</v>
      </c>
      <c r="Q119" s="3" t="s">
        <v>359</v>
      </c>
      <c r="R119" s="3" t="s">
        <v>422</v>
      </c>
      <c r="S119" s="3" t="s">
        <v>480</v>
      </c>
    </row>
    <row r="120" spans="1:20" x14ac:dyDescent="0.2">
      <c r="A120" t="s">
        <v>22</v>
      </c>
      <c r="B120" s="2">
        <v>133175</v>
      </c>
      <c r="C120" s="2">
        <v>106485</v>
      </c>
      <c r="D120" s="2">
        <v>101078</v>
      </c>
      <c r="E120" s="2">
        <v>99655</v>
      </c>
      <c r="F120" s="2">
        <v>107749</v>
      </c>
      <c r="G120" s="2">
        <v>109928</v>
      </c>
      <c r="H120" s="2">
        <v>105162</v>
      </c>
      <c r="I120" s="3"/>
      <c r="J120" s="3"/>
      <c r="L120" t="s">
        <v>22</v>
      </c>
      <c r="M120" s="3" t="s">
        <v>76</v>
      </c>
      <c r="N120" s="3" t="s">
        <v>155</v>
      </c>
      <c r="O120" s="3" t="s">
        <v>230</v>
      </c>
      <c r="P120" s="3" t="s">
        <v>194</v>
      </c>
      <c r="Q120" s="3" t="s">
        <v>366</v>
      </c>
      <c r="R120" s="3" t="s">
        <v>426</v>
      </c>
      <c r="S120" s="3" t="s">
        <v>484</v>
      </c>
    </row>
    <row r="121" spans="1:20" x14ac:dyDescent="0.2">
      <c r="A121" t="s">
        <v>23</v>
      </c>
      <c r="B121" s="2">
        <v>81589</v>
      </c>
      <c r="C121" s="2">
        <v>67679</v>
      </c>
      <c r="D121" s="2">
        <v>66504</v>
      </c>
      <c r="E121" s="2">
        <v>66010</v>
      </c>
      <c r="F121" s="2">
        <v>68453</v>
      </c>
      <c r="G121" s="2">
        <v>68170</v>
      </c>
      <c r="H121" s="2">
        <v>67345</v>
      </c>
      <c r="I121" s="3"/>
      <c r="J121" s="3"/>
      <c r="L121" t="s">
        <v>23</v>
      </c>
      <c r="M121" s="3" t="s">
        <v>83</v>
      </c>
      <c r="N121" s="3" t="s">
        <v>162</v>
      </c>
      <c r="O121" s="3" t="s">
        <v>237</v>
      </c>
      <c r="P121" s="3" t="s">
        <v>211</v>
      </c>
      <c r="Q121" s="3" t="s">
        <v>188</v>
      </c>
      <c r="R121" s="3" t="s">
        <v>430</v>
      </c>
      <c r="S121" s="3" t="s">
        <v>162</v>
      </c>
    </row>
    <row r="122" spans="1:20" x14ac:dyDescent="0.2">
      <c r="A122" t="s">
        <v>24</v>
      </c>
      <c r="B122" s="2">
        <v>77655</v>
      </c>
      <c r="C122" s="2">
        <v>65297</v>
      </c>
      <c r="D122" s="2">
        <v>63838</v>
      </c>
      <c r="E122" s="2">
        <v>62535</v>
      </c>
      <c r="F122" s="2">
        <v>64690</v>
      </c>
      <c r="G122" s="2">
        <v>65166</v>
      </c>
      <c r="H122" s="2">
        <v>64778</v>
      </c>
      <c r="I122" s="3"/>
      <c r="J122" s="3"/>
      <c r="L122" t="s">
        <v>24</v>
      </c>
      <c r="M122" s="3" t="s">
        <v>89</v>
      </c>
      <c r="N122" s="3" t="s">
        <v>169</v>
      </c>
      <c r="O122" s="3" t="s">
        <v>244</v>
      </c>
      <c r="P122" s="3" t="s">
        <v>313</v>
      </c>
      <c r="Q122" s="3" t="s">
        <v>373</v>
      </c>
      <c r="R122" s="3" t="s">
        <v>435</v>
      </c>
      <c r="S122" s="3" t="s">
        <v>244</v>
      </c>
    </row>
    <row r="123" spans="1:20" x14ac:dyDescent="0.2">
      <c r="A123" t="s">
        <v>25</v>
      </c>
      <c r="B123" s="2">
        <v>83356</v>
      </c>
      <c r="C123" s="2">
        <v>69611</v>
      </c>
      <c r="D123" s="2">
        <v>69330</v>
      </c>
      <c r="E123" s="2">
        <v>68013</v>
      </c>
      <c r="F123" s="2">
        <v>71946</v>
      </c>
      <c r="G123" s="2">
        <v>70271</v>
      </c>
      <c r="H123" s="2">
        <v>70308</v>
      </c>
      <c r="I123" s="3"/>
      <c r="J123" s="3"/>
      <c r="K123" t="s">
        <v>30</v>
      </c>
      <c r="L123" t="s">
        <v>25</v>
      </c>
      <c r="M123" s="3" t="s">
        <v>94</v>
      </c>
      <c r="N123" s="3" t="s">
        <v>176</v>
      </c>
      <c r="O123" s="3" t="s">
        <v>251</v>
      </c>
      <c r="P123" s="3" t="s">
        <v>73</v>
      </c>
      <c r="Q123" s="3" t="s">
        <v>377</v>
      </c>
      <c r="R123" s="3" t="s">
        <v>73</v>
      </c>
      <c r="S123" s="3" t="s">
        <v>495</v>
      </c>
    </row>
    <row r="124" spans="1:20" x14ac:dyDescent="0.2">
      <c r="A124" t="s">
        <v>26</v>
      </c>
      <c r="B124" s="2">
        <v>74286</v>
      </c>
      <c r="C124" s="2">
        <v>61145</v>
      </c>
      <c r="D124" s="2">
        <v>61036</v>
      </c>
      <c r="E124" s="2">
        <v>60014</v>
      </c>
      <c r="F124" s="2">
        <v>61724</v>
      </c>
      <c r="G124" s="2">
        <v>62889</v>
      </c>
      <c r="H124" s="2">
        <v>60699</v>
      </c>
      <c r="I124" s="3"/>
      <c r="J124" s="3"/>
      <c r="L124" t="s">
        <v>26</v>
      </c>
      <c r="M124" s="3" t="s">
        <v>100</v>
      </c>
      <c r="N124" s="3" t="s">
        <v>181</v>
      </c>
      <c r="O124" s="3" t="s">
        <v>257</v>
      </c>
      <c r="P124" s="3" t="s">
        <v>322</v>
      </c>
      <c r="Q124" s="3" t="s">
        <v>381</v>
      </c>
      <c r="R124" s="3" t="s">
        <v>257</v>
      </c>
      <c r="S124" s="3" t="s">
        <v>63</v>
      </c>
    </row>
    <row r="125" spans="1:20" x14ac:dyDescent="0.2">
      <c r="A125" t="s">
        <v>27</v>
      </c>
      <c r="B125" s="2">
        <v>72597</v>
      </c>
      <c r="C125" s="2">
        <v>53161</v>
      </c>
      <c r="D125" s="2">
        <v>51703</v>
      </c>
      <c r="E125" s="2">
        <v>51434</v>
      </c>
      <c r="F125" s="2">
        <v>52225</v>
      </c>
      <c r="G125" s="2">
        <v>53436</v>
      </c>
      <c r="H125" s="2">
        <v>53252</v>
      </c>
      <c r="I125" s="3"/>
      <c r="J125" s="3"/>
      <c r="L125" t="s">
        <v>27</v>
      </c>
      <c r="M125" s="3" t="s">
        <v>107</v>
      </c>
      <c r="N125" s="3" t="s">
        <v>187</v>
      </c>
      <c r="O125" s="3" t="s">
        <v>262</v>
      </c>
      <c r="P125" s="3" t="s">
        <v>327</v>
      </c>
      <c r="Q125" s="3" t="s">
        <v>273</v>
      </c>
      <c r="R125" s="3" t="s">
        <v>447</v>
      </c>
      <c r="S125" s="3" t="s">
        <v>447</v>
      </c>
    </row>
    <row r="126" spans="1:20" x14ac:dyDescent="0.2">
      <c r="A126" t="s">
        <v>28</v>
      </c>
      <c r="B126" s="2">
        <v>133345</v>
      </c>
      <c r="C126" s="2">
        <v>109617</v>
      </c>
      <c r="D126" s="2">
        <v>109667</v>
      </c>
      <c r="E126" s="2">
        <v>102874</v>
      </c>
      <c r="F126" s="2">
        <v>113711</v>
      </c>
      <c r="G126" s="2">
        <v>109599</v>
      </c>
      <c r="H126" s="2">
        <v>108549</v>
      </c>
      <c r="I126" s="3"/>
      <c r="J126" s="3"/>
      <c r="L126" t="s">
        <v>28</v>
      </c>
      <c r="M126" s="3" t="s">
        <v>113</v>
      </c>
      <c r="N126" s="3" t="s">
        <v>194</v>
      </c>
      <c r="O126" s="3" t="s">
        <v>268</v>
      </c>
      <c r="P126" s="3" t="s">
        <v>194</v>
      </c>
      <c r="Q126" s="3" t="s">
        <v>394</v>
      </c>
      <c r="R126" s="3" t="s">
        <v>194</v>
      </c>
      <c r="S126" s="3" t="s">
        <v>508</v>
      </c>
    </row>
    <row r="127" spans="1:20" x14ac:dyDescent="0.2">
      <c r="A127" t="s">
        <v>29</v>
      </c>
      <c r="B127" s="2">
        <v>101565</v>
      </c>
      <c r="C127" s="2">
        <v>82977</v>
      </c>
      <c r="D127" s="2">
        <v>81927</v>
      </c>
      <c r="E127" s="2">
        <v>78487</v>
      </c>
      <c r="F127" s="2">
        <v>79222</v>
      </c>
      <c r="G127" s="2">
        <v>83494</v>
      </c>
      <c r="H127" s="2">
        <v>81438</v>
      </c>
      <c r="I127" s="3"/>
      <c r="J127" s="3"/>
      <c r="L127" t="s">
        <v>29</v>
      </c>
      <c r="M127" s="3" t="s">
        <v>120</v>
      </c>
      <c r="N127" s="3" t="s">
        <v>200</v>
      </c>
      <c r="O127" s="3" t="s">
        <v>274</v>
      </c>
      <c r="P127" s="3" t="s">
        <v>338</v>
      </c>
      <c r="Q127" s="3" t="s">
        <v>400</v>
      </c>
      <c r="R127" s="3" t="s">
        <v>457</v>
      </c>
      <c r="S127" s="3" t="s">
        <v>510</v>
      </c>
    </row>
    <row r="128" spans="1:20" x14ac:dyDescent="0.2">
      <c r="A128" t="s">
        <v>35</v>
      </c>
      <c r="B128" s="4">
        <v>1066944</v>
      </c>
      <c r="C128" s="4">
        <v>853116</v>
      </c>
      <c r="D128" s="4">
        <v>853899</v>
      </c>
      <c r="E128" s="4">
        <v>850746</v>
      </c>
      <c r="F128" s="4">
        <v>898249</v>
      </c>
      <c r="G128" s="4">
        <v>869572</v>
      </c>
      <c r="H128" s="4">
        <v>852546</v>
      </c>
      <c r="I128" s="3"/>
      <c r="J128" s="3"/>
      <c r="L128" t="s">
        <v>35</v>
      </c>
      <c r="M128" s="3" t="s">
        <v>127</v>
      </c>
      <c r="N128" s="3" t="s">
        <v>206</v>
      </c>
      <c r="O128" s="3" t="s">
        <v>280</v>
      </c>
      <c r="P128" s="3" t="s">
        <v>206</v>
      </c>
      <c r="Q128" s="3" t="s">
        <v>406</v>
      </c>
      <c r="R128" s="3" t="s">
        <v>462</v>
      </c>
      <c r="S128" s="3" t="s">
        <v>515</v>
      </c>
    </row>
    <row r="129" spans="13:13" x14ac:dyDescent="0.2">
      <c r="M129" s="3"/>
    </row>
    <row r="130" spans="13:13" x14ac:dyDescent="0.2">
      <c r="M130" s="3"/>
    </row>
  </sheetData>
  <conditionalFormatting sqref="B2:H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H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H5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H6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H8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H9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:G1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H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C8C9-07A1-A240-B82C-C670DB54E70A}">
  <dimension ref="A1:F8"/>
  <sheetViews>
    <sheetView tabSelected="1" workbookViewId="0">
      <selection activeCell="J5" sqref="J5"/>
    </sheetView>
  </sheetViews>
  <sheetFormatPr baseColWidth="10" defaultRowHeight="16" x14ac:dyDescent="0.2"/>
  <cols>
    <col min="2" max="2" width="17.33203125" customWidth="1"/>
  </cols>
  <sheetData>
    <row r="1" spans="1:6" x14ac:dyDescent="0.2">
      <c r="B1" t="s">
        <v>538</v>
      </c>
      <c r="C1" t="s">
        <v>539</v>
      </c>
      <c r="D1" t="s">
        <v>540</v>
      </c>
      <c r="E1" t="s">
        <v>541</v>
      </c>
      <c r="F1" t="s">
        <v>542</v>
      </c>
    </row>
    <row r="2" spans="1:6" x14ac:dyDescent="0.2">
      <c r="A2" t="s">
        <v>0</v>
      </c>
      <c r="B2" s="1">
        <v>4963630</v>
      </c>
      <c r="C2" s="1">
        <v>4930047</v>
      </c>
      <c r="D2" s="1">
        <v>33391</v>
      </c>
      <c r="E2" s="1">
        <v>192</v>
      </c>
      <c r="F2" s="8">
        <f>C2/B2</f>
        <v>0.99323418546507292</v>
      </c>
    </row>
    <row r="3" spans="1:6" x14ac:dyDescent="0.2">
      <c r="A3" t="s">
        <v>1</v>
      </c>
      <c r="B3" s="1">
        <v>5293181</v>
      </c>
      <c r="C3" s="1">
        <v>5254168</v>
      </c>
      <c r="D3" s="1">
        <v>38768</v>
      </c>
      <c r="E3" s="1">
        <v>245</v>
      </c>
      <c r="F3" s="8">
        <f t="shared" ref="F3:F8" si="0">C3/B3</f>
        <v>0.99262957378559324</v>
      </c>
    </row>
    <row r="4" spans="1:6" x14ac:dyDescent="0.2">
      <c r="A4" t="s">
        <v>2</v>
      </c>
      <c r="B4" s="1">
        <v>5292933</v>
      </c>
      <c r="C4" s="1">
        <v>5253990</v>
      </c>
      <c r="D4" s="1">
        <v>38705</v>
      </c>
      <c r="E4" s="1">
        <v>238</v>
      </c>
      <c r="F4" s="8">
        <f t="shared" si="0"/>
        <v>0.99264245362637316</v>
      </c>
    </row>
    <row r="5" spans="1:6" x14ac:dyDescent="0.2">
      <c r="A5" t="s">
        <v>3</v>
      </c>
      <c r="B5" s="1">
        <v>5303979</v>
      </c>
      <c r="C5" s="1">
        <v>5264982</v>
      </c>
      <c r="D5" s="1">
        <v>38776</v>
      </c>
      <c r="E5" s="1">
        <v>221</v>
      </c>
      <c r="F5" s="8">
        <f t="shared" si="0"/>
        <v>0.99264759532418967</v>
      </c>
    </row>
    <row r="6" spans="1:6" x14ac:dyDescent="0.2">
      <c r="A6" t="s">
        <v>4</v>
      </c>
      <c r="B6" s="1">
        <v>5349217</v>
      </c>
      <c r="C6" s="1">
        <v>5310211</v>
      </c>
      <c r="D6" s="1">
        <v>38799</v>
      </c>
      <c r="E6" s="1">
        <v>207</v>
      </c>
      <c r="F6" s="8">
        <f t="shared" si="0"/>
        <v>0.99270809167023888</v>
      </c>
    </row>
    <row r="7" spans="1:6" x14ac:dyDescent="0.2">
      <c r="A7" t="s">
        <v>6</v>
      </c>
      <c r="B7" s="1">
        <v>5278946</v>
      </c>
      <c r="C7" s="1">
        <v>5240524</v>
      </c>
      <c r="D7" s="1">
        <v>38179</v>
      </c>
      <c r="E7" s="1">
        <v>243</v>
      </c>
      <c r="F7" s="8">
        <f t="shared" si="0"/>
        <v>0.99272165314818528</v>
      </c>
    </row>
    <row r="8" spans="1:6" x14ac:dyDescent="0.2">
      <c r="A8" t="s">
        <v>5</v>
      </c>
      <c r="B8" s="1">
        <v>5302674</v>
      </c>
      <c r="C8" s="1">
        <v>5264402</v>
      </c>
      <c r="D8" s="1">
        <v>38076</v>
      </c>
      <c r="E8" s="1">
        <v>196</v>
      </c>
      <c r="F8" s="8">
        <f t="shared" si="0"/>
        <v>0.99278250935282841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SNPs</vt:lpstr>
      <vt:lpstr>indels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Qihua Liang</cp:lastModifiedBy>
  <dcterms:created xsi:type="dcterms:W3CDTF">2019-09-23T17:31:03Z</dcterms:created>
  <dcterms:modified xsi:type="dcterms:W3CDTF">2020-08-24T22:04:23Z</dcterms:modified>
</cp:coreProperties>
</file>