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tstudents.sharepoint.com/sites/HarvardGlobalCaseCompetition2023/Shared Documents/General/Suraj/"/>
    </mc:Choice>
  </mc:AlternateContent>
  <xr:revisionPtr revIDLastSave="0" documentId="13_ncr:1_{F63519DE-B929-47A3-B7CF-EA0CCCE26170}" xr6:coauthVersionLast="47" xr6:coauthVersionMax="47" xr10:uidLastSave="{00000000-0000-0000-0000-000000000000}"/>
  <bookViews>
    <workbookView xWindow="-98" yWindow="-98" windowWidth="21795" windowHeight="13875" tabRatio="893" activeTab="3" xr2:uid="{EB81D382-4539-431D-B26C-B8F7FEE4B4FF}"/>
  </bookViews>
  <sheets>
    <sheet name="Trading Comps" sheetId="10" r:id="rId1"/>
    <sheet name="Vestas Input_morningstar" sheetId="12" r:id="rId2"/>
    <sheet name="Vestas_Pitchbooksum" sheetId="28" r:id="rId3"/>
    <sheet name="DCF-Vestas" sheetId="2" r:id="rId4"/>
    <sheet name="PB_CACHE" sheetId="29" state="veryHidden" r:id="rId5"/>
    <sheet name="Vestas_Valuation Summary" sheetId="22" r:id="rId6"/>
    <sheet name="Vestas_Revenue Breakup" sheetId="1" r:id="rId7"/>
    <sheet name="Acq Feasibility" sheetId="26" r:id="rId8"/>
    <sheet name="Football feild chart_Vestas" sheetId="5" r:id="rId9"/>
    <sheet name="SIEVES_combined" sheetId="14" state="hidden" r:id="rId10"/>
    <sheet name="SIEVES_Synergies" sheetId="15" state="hidden" r:id="rId11"/>
    <sheet name="Synergies_Vestas" sheetId="16" r:id="rId12"/>
    <sheet name="Vestas Stock Price Movement" sheetId="8" r:id="rId13"/>
    <sheet name="DCF-Nuvve" sheetId="17" r:id="rId14"/>
    <sheet name="Nuvve_Valuation Summary" sheetId="31" r:id="rId15"/>
    <sheet name="NUVVE_BS" sheetId="18" state="hidden" r:id="rId16"/>
    <sheet name="NUVVE_IS" sheetId="19" state="hidden" r:id="rId17"/>
    <sheet name="NUVVE_CF" sheetId="20" state="hidden" r:id="rId18"/>
    <sheet name="Merger Model" sheetId="32" r:id="rId19"/>
    <sheet name="Sheet1" sheetId="33" r:id="rId20"/>
  </sheets>
  <externalReferences>
    <externalReference r:id="rId21"/>
    <externalReference r:id="rId22"/>
    <externalReference r:id="rId23"/>
  </externalReferences>
  <definedNames>
    <definedName name="_bdm.2ce96c87f19a450da146a0c4aa3f4f37.edm" hidden="1">#REF!</definedName>
    <definedName name="_bdm.fcdcb85f66d84a7aac098aaed3657232.edm" hidden="1">#REF!</definedName>
    <definedName name="_xlnm._FilterDatabase" localSheetId="12" hidden="1">'Vestas Stock Price Movement'!$E$1:$G$1234</definedName>
    <definedName name="ADR">[1]IS!$M$12</definedName>
    <definedName name="AmountsOptions">[2]data!$B$2:$B$5</definedName>
    <definedName name="Ccy" localSheetId="2">[2]data!$I$6</definedName>
    <definedName name="Ccy">[3]Dropdowns!$E$10</definedName>
    <definedName name="COE">[1]IS!$Q$554</definedName>
    <definedName name="CurrencyInput">Vestas_Pitchbooksum!$I$3</definedName>
    <definedName name="CurrencyOptions">[2]data!$J$6:$J$12</definedName>
    <definedName name="_xlnm.database">#REF!</definedName>
    <definedName name="Dates">OFFSET('[2]Calculation Data'!$B$3, 0, 0, COUNT('[2]Calculation Data'!$B$3:$B$366)+1)</definedName>
    <definedName name="Denominator">[2]data!$B$1</definedName>
    <definedName name="FX">[1]IS!$M$10</definedName>
    <definedName name="G">[1]IS!$S$10</definedName>
    <definedName name="LENGTH">[1]IS!$S$12</definedName>
    <definedName name="MetricsOptions">[2]data!$M$7:$M$15</definedName>
    <definedName name="PreparedFor" localSheetId="2">Vestas_Pitchbooksum!$N$3</definedName>
    <definedName name="Prices">OFFSET('[2]Calculation Data'!$C$3, 0, 0, COUNT('[2]Calculation Data'!$C$3:$C$366)+1)</definedName>
    <definedName name="RONIC">[1]IS!$S$9</definedName>
    <definedName name="Scenarios">#REF!</definedName>
    <definedName name="SegmentsOptions">[2]data!$L$7:$L$8</definedName>
    <definedName name="tgr" localSheetId="13">'DCF-Nuvve'!$D$13</definedName>
    <definedName name="tgr">'DCF-Vestas'!$D$13</definedName>
    <definedName name="TGRR" localSheetId="13">'DCF-Nuvve'!$D$16</definedName>
    <definedName name="TGRR">'DCF-Vestas'!$D$16</definedName>
    <definedName name="ValuationGrapthOptions">[2]data!$B$22:$B$24</definedName>
    <definedName name="Volumes">OFFSET('[2]Calculation Data'!$D$3, 0, 0, COUNT('[2]Calculation Data'!$D$3:$D$366)+1)</definedName>
    <definedName name="wacc" localSheetId="13">'DCF-Nuvve'!$D$12</definedName>
    <definedName name="wacc">'DCF-Vestas'!$D$12</definedName>
    <definedName name="WACCC" localSheetId="13">'DCF-Nuvve'!$D$15</definedName>
    <definedName name="WACCC">'DCF-Vestas'!$D$15</definedName>
    <definedName name="YC_AC_EFFECT_IS">"cumulative_effect_acc_change"</definedName>
    <definedName name="YC_AC_EFFECT_IS_ANN">"cumulative_effect_acc_change_annual"</definedName>
    <definedName name="YC_AC_EFFECT_IS_TTM">"cumulative_effect_acc_change_ttm"</definedName>
    <definedName name="YC_ACC">"accruals"</definedName>
    <definedName name="YC_ACCCI">"comprehensive_income"</definedName>
    <definedName name="YC_ACCCI_ANN">"comprehensive_income_annual"</definedName>
    <definedName name="YC_ACCMDA">"total_accumulated_d_and_d"</definedName>
    <definedName name="YC_ACCMDA_ANN">"total_accumulated_d_and_d_annual"</definedName>
    <definedName name="YC_ACCR_EXP">"accrued_expenses"</definedName>
    <definedName name="YC_ACCR_EXP_ANN">"accrued_expenses_annual"</definedName>
    <definedName name="YC_AP">"accounts_payable"</definedName>
    <definedName name="YC_AP_ANN">"accounts_payable_annual"</definedName>
    <definedName name="YC_APIC">"additional_paid_in_capital"</definedName>
    <definedName name="YC_APIC_ANN">"additional_paid_in_capital_annual"</definedName>
    <definedName name="YC_AR">"accounts_receivable"</definedName>
    <definedName name="YC_AR_ANN">"accounts_receivable_annual"</definedName>
    <definedName name="YC_ASOB">"average_shares_outs_basic"</definedName>
    <definedName name="YC_ASOB_ANN">"average_shares_outs_basic_annual"</definedName>
    <definedName name="YC_ASOD">"average_shares_outs_diluted"</definedName>
    <definedName name="YC_ASOD_ANN">"average_shares_outs_diluted_annual"</definedName>
    <definedName name="YC_ATAX_INC_TTM">"income_after_tax_ttm"</definedName>
    <definedName name="YC_AU">"asset_utilization"</definedName>
    <definedName name="YC_BEG_CASH">"beginning_cash"</definedName>
    <definedName name="YC_BEG_CASH_ANN">"beginning_cash_annual"</definedName>
    <definedName name="YC_BETA">"market_beta_60_month"</definedName>
    <definedName name="YC_C_DISCOP_ADJ">"disc_ops_cash_flow_adjust"</definedName>
    <definedName name="YC_C_DISCOP_ADJ_ANN">"disc_ops_cash_flow_adjust_annual"</definedName>
    <definedName name="YC_C_DISCOP_ADJ_TTM">"disc_ops_cash_flow_adjust_ttm"</definedName>
    <definedName name="YC_CAPEX">"capex"</definedName>
    <definedName name="YC_CAPEX_TTM">"capex_ttm"</definedName>
    <definedName name="YC_CASH">"cash_and_equivalents"</definedName>
    <definedName name="YC_CASH_ANN">"cash_and_equivalents_annual"</definedName>
    <definedName name="YC_CCC">"cash_conversion_cycle"</definedName>
    <definedName name="YC_CCC_ANN">"cash_conversion_cycle_annual"</definedName>
    <definedName name="YC_CDPR">"cash_dividend_payout_ratio"</definedName>
    <definedName name="YC_CFF">"financing_activities_other"</definedName>
    <definedName name="YC_CFF_ANN">"financing_activities_other_annual"</definedName>
    <definedName name="YC_CFF_TTM">"financing_activities_other_ttm"</definedName>
    <definedName name="YC_CFI">"cash_investing"</definedName>
    <definedName name="YC_CFI_ANN">"cash_investing_annual"</definedName>
    <definedName name="YC_CFI_TTM">"cash_investing_ttm"</definedName>
    <definedName name="YC_CFIN">"cash_financing"</definedName>
    <definedName name="YC_CFIN_ANN">"cash_financing_annual"</definedName>
    <definedName name="YC_CFIN_TTM">"cash_financing_ttm"</definedName>
    <definedName name="YC_CFO">"cash_operations"</definedName>
    <definedName name="YC_CFO_ANN">"cash_operations_annual"</definedName>
    <definedName name="YC_CFO_TTM">"cash_operations_ttm"</definedName>
    <definedName name="YC_CHG_ADQDIVS">"net_acquisitions_divestitures"</definedName>
    <definedName name="YC_CHG_ADQDIVS_ANN">"net_acquisitions_divestitures_annual"</definedName>
    <definedName name="YC_CHG_ADQDIVS_TTM">"net_acquisitions_divestitures_ttm"</definedName>
    <definedName name="YC_CHG_AP">"change_in_accounts_payable"</definedName>
    <definedName name="YC_CHG_AP_ANN">"change_in_accounts_payable_annual"</definedName>
    <definedName name="YC_CHG_AP_TTM">"change_in_accounts_payable_ttm"</definedName>
    <definedName name="YC_CHG_AR">"change_in_acc_receivable"</definedName>
    <definedName name="YC_CHG_AR_ANN">"change_in_acc_receivable_annual"</definedName>
    <definedName name="YC_CHG_AR_TTM">"change_in_acc_receivable_ttm"</definedName>
    <definedName name="YC_CHG_ASLIAB">"total_changes_in_assets_liab"</definedName>
    <definedName name="YC_CHG_ASLIAB_ANN">"total_changes_in_assets_liab_annual"</definedName>
    <definedName name="YC_CHG_ASLIAB_TTM">"total_changes_in_assets_liab_ttm"</definedName>
    <definedName name="YC_CHG_CASH">"increase_in_cash"</definedName>
    <definedName name="YC_CHG_CASH_ANN">"increase_in_cash_annual"</definedName>
    <definedName name="YC_CHG_CASH_TTM">"increase_in_cash_ttm"</definedName>
    <definedName name="YC_CHG_CUR_DEBT">"net_current_debt"</definedName>
    <definedName name="YC_CHG_CUR_DEBT_ANN">"net_current_debt_annual"</definedName>
    <definedName name="YC_CHG_CUR_DEBT_TTM">"net_current_debt_ttm"</definedName>
    <definedName name="YC_CHG_INCTAX">"change_in_income_taxes"</definedName>
    <definedName name="YC_CHG_INCTAX_ANN">"change_in_income_taxes_annual"</definedName>
    <definedName name="YC_CHG_INCTAX_TTM">"change_in_income_taxes_ttm"</definedName>
    <definedName name="YC_CHG_INV">"change_in_inventories"</definedName>
    <definedName name="YC_CHG_INV_ANN">"change_in_inventories_annual"</definedName>
    <definedName name="YC_CHG_INV_TTM">"change_in_inventories_ttm"</definedName>
    <definedName name="YC_CHG_LTD">"net_long_term_debt"</definedName>
    <definedName name="YC_CHG_LTD_ANN">"net_long_term_debt_annual"</definedName>
    <definedName name="YC_CHG_LTD_TTM">"net_long_term_debt_ttm"</definedName>
    <definedName name="YC_CHG_PPE">"net_change_in_pp_and_e"</definedName>
    <definedName name="YC_CHG_PPE_ANN">"net_change_in_pp_and_e_annual"</definedName>
    <definedName name="YC_CHG_PPE_TTM">"net_change_in_pp_and_e_ttm"</definedName>
    <definedName name="YC_CHG_ST_INVEST">"net_change_in_st_investments"</definedName>
    <definedName name="YC_CHG_ST_INVEST_ANN">"net_change_in_st_investments_annual"</definedName>
    <definedName name="YC_CHG_ST_INVEST_TTM">"net_change_in_st_investments_ttm"</definedName>
    <definedName name="YC_CO_INC">"income_bef_ex_items_and_disc_ops"</definedName>
    <definedName name="YC_CO_INC_ANN">"income_bef_ex_items_and_disc_ops_annual"</definedName>
    <definedName name="YC_CO_INC_TTM">"income_bef_ex_items_and_disc_ops_ttm"</definedName>
    <definedName name="YC_COGS">"cost_of_goods_sold"</definedName>
    <definedName name="YC_COGS_ANN">"cost_of_goods_sold_annual"</definedName>
    <definedName name="YC_COGS_TTM">"cost_of_goods_sold_ttm"</definedName>
    <definedName name="YC_COMEQ">"book_value_of_equity"</definedName>
    <definedName name="YC_COMEQ_ANN">"book_value_of_equity_annual"</definedName>
    <definedName name="YC_CSI">"cash_on_hand"</definedName>
    <definedName name="YC_CSI_ANN">"cash_on_hand_annual"</definedName>
    <definedName name="YC_CUR">"current_ratio"</definedName>
    <definedName name="YC_CUR_AS">"total_current_assets"</definedName>
    <definedName name="YC_CUR_AS_ANN">"total_current_assets_annual"</definedName>
    <definedName name="YC_CUR_DTA">"deferred_tax_assets_curr"</definedName>
    <definedName name="YC_CUR_DTA_ANN">"deferred_tax_assets_curr_annual"</definedName>
    <definedName name="YC_CUR_LIAB">"total_current_liabilities"</definedName>
    <definedName name="YC_CUR_LIAB_ANN">"total_current_liabilities_annual"</definedName>
    <definedName name="YC_CUR_OTHAS">"other_current_assets"</definedName>
    <definedName name="YC_CUR_OTHAS_ANN">"other_current_assets_annual"</definedName>
    <definedName name="YC_CUR_OTHLIAB">"other_current_liabilities"</definedName>
    <definedName name="YC_CUR_OTHLIAB_ANN">"other_current_liabilities_annual"</definedName>
    <definedName name="YC_CUR_TAX_PAY">"current_portion_taxes_payable"</definedName>
    <definedName name="YC_CUR_TAX_PAY_ANN">"current_portion_taxes_payable_annual"</definedName>
    <definedName name="YC_DA">"total_depr_and_amortization"</definedName>
    <definedName name="YC_DA_ANN">"total_depr_and_amortization_annual"</definedName>
    <definedName name="YC_DA_EXP">"total_depr_and_amor"</definedName>
    <definedName name="YC_DA_EXP_ANN">"total_depr_and_amor_annual"</definedName>
    <definedName name="YC_DA_EXP_TTM">"total_depr_and_amor_ttm"</definedName>
    <definedName name="YC_DA_TTM">"total_depr_and_amortization_ttm"</definedName>
    <definedName name="YC_DE">"debt_equity_ratio"</definedName>
    <definedName name="YC_DEF_COMP">"deferred_compensation"</definedName>
    <definedName name="YC_DEF_COMP_ANN">"deferred_compensation_annual"</definedName>
    <definedName name="YC_DEF_CUR_REV">"deferred_revenue_current"</definedName>
    <definedName name="YC_DEF_CUR_REV_ANN">"deferred_revenue_current_annual"</definedName>
    <definedName name="YC_DEF_CUR_TAXLIAB">"deferred_tax_liability_current"</definedName>
    <definedName name="YC_DEF_CUR_TAXLIAB_ANN">"deferred_tax_liability_current_annual"</definedName>
    <definedName name="YC_DEF_LT_CHG">"deferred_charges_non_current"</definedName>
    <definedName name="YC_DEF_LT_CHG_ANN">"deferred_charges_non_current_annual"</definedName>
    <definedName name="YC_DEF_LT_TAXAS">"deferred_tax_assets_long_term"</definedName>
    <definedName name="YC_DEF_LT_TAXAS_ANN">"deferred_tax_assets_long_term_annual"</definedName>
    <definedName name="YC_DEF_LT_TAXLIAB">"deferred_tax_liab_long_term"</definedName>
    <definedName name="YC_DEF_LT_TAXLIAB_ANN">"deferred_tax_liab_long_term_annual"</definedName>
    <definedName name="YC_DEF_NCUR_REV">"deferred_revenue_non_current"</definedName>
    <definedName name="YC_DEF_NCUR_REV_ANN">"deferred_revenue_non_current_annual"</definedName>
    <definedName name="YC_DESCRIPTION">"description"</definedName>
    <definedName name="YC_DIO">"days_inventory_outstanding"</definedName>
    <definedName name="YC_DIO_ANN">"days_inventory_outstanding_annual"</definedName>
    <definedName name="YC_DIV">"dividend"</definedName>
    <definedName name="YC_DIV_PAY">"dividends_payable"</definedName>
    <definedName name="YC_DIV_PAY_ANN">"dividends_payable_annual"</definedName>
    <definedName name="YC_DIV_PD">"total_stock_dividends_paid"</definedName>
    <definedName name="YC_DIV_PD_ANN">"total_stock_dividends_paid_annual"</definedName>
    <definedName name="YC_DIV_PD_TTM">"total_stock_dividends_paid_ttm"</definedName>
    <definedName name="YC_DIVY">"dividend_yield"</definedName>
    <definedName name="YC_DO_INC">"income_from_discontinued_ops"</definedName>
    <definedName name="YC_DO_INC_ANN">"income_from_discontinued_ops_annual"</definedName>
    <definedName name="YC_DO_INC_TTM">"income_from_discontinued_ops_ttm"</definedName>
    <definedName name="YC_DPO">"days_payables_outstanding"</definedName>
    <definedName name="YC_DPO_ANN">"days_payables_outstanding_annual"</definedName>
    <definedName name="YC_DSO">"days_sales_outstanding"</definedName>
    <definedName name="YC_DSO_ANN">"days_sales_outstanding_annual"</definedName>
    <definedName name="YC_EBIT">"ebit"</definedName>
    <definedName name="YC_EBIT_ANN">"ebit_annual"</definedName>
    <definedName name="YC_EBIT_TTM">"ebit_ttm"</definedName>
    <definedName name="YC_EBITDA">"ebitda"</definedName>
    <definedName name="YC_EBITDA_ANN">"ebitda_annual"</definedName>
    <definedName name="YC_EBITDA_MGN">"ebitda_margin_ttm"</definedName>
    <definedName name="YC_EBITDA_TTM">"ebitda_ttm"</definedName>
    <definedName name="YC_END_CASH">"end_cash"</definedName>
    <definedName name="YC_END_CASH_ANN">"end_cash_annual"</definedName>
    <definedName name="YC_EPS">"eps"</definedName>
    <definedName name="YC_EPS_ANN">"eps_annual"</definedName>
    <definedName name="YC_EPS_ANN_FWD">"eps_est_0y"</definedName>
    <definedName name="YC_EPS_ANN_FWD_1Y">"eps_est_1y"</definedName>
    <definedName name="YC_EPS_ANN_FWD_2Y">"eps_est_2y"</definedName>
    <definedName name="YC_EPS_ANN_FWD_3Y">"eps_est_3y"</definedName>
    <definedName name="YC_EPS_BSC">"net_eps_basic"</definedName>
    <definedName name="YC_EPS_BSC_ANN">"net_eps_basic_annual"</definedName>
    <definedName name="YC_EPS_BSC_TTM">"net_eps_basic_ttm"</definedName>
    <definedName name="YC_EPS_FWD">"eps_est_0q"</definedName>
    <definedName name="YC_EPS_FWD_1Q">"eps_est_1q"</definedName>
    <definedName name="YC_EPS_FWD_2Q">"eps_est_2q"</definedName>
    <definedName name="YC_EPS_FWD_3Q">"eps_est_3q"</definedName>
    <definedName name="YC_EPS_FWD_4Q">"eps_est_4q"</definedName>
    <definedName name="YC_EPS_TTM">"eps_ttm"</definedName>
    <definedName name="YC_ETAX_RATE">"effective_tax_rate"</definedName>
    <definedName name="YC_EV">"enterprise_value"</definedName>
    <definedName name="YC_EV_EBIT">"ev_ebit"</definedName>
    <definedName name="YC_EV_EBITDA">"ev_ebitda"</definedName>
    <definedName name="YC_EV_FCF">"ev_free_cash_flow"</definedName>
    <definedName name="YC_EV_REV">"ev_revenues"</definedName>
    <definedName name="YC_EV_REV_FWD">"forward_ev_revenues"</definedName>
    <definedName name="YC_EXCHANGE">"exchange"</definedName>
    <definedName name="YC_EXP">"expenses"</definedName>
    <definedName name="YC_EXP_TTM">"expenses_ttm"</definedName>
    <definedName name="YC_EXTRA_INC">"extraordinary_income"</definedName>
    <definedName name="YC_EXTRA_INC_ANN">"extraordinary_income_annual"</definedName>
    <definedName name="YC_EXTRA_INC_TTM">"extraordinary_income_ttm"</definedName>
    <definedName name="YC_EY">"earning_yield"</definedName>
    <definedName name="YC_EY_FWD">"forward_earnings_yield"</definedName>
    <definedName name="YC_FCF">"free_cash_flow"</definedName>
    <definedName name="YC_FCFY">"free_cash_flow_yield"</definedName>
    <definedName name="YC_FOREX_ADJ">"foreign_exch_rate_adjust"</definedName>
    <definedName name="YC_FOREX_ADJ_ANN">"foreign_exch_rate_adjust_annual"</definedName>
    <definedName name="YC_FOREX_ADJ_TTM">"foreign_exch_rate_adjust_ttm"</definedName>
    <definedName name="YC_GPFT">"gross_profit"</definedName>
    <definedName name="YC_GPFT_ANN">"gross_profit_annual"</definedName>
    <definedName name="YC_GPFT_MGN">"gross_profit_margin"</definedName>
    <definedName name="YC_GPFT_TTM">"gross_profit_ttm"</definedName>
    <definedName name="YC_GPPE">"gross_property_plant_equip"</definedName>
    <definedName name="YC_GPPE_ANN">"gross_property_plant_equip_annual"</definedName>
    <definedName name="YC_GWIT">"goodwill_and_intangible"</definedName>
    <definedName name="YC_GWIT_ANN">"goodwill_and_intangible_annual"</definedName>
    <definedName name="YC_INDUSTRY">"industry"</definedName>
    <definedName name="YC_INT_EXP">"interest_expense"</definedName>
    <definedName name="YC_INT_INC">"interest_income"</definedName>
    <definedName name="YC_INT_INC_ANN">"interest_income_annual"</definedName>
    <definedName name="YC_INT_INC_TTM">"interest_income_ttm"</definedName>
    <definedName name="YC_INV">"inventories_net"</definedName>
    <definedName name="YC_INV_ANN">"inventories_net_annual"</definedName>
    <definedName name="YC_LIAB">"liabilities"</definedName>
    <definedName name="YC_LIAB_ANN">"liabilities_annual"</definedName>
    <definedName name="YC_LT_INV">"inventory_long_term"</definedName>
    <definedName name="YC_LT_INV_ANN">"inventory_long_term_annual"</definedName>
    <definedName name="YC_LT_PENAS">"pension_post_retirement_asset"</definedName>
    <definedName name="YC_LT_PENAS_ANN">"pension_post_retirement_asset_annual"</definedName>
    <definedName name="YC_LT_PENLIAB">"pension_and_retirement_liab"</definedName>
    <definedName name="YC_LT_PENLIAB_ANN">"pension_and_retirement_liab_annual"</definedName>
    <definedName name="YC_LT_RECV">"long_term_receivables"</definedName>
    <definedName name="YC_LT_RECV_ANN">"long_term_receivables_annual"</definedName>
    <definedName name="YC_LTA_OTH">"other_long_term_assets"</definedName>
    <definedName name="YC_LTA_OTH_ANN">"other_long_term_assets_annual"</definedName>
    <definedName name="YC_LTA_TOT">"total_long_term_assets"</definedName>
    <definedName name="YC_LTA_TOT_ANN">"total_long_term_assets_annual"</definedName>
    <definedName name="YC_LTD">"total_long_term_debt"</definedName>
    <definedName name="YC_LTD_ANN">"total_long_term_debt_annual"</definedName>
    <definedName name="YC_LTD_CURR">"current_portion_debt"</definedName>
    <definedName name="YC_LTD_CURR_ANN">"current_portion_debt_annual"</definedName>
    <definedName name="YC_LTD_TOT">"long_term_debt"</definedName>
    <definedName name="YC_MININT">"minority_interest"</definedName>
    <definedName name="YC_MININT_ANN">"minority_interest_annual"</definedName>
    <definedName name="YC_MININT_BS">"minority_interest_balance_sheet"</definedName>
    <definedName name="YC_MININT_BS_ANN">"minority_interest_balance_sheet_annual"</definedName>
    <definedName name="YC_MININT_TTM">"minority_interest_ttm"</definedName>
    <definedName name="YC_MKTCAP">"market_cap"</definedName>
    <definedName name="YC_NAME">"name"</definedName>
    <definedName name="YC_NCOMEQ_ISS">"net_common_equity_issued"</definedName>
    <definedName name="YC_NCOMEQ_ISS_ANN">"net_common_equity_issued_annual"</definedName>
    <definedName name="YC_NCOMEQ_ISS_TTM">"net_common_equity_issued_ttm"</definedName>
    <definedName name="YC_NCS">"capital_stock"</definedName>
    <definedName name="YC_NCS_ANN">"capital_stock_annual"</definedName>
    <definedName name="YC_NETCHG_IAS">"net_change_in_intang_assets"</definedName>
    <definedName name="YC_NETCHG_IAS_ANN">"net_change_in_intang_assets_annual"</definedName>
    <definedName name="YC_NETCHG_IAS_TTM">"net_change_in_intang_assets_ttm"</definedName>
    <definedName name="YC_NI">"net_income"</definedName>
    <definedName name="YC_NI_ANN">"net_income_annual"</definedName>
    <definedName name="YC_NI_CF">"net_income_cf"</definedName>
    <definedName name="YC_NI_CF_ANN">"net_income_cf_annual"</definedName>
    <definedName name="YC_NI_CF_TTM">"net_income_cf_ttm"</definedName>
    <definedName name="YC_NI_TTM">"net_income_ttm"</definedName>
    <definedName name="YC_NOINT_EXP">"interest_expense_non_operating"</definedName>
    <definedName name="YC_NOINT_EXP_ANN">"interest_expense_non_operating_annual"</definedName>
    <definedName name="YC_NOINT_EXP_TTM">"interest_expense_non_operating_ttm"</definedName>
    <definedName name="YC_NOP_INC">"total_non_operating_income"</definedName>
    <definedName name="YC_NOP_INC_ANN">"total_non_operating_income_annual"</definedName>
    <definedName name="YC_NOP_INC_TTM">"total_non_operating_income_ttm"</definedName>
    <definedName name="YC_NP">"notes_payable"</definedName>
    <definedName name="YC_NP_ANN">"notes_payable_annual"</definedName>
    <definedName name="YC_NPPE">"net_ppe"</definedName>
    <definedName name="YC_NPPE_ANN">"net_ppe_annual"</definedName>
    <definedName name="YC_OP_EY">"operating_earning_yield"</definedName>
    <definedName name="YC_OP_INC">"operating_income"</definedName>
    <definedName name="YC_OP_INC_ANN">"operating_income_annual"</definedName>
    <definedName name="YC_OP_INC_TTM">"operating_income_ttm"</definedName>
    <definedName name="YC_OP_MGN">"operating_margin_ttm"</definedName>
    <definedName name="YC_OP_PE">"operating_pe_ratio"</definedName>
    <definedName name="YC_OPINT_EXP">"interest_expense_oper"</definedName>
    <definedName name="YC_OPINT_EXP_ANN">"interest_expense_oper_annual"</definedName>
    <definedName name="YC_OPINT_EXP_TTM">"interest_expense_oper_ttm"</definedName>
    <definedName name="YC_OTH_CFO">"operating_activities_other"</definedName>
    <definedName name="YC_OTH_CFO_ANN">"operating_activities_other_annual"</definedName>
    <definedName name="YC_OTH_CFO_TTM">"operating_activities_other_ttm"</definedName>
    <definedName name="YC_OTH_INC">"other_income_expense"</definedName>
    <definedName name="YC_OTH_INC_ANN">"other_income_expense_annual"</definedName>
    <definedName name="YC_OTH_INC_TTM">"other_income_expense_ttm"</definedName>
    <definedName name="YC_OTH_LT_LIAB">"other_non_current_liab"</definedName>
    <definedName name="YC_OTH_LT_LIAB_ANN">"other_non_current_liab_annual"</definedName>
    <definedName name="YC_OTH_NCI">"other_non_cash_items"</definedName>
    <definedName name="YC_OTH_NCI_ANN">"other_non_cash_items_annual"</definedName>
    <definedName name="YC_OTH_NCI_TTM">"other_non_cash_items_ttm"</definedName>
    <definedName name="YC_OTH_PAY">"other_payables"</definedName>
    <definedName name="YC_OTH_PAY_ANN">"other_payables_annual"</definedName>
    <definedName name="YC_PB">"price_to_book_value"</definedName>
    <definedName name="YC_PE">"pe_ratio"</definedName>
    <definedName name="YC_PE_FWD">"forward_pe_ratio"</definedName>
    <definedName name="YC_PE_ISS">"net_preferred_equity_issued"</definedName>
    <definedName name="YC_PE_ISS_ANN">"net_preferred_equity_issued_annual"</definedName>
    <definedName name="YC_PE_ISS_TTM">"net_preferred_equity_issued_ttm"</definedName>
    <definedName name="YC_PE10">"pe_10"</definedName>
    <definedName name="YC_PEG">"peg_ratio"</definedName>
    <definedName name="YC_PEG_FWD">"forward_peg_ratio"</definedName>
    <definedName name="YC_PFT_MGN">"profit_margin"</definedName>
    <definedName name="YC_PR">"payout_ratio"</definedName>
    <definedName name="YC_PRE_EXP">"prepaid_expenses"</definedName>
    <definedName name="YC_PRE_EXP_ANN">"prepaid_expenses_annual"</definedName>
    <definedName name="YC_PREFSLIAB">"preferred_stock_liabilities"</definedName>
    <definedName name="YC_PREFSLIAB_ANN">"preferred_stock_liabilities_annual"</definedName>
    <definedName name="YC_PRICE">"price"</definedName>
    <definedName name="YC_PS">"ps_ratio"</definedName>
    <definedName name="YC_PS_DIV">"preferred_stock_div_and_adj"</definedName>
    <definedName name="YC_PS_DIV_ANN">"preferred_stock_div_and_adj_annual"</definedName>
    <definedName name="YC_PS_DIV_TTM">"preferred_stock_div_and_adj_ttm"</definedName>
    <definedName name="YC_PS_FWD">"forward_ps_ratio"</definedName>
    <definedName name="YC_PTAX_INC">"pre_tax_income"</definedName>
    <definedName name="YC_PTAX_INC_ANN">"pre_tax_income_annual"</definedName>
    <definedName name="YC_PTAX_INC_TTM">"pre_tax_income_ttm"</definedName>
    <definedName name="YC_PTB">"price_to_tangible_book_value"</definedName>
    <definedName name="YC_RD_EXP">"r_and_d_expense"</definedName>
    <definedName name="YC_RD_EXP_ANN">"r_and_d_expense_annual"</definedName>
    <definedName name="YC_RD_EXP_TTM">"r_and_d_expense_ttm"</definedName>
    <definedName name="YC_RE">"retained_earnings"</definedName>
    <definedName name="YC_RE_ANN">"retained_earnings_annual"</definedName>
    <definedName name="YC_RECV_TURN">"receivables_turnover"</definedName>
    <definedName name="YC_REV">"revenues"</definedName>
    <definedName name="YC_REV_ANN">"revenues_annual"</definedName>
    <definedName name="YC_REV_ANN_EST">"annual_sales_estimates"</definedName>
    <definedName name="YC_REV_ANN_FWD">"sales_est_0y"</definedName>
    <definedName name="YC_REV_ANN_FWD_1Y">"sales_est_1y"</definedName>
    <definedName name="YC_REV_EST">"quarterly_sales_estimates"</definedName>
    <definedName name="YC_REV_FWD">"sales_est_0q"</definedName>
    <definedName name="YC_REV_FWD_1Q">"sales_est_1q"</definedName>
    <definedName name="YC_REV_FWD_2Q">"sales_est_2q"</definedName>
    <definedName name="YC_REV_FWD_3Q">"sales_est_3q"</definedName>
    <definedName name="YC_REV_TTM">"revenues_ttm"</definedName>
    <definedName name="YC_ROA">"return_on_assets"</definedName>
    <definedName name="YC_ROE">"return_on_equity"</definedName>
    <definedName name="YC_ROIC">"return_on_invested_capital"</definedName>
    <definedName name="YC_SBB">"stock_buyback"</definedName>
    <definedName name="YC_SBB_TTM">"stock_buyback_ttm"</definedName>
    <definedName name="YC_SE">"shareholders_equity"</definedName>
    <definedName name="YC_SE_ANN">"shareholders_equity_annual"</definedName>
    <definedName name="YC_SECTOR">"sector"</definedName>
    <definedName name="YC_SGA_EXP">"sga_expense"</definedName>
    <definedName name="YC_SGA_EXP_ANN">"sga_expense_annual"</definedName>
    <definedName name="YC_SGA_EXP_TTM">"sga_expense_ttm"</definedName>
    <definedName name="YC_SO">"shares_outstanding"</definedName>
    <definedName name="YC_TA">"assets"</definedName>
    <definedName name="YC_TA_ANN">"assets_annual"</definedName>
    <definedName name="YC_TAX_PROV">"provision_for_income_taxes"</definedName>
    <definedName name="YC_TAX_PROV_ANN">"provision_for_income_taxes_annual"</definedName>
    <definedName name="YC_TAX_PROV_TTM">"provision_for_income_taxes_ttm"</definedName>
    <definedName name="YC_TBV">"book_value_of_tangible_equity"</definedName>
    <definedName name="YC_TBV_ANN">"book_value_of_tangible_equity_annual"</definedName>
    <definedName name="YC_TCER">"tangible_common_equity_ratio"</definedName>
    <definedName name="YC_TO_EXP">"total_operating_expense"</definedName>
    <definedName name="YC_TO_EXP_ANN">"total_operating_expense_annual"</definedName>
    <definedName name="YC_TO_EXP_TTM">"total_operating_expense_ttm"</definedName>
    <definedName name="YC_TOT_CHG_INVEST">"net_change_in_invest_total"</definedName>
    <definedName name="YC_TOT_CHG_INVEST_ANN">"net_change_in_invest_total_annual"</definedName>
    <definedName name="YC_TOT_CHG_INVEST_TTM">"net_change_in_invest_total_ttm"</definedName>
    <definedName name="YC_TOT_CHG_LT_INVEST">"net_change_in_lt_investments"</definedName>
    <definedName name="YC_TOT_CHG_LT_INVEST_ANN">"net_change_in_lt_investments_annual"</definedName>
    <definedName name="YC_TOT_CHG_LT_INVEST_TTM">"net_change_in_lt_investments_ttm"</definedName>
    <definedName name="YC_TOT_CS_DIV">"common_stock_dividends_paid"</definedName>
    <definedName name="YC_TOT_CS_DIV_ANN">"common_stock_dividends_paid_annual"</definedName>
    <definedName name="YC_TOT_CS_DIV_TTM">"common_stock_dividends_paid_ttm"</definedName>
    <definedName name="YC_TOT_EQEQUIV">"equity_equivalent"</definedName>
    <definedName name="YC_TOT_EQEQUIV_ANN">"equity_equivalent_annual"</definedName>
    <definedName name="YC_TOT_LIABSE">"total_liab_shareholder_equity"</definedName>
    <definedName name="YC_TOT_LIABSE_ANN">"total_liab_shareholder_equity_annual"</definedName>
    <definedName name="YC_TOT_LT_INVEST">"long_term_investments"</definedName>
    <definedName name="YC_TOT_LT_INVEST_ANN">"long_term_investments_annual"</definedName>
    <definedName name="YC_TOT_LT_LIAB">"total_long_term_liab"</definedName>
    <definedName name="YC_TOT_LT_LIAB_ANN">"total_long_term_liab_annual"</definedName>
    <definedName name="YC_TOT_NCI_TTM">"total_non_cash_items_ttm"</definedName>
    <definedName name="YC_TOT_NDBT_ISS">"debt_issuance_net_total"</definedName>
    <definedName name="YC_TOT_NDBT_ISS_ANN">"debt_issuance_net_total_annual"</definedName>
    <definedName name="YC_TOT_NDBT_ISS_TTM">"debt_issuance_net_total_ttm"</definedName>
    <definedName name="YC_TOT_NE_ISS">"net_common_equity_issued"</definedName>
    <definedName name="YC_TOT_NE_ISS_ANN">"net_common_equity_issued_annual"</definedName>
    <definedName name="YC_TOT_NE_ISS_TTM">"net_common_equity_issued_ttm"</definedName>
    <definedName name="YC_TOT_PS">"total_preferred_stock"</definedName>
    <definedName name="YC_TOT_PS_ANN">"total_preferred_stock_annual"</definedName>
    <definedName name="YC_TOT_PS_DIV">"preferred_stock_dividends_paid"</definedName>
    <definedName name="YC_TOT_PS_DIV_ANN">"preferred_stock_dividends_paid_annual"</definedName>
    <definedName name="YC_TOT_PS_DIV_TTM">"preferred_stock_dividends_paid_ttm"</definedName>
    <definedName name="YC_TOT_RETPRICE">"total_return_price"</definedName>
    <definedName name="YC_TS">"treasury_stock"</definedName>
    <definedName name="YC_TS_ANN">"treasury_stock_annual"</definedName>
    <definedName name="YC_URL">"url"</definedName>
    <definedName name="YC_VOL">"volume"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D15" i="2"/>
  <c r="D16" i="17"/>
  <c r="D15" i="17"/>
  <c r="H50" i="16"/>
  <c r="G50" i="16"/>
  <c r="F50" i="16"/>
  <c r="E50" i="16"/>
  <c r="D50" i="16"/>
  <c r="H43" i="16"/>
  <c r="G43" i="16"/>
  <c r="F43" i="16"/>
  <c r="E43" i="16"/>
  <c r="D43" i="16"/>
  <c r="O123" i="32"/>
  <c r="N123" i="32"/>
  <c r="M123" i="32"/>
  <c r="L123" i="32"/>
  <c r="L125" i="32" s="1"/>
  <c r="L126" i="32" s="1"/>
  <c r="K123" i="32"/>
  <c r="O120" i="32"/>
  <c r="N120" i="32"/>
  <c r="M120" i="32"/>
  <c r="L120" i="32"/>
  <c r="K120" i="32"/>
  <c r="H123" i="32"/>
  <c r="G123" i="32"/>
  <c r="F123" i="32"/>
  <c r="E123" i="32"/>
  <c r="D123" i="32"/>
  <c r="C123" i="32"/>
  <c r="H120" i="32"/>
  <c r="G120" i="32"/>
  <c r="F120" i="32"/>
  <c r="E120" i="32"/>
  <c r="D120" i="32"/>
  <c r="D125" i="32" s="1"/>
  <c r="D126" i="32" s="1"/>
  <c r="C120" i="32"/>
  <c r="O125" i="32"/>
  <c r="O126" i="32" s="1"/>
  <c r="N125" i="32"/>
  <c r="N126" i="32" s="1"/>
  <c r="M125" i="32"/>
  <c r="M126" i="32" s="1"/>
  <c r="K125" i="32"/>
  <c r="K126" i="32" s="1"/>
  <c r="G125" i="32"/>
  <c r="G126" i="32" s="1"/>
  <c r="F125" i="32"/>
  <c r="F126" i="32" s="1"/>
  <c r="E125" i="32"/>
  <c r="E126" i="32" s="1"/>
  <c r="C125" i="32"/>
  <c r="C126" i="32" s="1"/>
  <c r="L116" i="32"/>
  <c r="M116" i="32" s="1"/>
  <c r="N116" i="32" s="1"/>
  <c r="O116" i="32" s="1"/>
  <c r="G116" i="32"/>
  <c r="H116" i="32" s="1"/>
  <c r="E116" i="32"/>
  <c r="F116" i="32" s="1"/>
  <c r="D116" i="32"/>
  <c r="O108" i="32"/>
  <c r="N108" i="32"/>
  <c r="M108" i="32"/>
  <c r="L108" i="32"/>
  <c r="K108" i="32"/>
  <c r="H108" i="32"/>
  <c r="G108" i="32"/>
  <c r="F108" i="32"/>
  <c r="E108" i="32"/>
  <c r="D108" i="32"/>
  <c r="C108" i="32"/>
  <c r="O107" i="32"/>
  <c r="N107" i="32"/>
  <c r="M107" i="32"/>
  <c r="L107" i="32"/>
  <c r="K107" i="32"/>
  <c r="C107" i="32"/>
  <c r="O105" i="32"/>
  <c r="N105" i="32"/>
  <c r="M105" i="32"/>
  <c r="L105" i="32"/>
  <c r="K105" i="32"/>
  <c r="J100" i="32"/>
  <c r="B100" i="32"/>
  <c r="H99" i="32"/>
  <c r="O94" i="32"/>
  <c r="N94" i="32"/>
  <c r="M94" i="32"/>
  <c r="L94" i="32"/>
  <c r="K94" i="32"/>
  <c r="H94" i="32"/>
  <c r="G94" i="32"/>
  <c r="F94" i="32"/>
  <c r="E94" i="32"/>
  <c r="D94" i="32"/>
  <c r="C94" i="32"/>
  <c r="H90" i="32"/>
  <c r="G90" i="32"/>
  <c r="F90" i="32"/>
  <c r="E90" i="32"/>
  <c r="D90" i="32"/>
  <c r="C90" i="32"/>
  <c r="H89" i="32"/>
  <c r="G89" i="32"/>
  <c r="F89" i="32"/>
  <c r="E89" i="32"/>
  <c r="D89" i="32"/>
  <c r="C89" i="32"/>
  <c r="H82" i="32"/>
  <c r="G82" i="32"/>
  <c r="F82" i="32"/>
  <c r="E82" i="32"/>
  <c r="D82" i="32"/>
  <c r="D83" i="32" s="1"/>
  <c r="C82" i="32"/>
  <c r="C83" i="32" s="1"/>
  <c r="C86" i="32" s="1"/>
  <c r="H81" i="32"/>
  <c r="H83" i="32" s="1"/>
  <c r="G81" i="32"/>
  <c r="G83" i="32" s="1"/>
  <c r="F81" i="32"/>
  <c r="F83" i="32" s="1"/>
  <c r="E81" i="32"/>
  <c r="E83" i="32" s="1"/>
  <c r="D81" i="32"/>
  <c r="C81" i="32"/>
  <c r="C79" i="32"/>
  <c r="H76" i="32"/>
  <c r="G76" i="32"/>
  <c r="F76" i="32"/>
  <c r="E76" i="32"/>
  <c r="D76" i="32"/>
  <c r="C76" i="32"/>
  <c r="G75" i="32"/>
  <c r="F75" i="32"/>
  <c r="E75" i="32"/>
  <c r="H73" i="32"/>
  <c r="G73" i="32"/>
  <c r="F73" i="32"/>
  <c r="E73" i="32"/>
  <c r="D73" i="32"/>
  <c r="C73" i="32"/>
  <c r="C78" i="32" s="1"/>
  <c r="L72" i="32"/>
  <c r="M72" i="32" s="1"/>
  <c r="N72" i="32" s="1"/>
  <c r="O72" i="32" s="1"/>
  <c r="D72" i="32"/>
  <c r="E72" i="32" s="1"/>
  <c r="F72" i="32" s="1"/>
  <c r="G72" i="32" s="1"/>
  <c r="H72" i="32" s="1"/>
  <c r="S61" i="32"/>
  <c r="S57" i="32"/>
  <c r="P57" i="32"/>
  <c r="O57" i="32"/>
  <c r="H57" i="32"/>
  <c r="G57" i="32"/>
  <c r="F57" i="32"/>
  <c r="E57" i="32"/>
  <c r="D57" i="32"/>
  <c r="C57" i="32"/>
  <c r="K99" i="32" s="1"/>
  <c r="T56" i="32"/>
  <c r="U56" i="32" s="1"/>
  <c r="V56" i="32" s="1"/>
  <c r="W56" i="32" s="1"/>
  <c r="X56" i="32" s="1"/>
  <c r="P56" i="32"/>
  <c r="O56" i="32"/>
  <c r="N56" i="32"/>
  <c r="M56" i="32"/>
  <c r="L56" i="32"/>
  <c r="K56" i="32"/>
  <c r="T55" i="32"/>
  <c r="T57" i="32" s="1"/>
  <c r="S55" i="32"/>
  <c r="P55" i="32"/>
  <c r="O55" i="32"/>
  <c r="N55" i="32"/>
  <c r="N57" i="32" s="1"/>
  <c r="M55" i="32"/>
  <c r="M57" i="32" s="1"/>
  <c r="L55" i="32"/>
  <c r="L57" i="32" s="1"/>
  <c r="K55" i="32"/>
  <c r="K57" i="32" s="1"/>
  <c r="S50" i="32"/>
  <c r="P49" i="32"/>
  <c r="L48" i="32"/>
  <c r="L49" i="32" s="1"/>
  <c r="G48" i="32"/>
  <c r="G52" i="32" s="1"/>
  <c r="G59" i="32" s="1"/>
  <c r="G65" i="32" s="1"/>
  <c r="U46" i="32"/>
  <c r="L90" i="32" s="1"/>
  <c r="S46" i="32"/>
  <c r="T46" i="32" s="1"/>
  <c r="K90" i="32" s="1"/>
  <c r="S45" i="32"/>
  <c r="P43" i="32"/>
  <c r="O43" i="32"/>
  <c r="E43" i="32"/>
  <c r="M42" i="32"/>
  <c r="M43" i="32" s="1"/>
  <c r="L42" i="32"/>
  <c r="L43" i="32" s="1"/>
  <c r="K42" i="32"/>
  <c r="K48" i="32" s="1"/>
  <c r="G42" i="32"/>
  <c r="G43" i="32" s="1"/>
  <c r="C42" i="32"/>
  <c r="C43" i="32" s="1"/>
  <c r="P40" i="32"/>
  <c r="O40" i="32"/>
  <c r="N40" i="32"/>
  <c r="M40" i="32"/>
  <c r="L40" i="32"/>
  <c r="K40" i="32"/>
  <c r="H40" i="32"/>
  <c r="G40" i="32"/>
  <c r="F40" i="32"/>
  <c r="E40" i="32"/>
  <c r="D40" i="32"/>
  <c r="C40" i="32"/>
  <c r="S39" i="32"/>
  <c r="S38" i="32"/>
  <c r="S40" i="32" s="1"/>
  <c r="K84" i="32" s="1"/>
  <c r="G36" i="32"/>
  <c r="E36" i="32"/>
  <c r="D36" i="32"/>
  <c r="C36" i="32"/>
  <c r="P35" i="32"/>
  <c r="P42" i="32" s="1"/>
  <c r="P48" i="32" s="1"/>
  <c r="P52" i="32" s="1"/>
  <c r="P59" i="32" s="1"/>
  <c r="P60" i="32" s="1"/>
  <c r="O35" i="32"/>
  <c r="O42" i="32" s="1"/>
  <c r="O48" i="32" s="1"/>
  <c r="O52" i="32" s="1"/>
  <c r="O53" i="32" s="1"/>
  <c r="N35" i="32"/>
  <c r="N42" i="32" s="1"/>
  <c r="M35" i="32"/>
  <c r="L35" i="32"/>
  <c r="K35" i="32"/>
  <c r="H35" i="32"/>
  <c r="H36" i="32" s="1"/>
  <c r="G35" i="32"/>
  <c r="F35" i="32"/>
  <c r="F42" i="32" s="1"/>
  <c r="F48" i="32" s="1"/>
  <c r="F52" i="32" s="1"/>
  <c r="F59" i="32" s="1"/>
  <c r="F60" i="32" s="1"/>
  <c r="E35" i="32"/>
  <c r="E42" i="32" s="1"/>
  <c r="E48" i="32" s="1"/>
  <c r="E52" i="32" s="1"/>
  <c r="E53" i="32" s="1"/>
  <c r="D35" i="32"/>
  <c r="D42" i="32" s="1"/>
  <c r="C35" i="32"/>
  <c r="S34" i="32"/>
  <c r="P33" i="32"/>
  <c r="O33" i="32"/>
  <c r="N33" i="32"/>
  <c r="M33" i="32"/>
  <c r="L33" i="32"/>
  <c r="H33" i="32"/>
  <c r="G33" i="32"/>
  <c r="F33" i="32"/>
  <c r="E33" i="32"/>
  <c r="D33" i="32"/>
  <c r="S32" i="32"/>
  <c r="S35" i="32" s="1"/>
  <c r="U31" i="32"/>
  <c r="V31" i="32" s="1"/>
  <c r="W31" i="32" s="1"/>
  <c r="X31" i="32" s="1"/>
  <c r="N31" i="32"/>
  <c r="O31" i="32" s="1"/>
  <c r="P31" i="32" s="1"/>
  <c r="M31" i="32"/>
  <c r="L31" i="32"/>
  <c r="D31" i="32"/>
  <c r="E31" i="32" s="1"/>
  <c r="F31" i="32" s="1"/>
  <c r="G31" i="32" s="1"/>
  <c r="H31" i="32" s="1"/>
  <c r="L28" i="32"/>
  <c r="H28" i="32"/>
  <c r="D28" i="32"/>
  <c r="D24" i="32"/>
  <c r="L23" i="32"/>
  <c r="S68" i="32" s="1"/>
  <c r="T68" i="32" s="1"/>
  <c r="U68" i="32" s="1"/>
  <c r="V68" i="32" s="1"/>
  <c r="W68" i="32" s="1"/>
  <c r="X68" i="32" s="1"/>
  <c r="L22" i="32"/>
  <c r="C17" i="20"/>
  <c r="E37" i="17" s="1"/>
  <c r="B17" i="20"/>
  <c r="F9" i="19"/>
  <c r="G6" i="19"/>
  <c r="F6" i="19"/>
  <c r="E15" i="31"/>
  <c r="E20" i="31" s="1"/>
  <c r="M8" i="31" s="1"/>
  <c r="M9" i="31" s="1"/>
  <c r="M13" i="31"/>
  <c r="E12" i="31"/>
  <c r="E26" i="31" s="1"/>
  <c r="E8" i="31"/>
  <c r="B100" i="17"/>
  <c r="B101" i="17" s="1"/>
  <c r="B98" i="17"/>
  <c r="B97" i="17" s="1"/>
  <c r="B90" i="17"/>
  <c r="B91" i="17" s="1"/>
  <c r="T88" i="17"/>
  <c r="T77" i="17" s="1"/>
  <c r="T90" i="17" s="1"/>
  <c r="L14" i="17" s="1"/>
  <c r="B88" i="17"/>
  <c r="B87" i="17"/>
  <c r="T83" i="17"/>
  <c r="T82" i="17"/>
  <c r="E80" i="17"/>
  <c r="E78" i="17"/>
  <c r="E9" i="31" s="1"/>
  <c r="E77" i="17"/>
  <c r="L26" i="32" s="1"/>
  <c r="H67" i="17"/>
  <c r="I67" i="17" s="1"/>
  <c r="F60" i="17"/>
  <c r="E55" i="17"/>
  <c r="K53" i="17"/>
  <c r="K51" i="17"/>
  <c r="K50" i="17"/>
  <c r="F49" i="17"/>
  <c r="F58" i="17" s="1"/>
  <c r="K47" i="17"/>
  <c r="G46" i="17"/>
  <c r="G44" i="17" s="1"/>
  <c r="K45" i="17"/>
  <c r="G45" i="17"/>
  <c r="F43" i="17"/>
  <c r="E42" i="17"/>
  <c r="I41" i="17"/>
  <c r="J41" i="17" s="1"/>
  <c r="K41" i="17" s="1"/>
  <c r="H41" i="17"/>
  <c r="F37" i="17"/>
  <c r="F38" i="17" s="1"/>
  <c r="G34" i="17"/>
  <c r="G63" i="17" s="1"/>
  <c r="F34" i="17"/>
  <c r="F63" i="17" s="1"/>
  <c r="F64" i="17" s="1"/>
  <c r="E34" i="17"/>
  <c r="E35" i="17" s="1"/>
  <c r="F32" i="17"/>
  <c r="F30" i="17"/>
  <c r="F31" i="17" s="1"/>
  <c r="E30" i="17"/>
  <c r="E60" i="17" s="1"/>
  <c r="E61" i="17" s="1"/>
  <c r="F29" i="17"/>
  <c r="G29" i="17" s="1"/>
  <c r="F26" i="17"/>
  <c r="F55" i="17" s="1"/>
  <c r="E26" i="17"/>
  <c r="E27" i="17" s="1"/>
  <c r="F23" i="17"/>
  <c r="F24" i="17" s="1"/>
  <c r="E23" i="17"/>
  <c r="E24" i="17" s="1"/>
  <c r="H21" i="17"/>
  <c r="I21" i="17" s="1"/>
  <c r="F21" i="17"/>
  <c r="G20" i="17"/>
  <c r="F20" i="17"/>
  <c r="E20" i="17"/>
  <c r="E43" i="17" s="1"/>
  <c r="F19" i="17"/>
  <c r="G19" i="17" s="1"/>
  <c r="H19" i="17" s="1"/>
  <c r="I19" i="17" s="1"/>
  <c r="J19" i="17" s="1"/>
  <c r="K19" i="17" s="1"/>
  <c r="P15" i="17"/>
  <c r="H15" i="17"/>
  <c r="C1241" i="8"/>
  <c r="C1240" i="8"/>
  <c r="C1239" i="8"/>
  <c r="C1238" i="8"/>
  <c r="C1237" i="8"/>
  <c r="C1236" i="8"/>
  <c r="J1234" i="8"/>
  <c r="F1234" i="8"/>
  <c r="I1234" i="8" s="1"/>
  <c r="J1233" i="8"/>
  <c r="F1233" i="8"/>
  <c r="I1233" i="8" s="1"/>
  <c r="J1232" i="8"/>
  <c r="F1232" i="8"/>
  <c r="I1232" i="8" s="1"/>
  <c r="J1231" i="8"/>
  <c r="F1231" i="8"/>
  <c r="I1231" i="8" s="1"/>
  <c r="J1230" i="8"/>
  <c r="F1230" i="8"/>
  <c r="I1230" i="8" s="1"/>
  <c r="J1229" i="8"/>
  <c r="I1229" i="8"/>
  <c r="F1229" i="8"/>
  <c r="J1228" i="8"/>
  <c r="I1228" i="8"/>
  <c r="F1228" i="8"/>
  <c r="J1227" i="8"/>
  <c r="F1227" i="8"/>
  <c r="J1226" i="8"/>
  <c r="F1226" i="8"/>
  <c r="J1225" i="8"/>
  <c r="F1225" i="8"/>
  <c r="I1225" i="8" s="1"/>
  <c r="J1224" i="8"/>
  <c r="F1224" i="8"/>
  <c r="I1224" i="8" s="1"/>
  <c r="J1223" i="8"/>
  <c r="F1223" i="8"/>
  <c r="I1223" i="8" s="1"/>
  <c r="J1222" i="8"/>
  <c r="F1222" i="8"/>
  <c r="J1221" i="8"/>
  <c r="I1221" i="8"/>
  <c r="F1221" i="8"/>
  <c r="J1220" i="8"/>
  <c r="F1220" i="8"/>
  <c r="J1219" i="8"/>
  <c r="F1219" i="8"/>
  <c r="J1218" i="8"/>
  <c r="F1218" i="8"/>
  <c r="I1218" i="8" s="1"/>
  <c r="J1217" i="8"/>
  <c r="F1217" i="8"/>
  <c r="I1217" i="8" s="1"/>
  <c r="J1216" i="8"/>
  <c r="I1216" i="8"/>
  <c r="F1216" i="8"/>
  <c r="J1215" i="8"/>
  <c r="F1215" i="8"/>
  <c r="I1215" i="8" s="1"/>
  <c r="J1214" i="8"/>
  <c r="F1214" i="8"/>
  <c r="J1213" i="8"/>
  <c r="F1213" i="8"/>
  <c r="I1213" i="8" s="1"/>
  <c r="J1212" i="8"/>
  <c r="F1212" i="8"/>
  <c r="J1211" i="8"/>
  <c r="F1211" i="8"/>
  <c r="J1210" i="8"/>
  <c r="F1210" i="8"/>
  <c r="I1210" i="8" s="1"/>
  <c r="J1209" i="8"/>
  <c r="F1209" i="8"/>
  <c r="I1209" i="8" s="1"/>
  <c r="J1208" i="8"/>
  <c r="I1208" i="8"/>
  <c r="F1208" i="8"/>
  <c r="J1207" i="8"/>
  <c r="F1207" i="8"/>
  <c r="I1207" i="8" s="1"/>
  <c r="J1206" i="8"/>
  <c r="I1206" i="8"/>
  <c r="F1206" i="8"/>
  <c r="J1205" i="8"/>
  <c r="F1205" i="8"/>
  <c r="I1205" i="8" s="1"/>
  <c r="J1204" i="8"/>
  <c r="F1204" i="8"/>
  <c r="J1203" i="8"/>
  <c r="F1203" i="8"/>
  <c r="J1202" i="8"/>
  <c r="F1202" i="8"/>
  <c r="I1202" i="8" s="1"/>
  <c r="J1201" i="8"/>
  <c r="F1201" i="8"/>
  <c r="I1201" i="8" s="1"/>
  <c r="J1200" i="8"/>
  <c r="I1200" i="8"/>
  <c r="F1200" i="8"/>
  <c r="J1199" i="8"/>
  <c r="F1199" i="8"/>
  <c r="I1199" i="8" s="1"/>
  <c r="J1198" i="8"/>
  <c r="F1198" i="8"/>
  <c r="J1197" i="8"/>
  <c r="F1197" i="8"/>
  <c r="I1197" i="8" s="1"/>
  <c r="J1196" i="8"/>
  <c r="F1196" i="8"/>
  <c r="J1195" i="8"/>
  <c r="F1195" i="8"/>
  <c r="J1194" i="8"/>
  <c r="F1194" i="8"/>
  <c r="I1194" i="8" s="1"/>
  <c r="J1193" i="8"/>
  <c r="F1193" i="8"/>
  <c r="I1193" i="8" s="1"/>
  <c r="J1192" i="8"/>
  <c r="I1192" i="8"/>
  <c r="F1192" i="8"/>
  <c r="J1191" i="8"/>
  <c r="F1191" i="8"/>
  <c r="I1191" i="8" s="1"/>
  <c r="J1190" i="8"/>
  <c r="I1190" i="8"/>
  <c r="F1190" i="8"/>
  <c r="J1189" i="8"/>
  <c r="F1189" i="8"/>
  <c r="I1189" i="8" s="1"/>
  <c r="J1188" i="8"/>
  <c r="F1188" i="8"/>
  <c r="J1187" i="8"/>
  <c r="F1187" i="8"/>
  <c r="J1186" i="8"/>
  <c r="F1186" i="8"/>
  <c r="I1186" i="8" s="1"/>
  <c r="J1185" i="8"/>
  <c r="F1185" i="8"/>
  <c r="I1185" i="8" s="1"/>
  <c r="J1184" i="8"/>
  <c r="I1184" i="8"/>
  <c r="F1184" i="8"/>
  <c r="J1183" i="8"/>
  <c r="F1183" i="8"/>
  <c r="I1183" i="8" s="1"/>
  <c r="J1182" i="8"/>
  <c r="F1182" i="8"/>
  <c r="J1181" i="8"/>
  <c r="F1181" i="8"/>
  <c r="I1181" i="8" s="1"/>
  <c r="J1180" i="8"/>
  <c r="F1180" i="8"/>
  <c r="J1179" i="8"/>
  <c r="F1179" i="8"/>
  <c r="J1178" i="8"/>
  <c r="I1178" i="8"/>
  <c r="F1178" i="8"/>
  <c r="J1177" i="8"/>
  <c r="F1177" i="8"/>
  <c r="I1177" i="8" s="1"/>
  <c r="J1176" i="8"/>
  <c r="I1176" i="8"/>
  <c r="F1176" i="8"/>
  <c r="J1175" i="8"/>
  <c r="F1175" i="8"/>
  <c r="I1175" i="8" s="1"/>
  <c r="J1174" i="8"/>
  <c r="I1174" i="8"/>
  <c r="F1174" i="8"/>
  <c r="J1173" i="8"/>
  <c r="F1173" i="8"/>
  <c r="I1173" i="8" s="1"/>
  <c r="J1172" i="8"/>
  <c r="F1172" i="8"/>
  <c r="J1171" i="8"/>
  <c r="F1171" i="8"/>
  <c r="J1170" i="8"/>
  <c r="I1170" i="8"/>
  <c r="F1170" i="8"/>
  <c r="J1169" i="8"/>
  <c r="F1169" i="8"/>
  <c r="I1169" i="8" s="1"/>
  <c r="J1168" i="8"/>
  <c r="I1168" i="8"/>
  <c r="F1168" i="8"/>
  <c r="J1167" i="8"/>
  <c r="F1167" i="8"/>
  <c r="I1167" i="8" s="1"/>
  <c r="J1166" i="8"/>
  <c r="I1166" i="8"/>
  <c r="F1166" i="8"/>
  <c r="J1165" i="8"/>
  <c r="F1165" i="8"/>
  <c r="I1165" i="8" s="1"/>
  <c r="J1164" i="8"/>
  <c r="F1164" i="8"/>
  <c r="J1163" i="8"/>
  <c r="F1163" i="8"/>
  <c r="J1162" i="8"/>
  <c r="I1162" i="8"/>
  <c r="F1162" i="8"/>
  <c r="J1161" i="8"/>
  <c r="F1161" i="8"/>
  <c r="I1161" i="8" s="1"/>
  <c r="J1160" i="8"/>
  <c r="I1160" i="8"/>
  <c r="F1160" i="8"/>
  <c r="J1159" i="8"/>
  <c r="F1159" i="8"/>
  <c r="I1159" i="8" s="1"/>
  <c r="J1158" i="8"/>
  <c r="I1158" i="8"/>
  <c r="F1158" i="8"/>
  <c r="J1157" i="8"/>
  <c r="F1157" i="8"/>
  <c r="I1157" i="8" s="1"/>
  <c r="J1156" i="8"/>
  <c r="F1156" i="8"/>
  <c r="J1155" i="8"/>
  <c r="F1155" i="8"/>
  <c r="J1154" i="8"/>
  <c r="I1154" i="8"/>
  <c r="F1154" i="8"/>
  <c r="J1153" i="8"/>
  <c r="F1153" i="8"/>
  <c r="I1153" i="8" s="1"/>
  <c r="J1152" i="8"/>
  <c r="I1152" i="8"/>
  <c r="F1152" i="8"/>
  <c r="J1151" i="8"/>
  <c r="F1151" i="8"/>
  <c r="I1151" i="8" s="1"/>
  <c r="J1150" i="8"/>
  <c r="F1150" i="8"/>
  <c r="J1149" i="8"/>
  <c r="F1149" i="8"/>
  <c r="I1149" i="8" s="1"/>
  <c r="J1148" i="8"/>
  <c r="F1148" i="8"/>
  <c r="J1147" i="8"/>
  <c r="F1147" i="8"/>
  <c r="J1146" i="8"/>
  <c r="I1146" i="8"/>
  <c r="F1146" i="8"/>
  <c r="J1145" i="8"/>
  <c r="F1145" i="8"/>
  <c r="I1145" i="8" s="1"/>
  <c r="J1144" i="8"/>
  <c r="I1144" i="8"/>
  <c r="F1144" i="8"/>
  <c r="J1143" i="8"/>
  <c r="F1143" i="8"/>
  <c r="I1143" i="8" s="1"/>
  <c r="J1142" i="8"/>
  <c r="F1142" i="8"/>
  <c r="J1141" i="8"/>
  <c r="F1141" i="8"/>
  <c r="J1140" i="8"/>
  <c r="F1140" i="8"/>
  <c r="J1139" i="8"/>
  <c r="F1139" i="8"/>
  <c r="J1138" i="8"/>
  <c r="I1138" i="8"/>
  <c r="F1138" i="8"/>
  <c r="J1137" i="8"/>
  <c r="F1137" i="8"/>
  <c r="I1137" i="8" s="1"/>
  <c r="J1136" i="8"/>
  <c r="I1136" i="8"/>
  <c r="F1136" i="8"/>
  <c r="C1136" i="8"/>
  <c r="J1135" i="8"/>
  <c r="I1135" i="8"/>
  <c r="F1135" i="8"/>
  <c r="C1135" i="8"/>
  <c r="J1134" i="8"/>
  <c r="I1134" i="8"/>
  <c r="F1134" i="8"/>
  <c r="C1134" i="8"/>
  <c r="J1133" i="8"/>
  <c r="I1133" i="8"/>
  <c r="F1133" i="8"/>
  <c r="C1133" i="8"/>
  <c r="J1132" i="8"/>
  <c r="I1132" i="8"/>
  <c r="F1132" i="8"/>
  <c r="C1132" i="8"/>
  <c r="J1131" i="8"/>
  <c r="I1131" i="8"/>
  <c r="F1131" i="8"/>
  <c r="C1131" i="8"/>
  <c r="J1130" i="8"/>
  <c r="I1130" i="8"/>
  <c r="F1130" i="8"/>
  <c r="C1130" i="8"/>
  <c r="J1129" i="8"/>
  <c r="I1129" i="8"/>
  <c r="F1129" i="8"/>
  <c r="C1129" i="8"/>
  <c r="J1128" i="8"/>
  <c r="I1128" i="8"/>
  <c r="F1128" i="8"/>
  <c r="C1128" i="8"/>
  <c r="J1127" i="8"/>
  <c r="I1127" i="8"/>
  <c r="F1127" i="8"/>
  <c r="C1127" i="8"/>
  <c r="J1126" i="8"/>
  <c r="I1126" i="8"/>
  <c r="F1126" i="8"/>
  <c r="C1126" i="8"/>
  <c r="J1125" i="8"/>
  <c r="I1125" i="8"/>
  <c r="F1125" i="8"/>
  <c r="C1125" i="8"/>
  <c r="J1124" i="8"/>
  <c r="I1124" i="8"/>
  <c r="F1124" i="8"/>
  <c r="C1124" i="8"/>
  <c r="J1123" i="8"/>
  <c r="I1123" i="8"/>
  <c r="F1123" i="8"/>
  <c r="C1123" i="8"/>
  <c r="J1122" i="8"/>
  <c r="F1122" i="8"/>
  <c r="I1122" i="8" s="1"/>
  <c r="C1122" i="8"/>
  <c r="J1121" i="8"/>
  <c r="I1121" i="8"/>
  <c r="F1121" i="8"/>
  <c r="C1121" i="8"/>
  <c r="J1120" i="8"/>
  <c r="I1120" i="8"/>
  <c r="F1120" i="8"/>
  <c r="C1120" i="8"/>
  <c r="J1119" i="8"/>
  <c r="I1119" i="8"/>
  <c r="F1119" i="8"/>
  <c r="C1119" i="8"/>
  <c r="J1118" i="8"/>
  <c r="F1118" i="8"/>
  <c r="I1118" i="8" s="1"/>
  <c r="C1118" i="8"/>
  <c r="J1117" i="8"/>
  <c r="I1117" i="8"/>
  <c r="F1117" i="8"/>
  <c r="C1117" i="8"/>
  <c r="J1116" i="8"/>
  <c r="I1116" i="8"/>
  <c r="F1116" i="8"/>
  <c r="C1116" i="8"/>
  <c r="J1115" i="8"/>
  <c r="I1115" i="8"/>
  <c r="F1115" i="8"/>
  <c r="C1115" i="8"/>
  <c r="J1114" i="8"/>
  <c r="F1114" i="8"/>
  <c r="I1114" i="8" s="1"/>
  <c r="C1114" i="8"/>
  <c r="J1113" i="8"/>
  <c r="I1113" i="8"/>
  <c r="F1113" i="8"/>
  <c r="C1113" i="8"/>
  <c r="J1112" i="8"/>
  <c r="I1112" i="8"/>
  <c r="F1112" i="8"/>
  <c r="C1112" i="8"/>
  <c r="J1111" i="8"/>
  <c r="I1111" i="8"/>
  <c r="F1111" i="8"/>
  <c r="C1111" i="8"/>
  <c r="J1110" i="8"/>
  <c r="F1110" i="8"/>
  <c r="I1110" i="8" s="1"/>
  <c r="C1110" i="8"/>
  <c r="J1109" i="8"/>
  <c r="I1109" i="8"/>
  <c r="F1109" i="8"/>
  <c r="C1109" i="8"/>
  <c r="J1108" i="8"/>
  <c r="I1108" i="8"/>
  <c r="F1108" i="8"/>
  <c r="C1108" i="8"/>
  <c r="J1107" i="8"/>
  <c r="F1107" i="8"/>
  <c r="I1107" i="8" s="1"/>
  <c r="C1107" i="8"/>
  <c r="J1106" i="8"/>
  <c r="F1106" i="8"/>
  <c r="I1106" i="8" s="1"/>
  <c r="C1106" i="8"/>
  <c r="J1105" i="8"/>
  <c r="I1105" i="8"/>
  <c r="F1105" i="8"/>
  <c r="C1105" i="8"/>
  <c r="J1104" i="8"/>
  <c r="I1104" i="8"/>
  <c r="F1104" i="8"/>
  <c r="C1104" i="8"/>
  <c r="J1103" i="8"/>
  <c r="F1103" i="8"/>
  <c r="I1103" i="8" s="1"/>
  <c r="C1103" i="8"/>
  <c r="J1102" i="8"/>
  <c r="F1102" i="8"/>
  <c r="I1102" i="8" s="1"/>
  <c r="C1102" i="8"/>
  <c r="J1101" i="8"/>
  <c r="I1101" i="8"/>
  <c r="F1101" i="8"/>
  <c r="C1101" i="8"/>
  <c r="J1100" i="8"/>
  <c r="I1100" i="8"/>
  <c r="F1100" i="8"/>
  <c r="C1100" i="8"/>
  <c r="J1099" i="8"/>
  <c r="F1099" i="8"/>
  <c r="I1099" i="8" s="1"/>
  <c r="C1099" i="8"/>
  <c r="J1098" i="8"/>
  <c r="F1098" i="8"/>
  <c r="I1098" i="8" s="1"/>
  <c r="C1098" i="8"/>
  <c r="J1097" i="8"/>
  <c r="I1097" i="8"/>
  <c r="F1097" i="8"/>
  <c r="C1097" i="8"/>
  <c r="J1096" i="8"/>
  <c r="I1096" i="8"/>
  <c r="F1096" i="8"/>
  <c r="C1096" i="8"/>
  <c r="J1095" i="8"/>
  <c r="F1095" i="8"/>
  <c r="I1095" i="8" s="1"/>
  <c r="C1095" i="8"/>
  <c r="J1094" i="8"/>
  <c r="F1094" i="8"/>
  <c r="I1094" i="8" s="1"/>
  <c r="C1094" i="8"/>
  <c r="J1093" i="8"/>
  <c r="I1093" i="8"/>
  <c r="F1093" i="8"/>
  <c r="C1093" i="8"/>
  <c r="J1092" i="8"/>
  <c r="F1092" i="8"/>
  <c r="C1092" i="8"/>
  <c r="J1091" i="8"/>
  <c r="F1091" i="8"/>
  <c r="I1091" i="8" s="1"/>
  <c r="C1091" i="8"/>
  <c r="J1090" i="8"/>
  <c r="F1090" i="8"/>
  <c r="I1090" i="8" s="1"/>
  <c r="C1090" i="8"/>
  <c r="J1089" i="8"/>
  <c r="I1089" i="8"/>
  <c r="F1089" i="8"/>
  <c r="C1089" i="8"/>
  <c r="J1088" i="8"/>
  <c r="F1088" i="8"/>
  <c r="C1088" i="8"/>
  <c r="J1087" i="8"/>
  <c r="F1087" i="8"/>
  <c r="I1087" i="8" s="1"/>
  <c r="C1087" i="8"/>
  <c r="J1086" i="8"/>
  <c r="F1086" i="8"/>
  <c r="I1086" i="8" s="1"/>
  <c r="C1086" i="8"/>
  <c r="J1085" i="8"/>
  <c r="I1085" i="8"/>
  <c r="F1085" i="8"/>
  <c r="C1085" i="8"/>
  <c r="J1084" i="8"/>
  <c r="F1084" i="8"/>
  <c r="I1084" i="8" s="1"/>
  <c r="C1084" i="8"/>
  <c r="J1083" i="8"/>
  <c r="F1083" i="8"/>
  <c r="I1083" i="8" s="1"/>
  <c r="C1083" i="8"/>
  <c r="J1082" i="8"/>
  <c r="F1082" i="8"/>
  <c r="I1082" i="8" s="1"/>
  <c r="C1082" i="8"/>
  <c r="J1081" i="8"/>
  <c r="F1081" i="8"/>
  <c r="I1081" i="8" s="1"/>
  <c r="C1081" i="8"/>
  <c r="J1080" i="8"/>
  <c r="I1080" i="8"/>
  <c r="F1080" i="8"/>
  <c r="C1080" i="8"/>
  <c r="J1079" i="8"/>
  <c r="F1079" i="8"/>
  <c r="I1079" i="8" s="1"/>
  <c r="C1079" i="8"/>
  <c r="J1078" i="8"/>
  <c r="F1078" i="8"/>
  <c r="C1078" i="8"/>
  <c r="J1077" i="8"/>
  <c r="F1077" i="8"/>
  <c r="I1077" i="8" s="1"/>
  <c r="C1077" i="8"/>
  <c r="J1076" i="8"/>
  <c r="F1076" i="8"/>
  <c r="I1076" i="8" s="1"/>
  <c r="C1076" i="8"/>
  <c r="J1075" i="8"/>
  <c r="F1075" i="8"/>
  <c r="I1075" i="8" s="1"/>
  <c r="C1075" i="8"/>
  <c r="J1074" i="8"/>
  <c r="F1074" i="8"/>
  <c r="I1074" i="8" s="1"/>
  <c r="C1074" i="8"/>
  <c r="J1073" i="8"/>
  <c r="F1073" i="8"/>
  <c r="I1073" i="8" s="1"/>
  <c r="C1073" i="8"/>
  <c r="J1072" i="8"/>
  <c r="I1072" i="8"/>
  <c r="F1072" i="8"/>
  <c r="C1072" i="8"/>
  <c r="J1071" i="8"/>
  <c r="F1071" i="8"/>
  <c r="I1071" i="8" s="1"/>
  <c r="C1071" i="8"/>
  <c r="J1070" i="8"/>
  <c r="F1070" i="8"/>
  <c r="C1070" i="8"/>
  <c r="J1069" i="8"/>
  <c r="F1069" i="8"/>
  <c r="I1069" i="8" s="1"/>
  <c r="C1069" i="8"/>
  <c r="J1068" i="8"/>
  <c r="F1068" i="8"/>
  <c r="I1068" i="8" s="1"/>
  <c r="C1068" i="8"/>
  <c r="J1067" i="8"/>
  <c r="F1067" i="8"/>
  <c r="I1067" i="8" s="1"/>
  <c r="C1067" i="8"/>
  <c r="J1066" i="8"/>
  <c r="F1066" i="8"/>
  <c r="I1066" i="8" s="1"/>
  <c r="C1066" i="8"/>
  <c r="J1065" i="8"/>
  <c r="F1065" i="8"/>
  <c r="I1065" i="8" s="1"/>
  <c r="C1065" i="8"/>
  <c r="J1064" i="8"/>
  <c r="I1064" i="8"/>
  <c r="F1064" i="8"/>
  <c r="C1064" i="8"/>
  <c r="J1063" i="8"/>
  <c r="F1063" i="8"/>
  <c r="I1063" i="8" s="1"/>
  <c r="C1063" i="8"/>
  <c r="J1062" i="8"/>
  <c r="F1062" i="8"/>
  <c r="C1062" i="8"/>
  <c r="J1061" i="8"/>
  <c r="F1061" i="8"/>
  <c r="I1061" i="8" s="1"/>
  <c r="C1061" i="8"/>
  <c r="J1060" i="8"/>
  <c r="F1060" i="8"/>
  <c r="I1060" i="8" s="1"/>
  <c r="C1060" i="8"/>
  <c r="J1059" i="8"/>
  <c r="F1059" i="8"/>
  <c r="I1059" i="8" s="1"/>
  <c r="C1059" i="8"/>
  <c r="J1058" i="8"/>
  <c r="F1058" i="8"/>
  <c r="I1058" i="8" s="1"/>
  <c r="C1058" i="8"/>
  <c r="J1057" i="8"/>
  <c r="F1057" i="8"/>
  <c r="I1057" i="8" s="1"/>
  <c r="C1057" i="8"/>
  <c r="J1056" i="8"/>
  <c r="I1056" i="8"/>
  <c r="F1056" i="8"/>
  <c r="C1056" i="8"/>
  <c r="J1055" i="8"/>
  <c r="F1055" i="8"/>
  <c r="I1055" i="8" s="1"/>
  <c r="C1055" i="8"/>
  <c r="J1054" i="8"/>
  <c r="F1054" i="8"/>
  <c r="C1054" i="8"/>
  <c r="J1053" i="8"/>
  <c r="F1053" i="8"/>
  <c r="I1053" i="8" s="1"/>
  <c r="C1053" i="8"/>
  <c r="J1052" i="8"/>
  <c r="F1052" i="8"/>
  <c r="I1052" i="8" s="1"/>
  <c r="C1052" i="8"/>
  <c r="J1051" i="8"/>
  <c r="F1051" i="8"/>
  <c r="I1051" i="8" s="1"/>
  <c r="C1051" i="8"/>
  <c r="J1050" i="8"/>
  <c r="F1050" i="8"/>
  <c r="I1050" i="8" s="1"/>
  <c r="C1050" i="8"/>
  <c r="J1049" i="8"/>
  <c r="F1049" i="8"/>
  <c r="I1049" i="8" s="1"/>
  <c r="C1049" i="8"/>
  <c r="J1048" i="8"/>
  <c r="I1048" i="8"/>
  <c r="F1048" i="8"/>
  <c r="C1048" i="8"/>
  <c r="J1047" i="8"/>
  <c r="F1047" i="8"/>
  <c r="I1047" i="8" s="1"/>
  <c r="C1047" i="8"/>
  <c r="J1046" i="8"/>
  <c r="F1046" i="8"/>
  <c r="C1046" i="8"/>
  <c r="J1045" i="8"/>
  <c r="F1045" i="8"/>
  <c r="I1045" i="8" s="1"/>
  <c r="C1045" i="8"/>
  <c r="J1044" i="8"/>
  <c r="F1044" i="8"/>
  <c r="I1044" i="8" s="1"/>
  <c r="C1044" i="8"/>
  <c r="J1043" i="8"/>
  <c r="F1043" i="8"/>
  <c r="I1043" i="8" s="1"/>
  <c r="C1043" i="8"/>
  <c r="J1042" i="8"/>
  <c r="F1042" i="8"/>
  <c r="I1042" i="8" s="1"/>
  <c r="C1042" i="8"/>
  <c r="J1041" i="8"/>
  <c r="F1041" i="8"/>
  <c r="I1041" i="8" s="1"/>
  <c r="C1041" i="8"/>
  <c r="J1040" i="8"/>
  <c r="I1040" i="8"/>
  <c r="F1040" i="8"/>
  <c r="C1040" i="8"/>
  <c r="J1039" i="8"/>
  <c r="F1039" i="8"/>
  <c r="I1039" i="8" s="1"/>
  <c r="C1039" i="8"/>
  <c r="J1038" i="8"/>
  <c r="F1038" i="8"/>
  <c r="C1038" i="8"/>
  <c r="J1037" i="8"/>
  <c r="F1037" i="8"/>
  <c r="I1037" i="8" s="1"/>
  <c r="C1037" i="8"/>
  <c r="J1036" i="8"/>
  <c r="F1036" i="8"/>
  <c r="I1036" i="8" s="1"/>
  <c r="C1036" i="8"/>
  <c r="J1035" i="8"/>
  <c r="F1035" i="8"/>
  <c r="I1035" i="8" s="1"/>
  <c r="C1035" i="8"/>
  <c r="J1034" i="8"/>
  <c r="F1034" i="8"/>
  <c r="I1034" i="8" s="1"/>
  <c r="C1034" i="8"/>
  <c r="J1033" i="8"/>
  <c r="F1033" i="8"/>
  <c r="I1033" i="8" s="1"/>
  <c r="C1033" i="8"/>
  <c r="J1032" i="8"/>
  <c r="I1032" i="8"/>
  <c r="F1032" i="8"/>
  <c r="C1032" i="8"/>
  <c r="J1031" i="8"/>
  <c r="F1031" i="8"/>
  <c r="I1031" i="8" s="1"/>
  <c r="C1031" i="8"/>
  <c r="J1030" i="8"/>
  <c r="F1030" i="8"/>
  <c r="C1030" i="8"/>
  <c r="J1029" i="8"/>
  <c r="F1029" i="8"/>
  <c r="I1029" i="8" s="1"/>
  <c r="C1029" i="8"/>
  <c r="J1028" i="8"/>
  <c r="F1028" i="8"/>
  <c r="I1028" i="8" s="1"/>
  <c r="C1028" i="8"/>
  <c r="J1027" i="8"/>
  <c r="F1027" i="8"/>
  <c r="I1027" i="8" s="1"/>
  <c r="C1027" i="8"/>
  <c r="J1026" i="8"/>
  <c r="F1026" i="8"/>
  <c r="I1026" i="8" s="1"/>
  <c r="C1026" i="8"/>
  <c r="J1025" i="8"/>
  <c r="F1025" i="8"/>
  <c r="C1025" i="8"/>
  <c r="J1024" i="8"/>
  <c r="F1024" i="8"/>
  <c r="C1024" i="8"/>
  <c r="J1023" i="8"/>
  <c r="F1023" i="8"/>
  <c r="I1023" i="8" s="1"/>
  <c r="C1023" i="8"/>
  <c r="J1022" i="8"/>
  <c r="F1022" i="8"/>
  <c r="C1022" i="8"/>
  <c r="J1021" i="8"/>
  <c r="F1021" i="8"/>
  <c r="I1021" i="8" s="1"/>
  <c r="C1021" i="8"/>
  <c r="J1020" i="8"/>
  <c r="F1020" i="8"/>
  <c r="I1020" i="8" s="1"/>
  <c r="C1020" i="8"/>
  <c r="J1019" i="8"/>
  <c r="F1019" i="8"/>
  <c r="I1019" i="8" s="1"/>
  <c r="C1019" i="8"/>
  <c r="J1018" i="8"/>
  <c r="F1018" i="8"/>
  <c r="I1018" i="8" s="1"/>
  <c r="C1018" i="8"/>
  <c r="J1017" i="8"/>
  <c r="F1017" i="8"/>
  <c r="I1017" i="8" s="1"/>
  <c r="C1017" i="8"/>
  <c r="J1016" i="8"/>
  <c r="F1016" i="8"/>
  <c r="I1016" i="8" s="1"/>
  <c r="C1016" i="8"/>
  <c r="J1015" i="8"/>
  <c r="I1015" i="8"/>
  <c r="F1015" i="8"/>
  <c r="C1015" i="8"/>
  <c r="J1014" i="8"/>
  <c r="F1014" i="8"/>
  <c r="C1014" i="8"/>
  <c r="J1013" i="8"/>
  <c r="I1013" i="8"/>
  <c r="F1013" i="8"/>
  <c r="C1013" i="8"/>
  <c r="J1012" i="8"/>
  <c r="I1012" i="8"/>
  <c r="F1012" i="8"/>
  <c r="C1012" i="8"/>
  <c r="J1011" i="8"/>
  <c r="F1011" i="8"/>
  <c r="I1011" i="8" s="1"/>
  <c r="C1011" i="8"/>
  <c r="J1010" i="8"/>
  <c r="F1010" i="8"/>
  <c r="I1010" i="8" s="1"/>
  <c r="C1010" i="8"/>
  <c r="J1009" i="8"/>
  <c r="F1009" i="8"/>
  <c r="C1009" i="8"/>
  <c r="J1008" i="8"/>
  <c r="F1008" i="8"/>
  <c r="C1008" i="8"/>
  <c r="J1007" i="8"/>
  <c r="F1007" i="8"/>
  <c r="C1007" i="8"/>
  <c r="J1006" i="8"/>
  <c r="F1006" i="8"/>
  <c r="I1007" i="8" s="1"/>
  <c r="C1006" i="8"/>
  <c r="J1005" i="8"/>
  <c r="F1005" i="8"/>
  <c r="C1005" i="8"/>
  <c r="J1004" i="8"/>
  <c r="F1004" i="8"/>
  <c r="C1004" i="8"/>
  <c r="J1003" i="8"/>
  <c r="F1003" i="8"/>
  <c r="C1003" i="8"/>
  <c r="J1002" i="8"/>
  <c r="F1002" i="8"/>
  <c r="I1003" i="8" s="1"/>
  <c r="C1002" i="8"/>
  <c r="J1001" i="8"/>
  <c r="F1001" i="8"/>
  <c r="C1001" i="8"/>
  <c r="J1000" i="8"/>
  <c r="F1000" i="8"/>
  <c r="C1000" i="8"/>
  <c r="J999" i="8"/>
  <c r="F999" i="8"/>
  <c r="C999" i="8"/>
  <c r="J998" i="8"/>
  <c r="F998" i="8"/>
  <c r="I999" i="8" s="1"/>
  <c r="C998" i="8"/>
  <c r="J997" i="8"/>
  <c r="F997" i="8"/>
  <c r="C997" i="8"/>
  <c r="J996" i="8"/>
  <c r="F996" i="8"/>
  <c r="C996" i="8"/>
  <c r="J995" i="8"/>
  <c r="F995" i="8"/>
  <c r="C995" i="8"/>
  <c r="J994" i="8"/>
  <c r="F994" i="8"/>
  <c r="I995" i="8" s="1"/>
  <c r="C994" i="8"/>
  <c r="J993" i="8"/>
  <c r="F993" i="8"/>
  <c r="C993" i="8"/>
  <c r="J992" i="8"/>
  <c r="F992" i="8"/>
  <c r="C992" i="8"/>
  <c r="J991" i="8"/>
  <c r="F991" i="8"/>
  <c r="C991" i="8"/>
  <c r="J990" i="8"/>
  <c r="F990" i="8"/>
  <c r="I991" i="8" s="1"/>
  <c r="C990" i="8"/>
  <c r="J989" i="8"/>
  <c r="F989" i="8"/>
  <c r="C989" i="8"/>
  <c r="J988" i="8"/>
  <c r="F988" i="8"/>
  <c r="C988" i="8"/>
  <c r="J987" i="8"/>
  <c r="F987" i="8"/>
  <c r="C987" i="8"/>
  <c r="J986" i="8"/>
  <c r="F986" i="8"/>
  <c r="I987" i="8" s="1"/>
  <c r="C986" i="8"/>
  <c r="J985" i="8"/>
  <c r="F985" i="8"/>
  <c r="C985" i="8"/>
  <c r="J984" i="8"/>
  <c r="F984" i="8"/>
  <c r="C984" i="8"/>
  <c r="J983" i="8"/>
  <c r="F983" i="8"/>
  <c r="C983" i="8"/>
  <c r="J982" i="8"/>
  <c r="F982" i="8"/>
  <c r="I982" i="8" s="1"/>
  <c r="C982" i="8"/>
  <c r="J981" i="8"/>
  <c r="F981" i="8"/>
  <c r="C981" i="8"/>
  <c r="J980" i="8"/>
  <c r="F980" i="8"/>
  <c r="C980" i="8"/>
  <c r="J979" i="8"/>
  <c r="F979" i="8"/>
  <c r="C979" i="8"/>
  <c r="J978" i="8"/>
  <c r="F978" i="8"/>
  <c r="I978" i="8" s="1"/>
  <c r="C978" i="8"/>
  <c r="J977" i="8"/>
  <c r="F977" i="8"/>
  <c r="C977" i="8"/>
  <c r="J976" i="8"/>
  <c r="F976" i="8"/>
  <c r="C976" i="8"/>
  <c r="J975" i="8"/>
  <c r="F975" i="8"/>
  <c r="C975" i="8"/>
  <c r="J974" i="8"/>
  <c r="F974" i="8"/>
  <c r="I974" i="8" s="1"/>
  <c r="C974" i="8"/>
  <c r="J973" i="8"/>
  <c r="F973" i="8"/>
  <c r="C973" i="8"/>
  <c r="J972" i="8"/>
  <c r="F972" i="8"/>
  <c r="C972" i="8"/>
  <c r="J971" i="8"/>
  <c r="F971" i="8"/>
  <c r="C971" i="8"/>
  <c r="J970" i="8"/>
  <c r="F970" i="8"/>
  <c r="I970" i="8" s="1"/>
  <c r="C970" i="8"/>
  <c r="J969" i="8"/>
  <c r="F969" i="8"/>
  <c r="C969" i="8"/>
  <c r="J968" i="8"/>
  <c r="F968" i="8"/>
  <c r="C968" i="8"/>
  <c r="J967" i="8"/>
  <c r="F967" i="8"/>
  <c r="C967" i="8"/>
  <c r="J966" i="8"/>
  <c r="F966" i="8"/>
  <c r="I966" i="8" s="1"/>
  <c r="C966" i="8"/>
  <c r="J965" i="8"/>
  <c r="F965" i="8"/>
  <c r="C965" i="8"/>
  <c r="J964" i="8"/>
  <c r="F964" i="8"/>
  <c r="C964" i="8"/>
  <c r="J963" i="8"/>
  <c r="F963" i="8"/>
  <c r="C963" i="8"/>
  <c r="J962" i="8"/>
  <c r="F962" i="8"/>
  <c r="I962" i="8" s="1"/>
  <c r="C962" i="8"/>
  <c r="J961" i="8"/>
  <c r="F961" i="8"/>
  <c r="C961" i="8"/>
  <c r="J960" i="8"/>
  <c r="F960" i="8"/>
  <c r="C960" i="8"/>
  <c r="J959" i="8"/>
  <c r="F959" i="8"/>
  <c r="C959" i="8"/>
  <c r="J958" i="8"/>
  <c r="F958" i="8"/>
  <c r="I958" i="8" s="1"/>
  <c r="C958" i="8"/>
  <c r="J957" i="8"/>
  <c r="F957" i="8"/>
  <c r="C957" i="8"/>
  <c r="J956" i="8"/>
  <c r="F956" i="8"/>
  <c r="C956" i="8"/>
  <c r="J955" i="8"/>
  <c r="F955" i="8"/>
  <c r="C955" i="8"/>
  <c r="J954" i="8"/>
  <c r="F954" i="8"/>
  <c r="I954" i="8" s="1"/>
  <c r="C954" i="8"/>
  <c r="J953" i="8"/>
  <c r="F953" i="8"/>
  <c r="C953" i="8"/>
  <c r="J952" i="8"/>
  <c r="F952" i="8"/>
  <c r="C952" i="8"/>
  <c r="J951" i="8"/>
  <c r="F951" i="8"/>
  <c r="C951" i="8"/>
  <c r="J950" i="8"/>
  <c r="F950" i="8"/>
  <c r="I950" i="8" s="1"/>
  <c r="C950" i="8"/>
  <c r="J949" i="8"/>
  <c r="F949" i="8"/>
  <c r="C949" i="8"/>
  <c r="J948" i="8"/>
  <c r="F948" i="8"/>
  <c r="C948" i="8"/>
  <c r="J947" i="8"/>
  <c r="F947" i="8"/>
  <c r="C947" i="8"/>
  <c r="J946" i="8"/>
  <c r="F946" i="8"/>
  <c r="I946" i="8" s="1"/>
  <c r="C946" i="8"/>
  <c r="J945" i="8"/>
  <c r="F945" i="8"/>
  <c r="C945" i="8"/>
  <c r="J944" i="8"/>
  <c r="F944" i="8"/>
  <c r="C944" i="8"/>
  <c r="J943" i="8"/>
  <c r="F943" i="8"/>
  <c r="C943" i="8"/>
  <c r="J942" i="8"/>
  <c r="F942" i="8"/>
  <c r="I942" i="8" s="1"/>
  <c r="C942" i="8"/>
  <c r="J941" i="8"/>
  <c r="F941" i="8"/>
  <c r="C941" i="8"/>
  <c r="J940" i="8"/>
  <c r="F940" i="8"/>
  <c r="C940" i="8"/>
  <c r="J939" i="8"/>
  <c r="F939" i="8"/>
  <c r="C939" i="8"/>
  <c r="J938" i="8"/>
  <c r="F938" i="8"/>
  <c r="I938" i="8" s="1"/>
  <c r="C938" i="8"/>
  <c r="J937" i="8"/>
  <c r="F937" i="8"/>
  <c r="C937" i="8"/>
  <c r="J936" i="8"/>
  <c r="F936" i="8"/>
  <c r="C936" i="8"/>
  <c r="J935" i="8"/>
  <c r="F935" i="8"/>
  <c r="C935" i="8"/>
  <c r="J934" i="8"/>
  <c r="F934" i="8"/>
  <c r="I934" i="8" s="1"/>
  <c r="C934" i="8"/>
  <c r="J933" i="8"/>
  <c r="F933" i="8"/>
  <c r="C933" i="8"/>
  <c r="J932" i="8"/>
  <c r="F932" i="8"/>
  <c r="C932" i="8"/>
  <c r="J931" i="8"/>
  <c r="F931" i="8"/>
  <c r="C931" i="8"/>
  <c r="J930" i="8"/>
  <c r="F930" i="8"/>
  <c r="I930" i="8" s="1"/>
  <c r="C930" i="8"/>
  <c r="J929" i="8"/>
  <c r="F929" i="8"/>
  <c r="C929" i="8"/>
  <c r="J928" i="8"/>
  <c r="F928" i="8"/>
  <c r="C928" i="8"/>
  <c r="J927" i="8"/>
  <c r="F927" i="8"/>
  <c r="C927" i="8"/>
  <c r="J926" i="8"/>
  <c r="F926" i="8"/>
  <c r="I926" i="8" s="1"/>
  <c r="C926" i="8"/>
  <c r="J925" i="8"/>
  <c r="F925" i="8"/>
  <c r="C925" i="8"/>
  <c r="J924" i="8"/>
  <c r="F924" i="8"/>
  <c r="C924" i="8"/>
  <c r="J923" i="8"/>
  <c r="F923" i="8"/>
  <c r="C923" i="8"/>
  <c r="J922" i="8"/>
  <c r="F922" i="8"/>
  <c r="I922" i="8" s="1"/>
  <c r="C922" i="8"/>
  <c r="J921" i="8"/>
  <c r="F921" i="8"/>
  <c r="C921" i="8"/>
  <c r="J920" i="8"/>
  <c r="F920" i="8"/>
  <c r="C920" i="8"/>
  <c r="J919" i="8"/>
  <c r="F919" i="8"/>
  <c r="C919" i="8"/>
  <c r="J918" i="8"/>
  <c r="F918" i="8"/>
  <c r="I918" i="8" s="1"/>
  <c r="C918" i="8"/>
  <c r="J917" i="8"/>
  <c r="F917" i="8"/>
  <c r="C917" i="8"/>
  <c r="J916" i="8"/>
  <c r="F916" i="8"/>
  <c r="C916" i="8"/>
  <c r="J915" i="8"/>
  <c r="F915" i="8"/>
  <c r="C915" i="8"/>
  <c r="J914" i="8"/>
  <c r="F914" i="8"/>
  <c r="I914" i="8" s="1"/>
  <c r="C914" i="8"/>
  <c r="J913" i="8"/>
  <c r="F913" i="8"/>
  <c r="C913" i="8"/>
  <c r="J912" i="8"/>
  <c r="F912" i="8"/>
  <c r="C912" i="8"/>
  <c r="J911" i="8"/>
  <c r="F911" i="8"/>
  <c r="C911" i="8"/>
  <c r="J910" i="8"/>
  <c r="F910" i="8"/>
  <c r="I910" i="8" s="1"/>
  <c r="C910" i="8"/>
  <c r="J909" i="8"/>
  <c r="F909" i="8"/>
  <c r="C909" i="8"/>
  <c r="J908" i="8"/>
  <c r="F908" i="8"/>
  <c r="C908" i="8"/>
  <c r="J907" i="8"/>
  <c r="F907" i="8"/>
  <c r="C907" i="8"/>
  <c r="J906" i="8"/>
  <c r="F906" i="8"/>
  <c r="I906" i="8" s="1"/>
  <c r="C906" i="8"/>
  <c r="J905" i="8"/>
  <c r="F905" i="8"/>
  <c r="C905" i="8"/>
  <c r="J904" i="8"/>
  <c r="F904" i="8"/>
  <c r="I904" i="8" s="1"/>
  <c r="C904" i="8"/>
  <c r="J903" i="8"/>
  <c r="F903" i="8"/>
  <c r="C903" i="8"/>
  <c r="J902" i="8"/>
  <c r="F902" i="8"/>
  <c r="I902" i="8" s="1"/>
  <c r="C902" i="8"/>
  <c r="J901" i="8"/>
  <c r="F901" i="8"/>
  <c r="I901" i="8" s="1"/>
  <c r="C901" i="8"/>
  <c r="J900" i="8"/>
  <c r="F900" i="8"/>
  <c r="C900" i="8"/>
  <c r="J899" i="8"/>
  <c r="F899" i="8"/>
  <c r="I899" i="8" s="1"/>
  <c r="C899" i="8"/>
  <c r="J898" i="8"/>
  <c r="I898" i="8"/>
  <c r="F898" i="8"/>
  <c r="C898" i="8"/>
  <c r="J897" i="8"/>
  <c r="F897" i="8"/>
  <c r="I897" i="8" s="1"/>
  <c r="C897" i="8"/>
  <c r="J896" i="8"/>
  <c r="F896" i="8"/>
  <c r="I896" i="8" s="1"/>
  <c r="C896" i="8"/>
  <c r="J895" i="8"/>
  <c r="F895" i="8"/>
  <c r="C895" i="8"/>
  <c r="J894" i="8"/>
  <c r="F894" i="8"/>
  <c r="C894" i="8"/>
  <c r="J893" i="8"/>
  <c r="F893" i="8"/>
  <c r="I893" i="8" s="1"/>
  <c r="C893" i="8"/>
  <c r="J892" i="8"/>
  <c r="F892" i="8"/>
  <c r="C892" i="8"/>
  <c r="J891" i="8"/>
  <c r="F891" i="8"/>
  <c r="I891" i="8" s="1"/>
  <c r="C891" i="8"/>
  <c r="J890" i="8"/>
  <c r="I890" i="8"/>
  <c r="F890" i="8"/>
  <c r="C890" i="8"/>
  <c r="J889" i="8"/>
  <c r="F889" i="8"/>
  <c r="C889" i="8"/>
  <c r="J888" i="8"/>
  <c r="F888" i="8"/>
  <c r="I888" i="8" s="1"/>
  <c r="C888" i="8"/>
  <c r="J887" i="8"/>
  <c r="F887" i="8"/>
  <c r="C887" i="8"/>
  <c r="J886" i="8"/>
  <c r="F886" i="8"/>
  <c r="I886" i="8" s="1"/>
  <c r="C886" i="8"/>
  <c r="J885" i="8"/>
  <c r="F885" i="8"/>
  <c r="I885" i="8" s="1"/>
  <c r="C885" i="8"/>
  <c r="J884" i="8"/>
  <c r="F884" i="8"/>
  <c r="I884" i="8" s="1"/>
  <c r="C884" i="8"/>
  <c r="J883" i="8"/>
  <c r="F883" i="8"/>
  <c r="I883" i="8" s="1"/>
  <c r="C883" i="8"/>
  <c r="J882" i="8"/>
  <c r="F882" i="8"/>
  <c r="C882" i="8"/>
  <c r="J881" i="8"/>
  <c r="F881" i="8"/>
  <c r="C881" i="8"/>
  <c r="J880" i="8"/>
  <c r="F880" i="8"/>
  <c r="I880" i="8" s="1"/>
  <c r="C880" i="8"/>
  <c r="J879" i="8"/>
  <c r="F879" i="8"/>
  <c r="I879" i="8" s="1"/>
  <c r="C879" i="8"/>
  <c r="J878" i="8"/>
  <c r="F878" i="8"/>
  <c r="I878" i="8" s="1"/>
  <c r="C878" i="8"/>
  <c r="J877" i="8"/>
  <c r="F877" i="8"/>
  <c r="I877" i="8" s="1"/>
  <c r="C877" i="8"/>
  <c r="J876" i="8"/>
  <c r="F876" i="8"/>
  <c r="I876" i="8" s="1"/>
  <c r="C876" i="8"/>
  <c r="J875" i="8"/>
  <c r="F875" i="8"/>
  <c r="I875" i="8" s="1"/>
  <c r="C875" i="8"/>
  <c r="J874" i="8"/>
  <c r="F874" i="8"/>
  <c r="C874" i="8"/>
  <c r="J873" i="8"/>
  <c r="F873" i="8"/>
  <c r="I873" i="8" s="1"/>
  <c r="C873" i="8"/>
  <c r="J872" i="8"/>
  <c r="F872" i="8"/>
  <c r="I872" i="8" s="1"/>
  <c r="C872" i="8"/>
  <c r="J871" i="8"/>
  <c r="F871" i="8"/>
  <c r="I871" i="8" s="1"/>
  <c r="C871" i="8"/>
  <c r="J870" i="8"/>
  <c r="F870" i="8"/>
  <c r="I870" i="8" s="1"/>
  <c r="C870" i="8"/>
  <c r="J869" i="8"/>
  <c r="F869" i="8"/>
  <c r="I869" i="8" s="1"/>
  <c r="C869" i="8"/>
  <c r="J868" i="8"/>
  <c r="F868" i="8"/>
  <c r="I868" i="8" s="1"/>
  <c r="C868" i="8"/>
  <c r="J867" i="8"/>
  <c r="F867" i="8"/>
  <c r="I867" i="8" s="1"/>
  <c r="C867" i="8"/>
  <c r="J866" i="8"/>
  <c r="F866" i="8"/>
  <c r="C866" i="8"/>
  <c r="J865" i="8"/>
  <c r="F865" i="8"/>
  <c r="I865" i="8" s="1"/>
  <c r="C865" i="8"/>
  <c r="J864" i="8"/>
  <c r="F864" i="8"/>
  <c r="I864" i="8" s="1"/>
  <c r="C864" i="8"/>
  <c r="J863" i="8"/>
  <c r="F863" i="8"/>
  <c r="I863" i="8" s="1"/>
  <c r="C863" i="8"/>
  <c r="J862" i="8"/>
  <c r="F862" i="8"/>
  <c r="C862" i="8"/>
  <c r="J861" i="8"/>
  <c r="F861" i="8"/>
  <c r="I861" i="8" s="1"/>
  <c r="C861" i="8"/>
  <c r="J860" i="8"/>
  <c r="F860" i="8"/>
  <c r="I860" i="8" s="1"/>
  <c r="C860" i="8"/>
  <c r="J859" i="8"/>
  <c r="F859" i="8"/>
  <c r="I859" i="8" s="1"/>
  <c r="C859" i="8"/>
  <c r="J858" i="8"/>
  <c r="F858" i="8"/>
  <c r="C858" i="8"/>
  <c r="J857" i="8"/>
  <c r="F857" i="8"/>
  <c r="I857" i="8" s="1"/>
  <c r="C857" i="8"/>
  <c r="J856" i="8"/>
  <c r="F856" i="8"/>
  <c r="I856" i="8" s="1"/>
  <c r="C856" i="8"/>
  <c r="J855" i="8"/>
  <c r="F855" i="8"/>
  <c r="I855" i="8" s="1"/>
  <c r="C855" i="8"/>
  <c r="J854" i="8"/>
  <c r="F854" i="8"/>
  <c r="I854" i="8" s="1"/>
  <c r="C854" i="8"/>
  <c r="J853" i="8"/>
  <c r="F853" i="8"/>
  <c r="I853" i="8" s="1"/>
  <c r="C853" i="8"/>
  <c r="J852" i="8"/>
  <c r="F852" i="8"/>
  <c r="I852" i="8" s="1"/>
  <c r="C852" i="8"/>
  <c r="J851" i="8"/>
  <c r="F851" i="8"/>
  <c r="I851" i="8" s="1"/>
  <c r="C851" i="8"/>
  <c r="J850" i="8"/>
  <c r="F850" i="8"/>
  <c r="C850" i="8"/>
  <c r="J849" i="8"/>
  <c r="F849" i="8"/>
  <c r="C849" i="8"/>
  <c r="J848" i="8"/>
  <c r="F848" i="8"/>
  <c r="I848" i="8" s="1"/>
  <c r="C848" i="8"/>
  <c r="J847" i="8"/>
  <c r="F847" i="8"/>
  <c r="I847" i="8" s="1"/>
  <c r="C847" i="8"/>
  <c r="J846" i="8"/>
  <c r="F846" i="8"/>
  <c r="C846" i="8"/>
  <c r="J845" i="8"/>
  <c r="F845" i="8"/>
  <c r="I845" i="8" s="1"/>
  <c r="C845" i="8"/>
  <c r="J844" i="8"/>
  <c r="F844" i="8"/>
  <c r="I844" i="8" s="1"/>
  <c r="C844" i="8"/>
  <c r="J843" i="8"/>
  <c r="F843" i="8"/>
  <c r="I843" i="8" s="1"/>
  <c r="C843" i="8"/>
  <c r="J842" i="8"/>
  <c r="F842" i="8"/>
  <c r="C842" i="8"/>
  <c r="J841" i="8"/>
  <c r="F841" i="8"/>
  <c r="C841" i="8"/>
  <c r="J840" i="8"/>
  <c r="F840" i="8"/>
  <c r="I840" i="8" s="1"/>
  <c r="C840" i="8"/>
  <c r="J839" i="8"/>
  <c r="F839" i="8"/>
  <c r="I839" i="8" s="1"/>
  <c r="C839" i="8"/>
  <c r="J838" i="8"/>
  <c r="F838" i="8"/>
  <c r="C838" i="8"/>
  <c r="J837" i="8"/>
  <c r="F837" i="8"/>
  <c r="I837" i="8" s="1"/>
  <c r="C837" i="8"/>
  <c r="J836" i="8"/>
  <c r="F836" i="8"/>
  <c r="I836" i="8" s="1"/>
  <c r="C836" i="8"/>
  <c r="J835" i="8"/>
  <c r="F835" i="8"/>
  <c r="I835" i="8" s="1"/>
  <c r="C835" i="8"/>
  <c r="J834" i="8"/>
  <c r="F834" i="8"/>
  <c r="C834" i="8"/>
  <c r="J833" i="8"/>
  <c r="F833" i="8"/>
  <c r="C833" i="8"/>
  <c r="J832" i="8"/>
  <c r="F832" i="8"/>
  <c r="I832" i="8" s="1"/>
  <c r="C832" i="8"/>
  <c r="J831" i="8"/>
  <c r="F831" i="8"/>
  <c r="I831" i="8" s="1"/>
  <c r="C831" i="8"/>
  <c r="J830" i="8"/>
  <c r="F830" i="8"/>
  <c r="I830" i="8" s="1"/>
  <c r="C830" i="8"/>
  <c r="J829" i="8"/>
  <c r="F829" i="8"/>
  <c r="C829" i="8"/>
  <c r="J828" i="8"/>
  <c r="F828" i="8"/>
  <c r="I828" i="8" s="1"/>
  <c r="C828" i="8"/>
  <c r="J827" i="8"/>
  <c r="F827" i="8"/>
  <c r="I827" i="8" s="1"/>
  <c r="C827" i="8"/>
  <c r="J826" i="8"/>
  <c r="F826" i="8"/>
  <c r="C826" i="8"/>
  <c r="J825" i="8"/>
  <c r="F825" i="8"/>
  <c r="C825" i="8"/>
  <c r="J824" i="8"/>
  <c r="F824" i="8"/>
  <c r="I824" i="8" s="1"/>
  <c r="C824" i="8"/>
  <c r="J823" i="8"/>
  <c r="F823" i="8"/>
  <c r="I823" i="8" s="1"/>
  <c r="C823" i="8"/>
  <c r="J822" i="8"/>
  <c r="F822" i="8"/>
  <c r="C822" i="8"/>
  <c r="J821" i="8"/>
  <c r="F821" i="8"/>
  <c r="C821" i="8"/>
  <c r="J820" i="8"/>
  <c r="F820" i="8"/>
  <c r="I820" i="8" s="1"/>
  <c r="C820" i="8"/>
  <c r="J819" i="8"/>
  <c r="F819" i="8"/>
  <c r="I819" i="8" s="1"/>
  <c r="C819" i="8"/>
  <c r="J818" i="8"/>
  <c r="F818" i="8"/>
  <c r="C818" i="8"/>
  <c r="J817" i="8"/>
  <c r="F817" i="8"/>
  <c r="C817" i="8"/>
  <c r="J816" i="8"/>
  <c r="F816" i="8"/>
  <c r="I816" i="8" s="1"/>
  <c r="C816" i="8"/>
  <c r="J815" i="8"/>
  <c r="F815" i="8"/>
  <c r="I815" i="8" s="1"/>
  <c r="C815" i="8"/>
  <c r="J814" i="8"/>
  <c r="F814" i="8"/>
  <c r="C814" i="8"/>
  <c r="J813" i="8"/>
  <c r="F813" i="8"/>
  <c r="I813" i="8" s="1"/>
  <c r="C813" i="8"/>
  <c r="J812" i="8"/>
  <c r="F812" i="8"/>
  <c r="C812" i="8"/>
  <c r="J811" i="8"/>
  <c r="F811" i="8"/>
  <c r="I811" i="8" s="1"/>
  <c r="C811" i="8"/>
  <c r="J810" i="8"/>
  <c r="F810" i="8"/>
  <c r="C810" i="8"/>
  <c r="J809" i="8"/>
  <c r="F809" i="8"/>
  <c r="C809" i="8"/>
  <c r="J808" i="8"/>
  <c r="F808" i="8"/>
  <c r="I808" i="8" s="1"/>
  <c r="C808" i="8"/>
  <c r="J807" i="8"/>
  <c r="F807" i="8"/>
  <c r="I807" i="8" s="1"/>
  <c r="C807" i="8"/>
  <c r="J806" i="8"/>
  <c r="F806" i="8"/>
  <c r="I806" i="8" s="1"/>
  <c r="C806" i="8"/>
  <c r="J805" i="8"/>
  <c r="F805" i="8"/>
  <c r="I805" i="8" s="1"/>
  <c r="C805" i="8"/>
  <c r="J804" i="8"/>
  <c r="F804" i="8"/>
  <c r="I804" i="8" s="1"/>
  <c r="C804" i="8"/>
  <c r="J803" i="8"/>
  <c r="F803" i="8"/>
  <c r="I803" i="8" s="1"/>
  <c r="C803" i="8"/>
  <c r="J802" i="8"/>
  <c r="F802" i="8"/>
  <c r="C802" i="8"/>
  <c r="J801" i="8"/>
  <c r="F801" i="8"/>
  <c r="C801" i="8"/>
  <c r="J800" i="8"/>
  <c r="F800" i="8"/>
  <c r="C800" i="8"/>
  <c r="J799" i="8"/>
  <c r="F799" i="8"/>
  <c r="I799" i="8" s="1"/>
  <c r="C799" i="8"/>
  <c r="J798" i="8"/>
  <c r="F798" i="8"/>
  <c r="C798" i="8"/>
  <c r="J797" i="8"/>
  <c r="F797" i="8"/>
  <c r="I797" i="8" s="1"/>
  <c r="C797" i="8"/>
  <c r="J796" i="8"/>
  <c r="F796" i="8"/>
  <c r="C796" i="8"/>
  <c r="J795" i="8"/>
  <c r="F795" i="8"/>
  <c r="I795" i="8" s="1"/>
  <c r="C795" i="8"/>
  <c r="J794" i="8"/>
  <c r="F794" i="8"/>
  <c r="C794" i="8"/>
  <c r="J793" i="8"/>
  <c r="F793" i="8"/>
  <c r="C793" i="8"/>
  <c r="J792" i="8"/>
  <c r="F792" i="8"/>
  <c r="I792" i="8" s="1"/>
  <c r="C792" i="8"/>
  <c r="J791" i="8"/>
  <c r="F791" i="8"/>
  <c r="I791" i="8" s="1"/>
  <c r="C791" i="8"/>
  <c r="J790" i="8"/>
  <c r="F790" i="8"/>
  <c r="I790" i="8" s="1"/>
  <c r="C790" i="8"/>
  <c r="J789" i="8"/>
  <c r="F789" i="8"/>
  <c r="I789" i="8" s="1"/>
  <c r="C789" i="8"/>
  <c r="J788" i="8"/>
  <c r="F788" i="8"/>
  <c r="I788" i="8" s="1"/>
  <c r="C788" i="8"/>
  <c r="J787" i="8"/>
  <c r="F787" i="8"/>
  <c r="I787" i="8" s="1"/>
  <c r="C787" i="8"/>
  <c r="J786" i="8"/>
  <c r="F786" i="8"/>
  <c r="C786" i="8"/>
  <c r="J785" i="8"/>
  <c r="F785" i="8"/>
  <c r="I786" i="8" s="1"/>
  <c r="C785" i="8"/>
  <c r="J784" i="8"/>
  <c r="F784" i="8"/>
  <c r="C784" i="8"/>
  <c r="J783" i="8"/>
  <c r="F783" i="8"/>
  <c r="I783" i="8" s="1"/>
  <c r="C783" i="8"/>
  <c r="J782" i="8"/>
  <c r="F782" i="8"/>
  <c r="C782" i="8"/>
  <c r="J781" i="8"/>
  <c r="F781" i="8"/>
  <c r="C781" i="8"/>
  <c r="J780" i="8"/>
  <c r="F780" i="8"/>
  <c r="C780" i="8"/>
  <c r="J779" i="8"/>
  <c r="F779" i="8"/>
  <c r="I779" i="8" s="1"/>
  <c r="C779" i="8"/>
  <c r="J778" i="8"/>
  <c r="F778" i="8"/>
  <c r="C778" i="8"/>
  <c r="J777" i="8"/>
  <c r="F777" i="8"/>
  <c r="I778" i="8" s="1"/>
  <c r="C777" i="8"/>
  <c r="J776" i="8"/>
  <c r="I776" i="8"/>
  <c r="F776" i="8"/>
  <c r="C776" i="8"/>
  <c r="J775" i="8"/>
  <c r="F775" i="8"/>
  <c r="I775" i="8" s="1"/>
  <c r="C775" i="8"/>
  <c r="J774" i="8"/>
  <c r="I774" i="8"/>
  <c r="F774" i="8"/>
  <c r="C774" i="8"/>
  <c r="J773" i="8"/>
  <c r="I773" i="8"/>
  <c r="F773" i="8"/>
  <c r="C773" i="8"/>
  <c r="J772" i="8"/>
  <c r="F772" i="8"/>
  <c r="C772" i="8"/>
  <c r="J771" i="8"/>
  <c r="F771" i="8"/>
  <c r="C771" i="8"/>
  <c r="J770" i="8"/>
  <c r="F770" i="8"/>
  <c r="C770" i="8"/>
  <c r="J769" i="8"/>
  <c r="F769" i="8"/>
  <c r="I769" i="8" s="1"/>
  <c r="C769" i="8"/>
  <c r="J768" i="8"/>
  <c r="I768" i="8"/>
  <c r="F768" i="8"/>
  <c r="C768" i="8"/>
  <c r="J767" i="8"/>
  <c r="F767" i="8"/>
  <c r="I767" i="8" s="1"/>
  <c r="C767" i="8"/>
  <c r="J766" i="8"/>
  <c r="I766" i="8"/>
  <c r="F766" i="8"/>
  <c r="C766" i="8"/>
  <c r="J765" i="8"/>
  <c r="I765" i="8"/>
  <c r="F765" i="8"/>
  <c r="C765" i="8"/>
  <c r="J764" i="8"/>
  <c r="F764" i="8"/>
  <c r="C764" i="8"/>
  <c r="J763" i="8"/>
  <c r="F763" i="8"/>
  <c r="C763" i="8"/>
  <c r="J762" i="8"/>
  <c r="F762" i="8"/>
  <c r="C762" i="8"/>
  <c r="J761" i="8"/>
  <c r="F761" i="8"/>
  <c r="I761" i="8" s="1"/>
  <c r="C761" i="8"/>
  <c r="J760" i="8"/>
  <c r="I760" i="8"/>
  <c r="F760" i="8"/>
  <c r="C760" i="8"/>
  <c r="J759" i="8"/>
  <c r="F759" i="8"/>
  <c r="I759" i="8" s="1"/>
  <c r="C759" i="8"/>
  <c r="J758" i="8"/>
  <c r="I758" i="8"/>
  <c r="F758" i="8"/>
  <c r="C758" i="8"/>
  <c r="J757" i="8"/>
  <c r="I757" i="8"/>
  <c r="F757" i="8"/>
  <c r="C757" i="8"/>
  <c r="J756" i="8"/>
  <c r="F756" i="8"/>
  <c r="C756" i="8"/>
  <c r="J755" i="8"/>
  <c r="F755" i="8"/>
  <c r="C755" i="8"/>
  <c r="J754" i="8"/>
  <c r="F754" i="8"/>
  <c r="C754" i="8"/>
  <c r="J753" i="8"/>
  <c r="F753" i="8"/>
  <c r="I753" i="8" s="1"/>
  <c r="C753" i="8"/>
  <c r="J752" i="8"/>
  <c r="I752" i="8"/>
  <c r="F752" i="8"/>
  <c r="C752" i="8"/>
  <c r="J751" i="8"/>
  <c r="F751" i="8"/>
  <c r="I751" i="8" s="1"/>
  <c r="C751" i="8"/>
  <c r="J750" i="8"/>
  <c r="I750" i="8"/>
  <c r="F750" i="8"/>
  <c r="C750" i="8"/>
  <c r="J749" i="8"/>
  <c r="I749" i="8"/>
  <c r="F749" i="8"/>
  <c r="C749" i="8"/>
  <c r="J748" i="8"/>
  <c r="F748" i="8"/>
  <c r="C748" i="8"/>
  <c r="J747" i="8"/>
  <c r="F747" i="8"/>
  <c r="C747" i="8"/>
  <c r="J746" i="8"/>
  <c r="F746" i="8"/>
  <c r="C746" i="8"/>
  <c r="J745" i="8"/>
  <c r="F745" i="8"/>
  <c r="I745" i="8" s="1"/>
  <c r="C745" i="8"/>
  <c r="J744" i="8"/>
  <c r="F744" i="8"/>
  <c r="C744" i="8"/>
  <c r="J743" i="8"/>
  <c r="F743" i="8"/>
  <c r="I743" i="8" s="1"/>
  <c r="C743" i="8"/>
  <c r="J742" i="8"/>
  <c r="I742" i="8"/>
  <c r="F742" i="8"/>
  <c r="C742" i="8"/>
  <c r="J741" i="8"/>
  <c r="I741" i="8"/>
  <c r="F741" i="8"/>
  <c r="C741" i="8"/>
  <c r="J740" i="8"/>
  <c r="F740" i="8"/>
  <c r="C740" i="8"/>
  <c r="J739" i="8"/>
  <c r="F739" i="8"/>
  <c r="C739" i="8"/>
  <c r="J738" i="8"/>
  <c r="F738" i="8"/>
  <c r="C738" i="8"/>
  <c r="J737" i="8"/>
  <c r="F737" i="8"/>
  <c r="I737" i="8" s="1"/>
  <c r="C737" i="8"/>
  <c r="J736" i="8"/>
  <c r="F736" i="8"/>
  <c r="C736" i="8"/>
  <c r="J735" i="8"/>
  <c r="F735" i="8"/>
  <c r="I735" i="8" s="1"/>
  <c r="C735" i="8"/>
  <c r="J734" i="8"/>
  <c r="I734" i="8"/>
  <c r="F734" i="8"/>
  <c r="C734" i="8"/>
  <c r="J733" i="8"/>
  <c r="I733" i="8"/>
  <c r="F733" i="8"/>
  <c r="C733" i="8"/>
  <c r="J732" i="8"/>
  <c r="F732" i="8"/>
  <c r="C732" i="8"/>
  <c r="J731" i="8"/>
  <c r="F731" i="8"/>
  <c r="C731" i="8"/>
  <c r="J730" i="8"/>
  <c r="F730" i="8"/>
  <c r="C730" i="8"/>
  <c r="J729" i="8"/>
  <c r="F729" i="8"/>
  <c r="I729" i="8" s="1"/>
  <c r="C729" i="8"/>
  <c r="J728" i="8"/>
  <c r="F728" i="8"/>
  <c r="C728" i="8"/>
  <c r="J727" i="8"/>
  <c r="F727" i="8"/>
  <c r="I727" i="8" s="1"/>
  <c r="C727" i="8"/>
  <c r="J726" i="8"/>
  <c r="I726" i="8"/>
  <c r="F726" i="8"/>
  <c r="C726" i="8"/>
  <c r="J725" i="8"/>
  <c r="F725" i="8"/>
  <c r="I725" i="8" s="1"/>
  <c r="C725" i="8"/>
  <c r="J724" i="8"/>
  <c r="F724" i="8"/>
  <c r="C724" i="8"/>
  <c r="J723" i="8"/>
  <c r="F723" i="8"/>
  <c r="C723" i="8"/>
  <c r="J722" i="8"/>
  <c r="F722" i="8"/>
  <c r="C722" i="8"/>
  <c r="J721" i="8"/>
  <c r="F721" i="8"/>
  <c r="I721" i="8" s="1"/>
  <c r="C721" i="8"/>
  <c r="J720" i="8"/>
  <c r="F720" i="8"/>
  <c r="C720" i="8"/>
  <c r="J719" i="8"/>
  <c r="F719" i="8"/>
  <c r="I720" i="8" s="1"/>
  <c r="C719" i="8"/>
  <c r="J718" i="8"/>
  <c r="I718" i="8"/>
  <c r="F718" i="8"/>
  <c r="C718" i="8"/>
  <c r="J717" i="8"/>
  <c r="F717" i="8"/>
  <c r="I717" i="8" s="1"/>
  <c r="C717" i="8"/>
  <c r="J716" i="8"/>
  <c r="F716" i="8"/>
  <c r="C716" i="8"/>
  <c r="J715" i="8"/>
  <c r="F715" i="8"/>
  <c r="I715" i="8" s="1"/>
  <c r="C715" i="8"/>
  <c r="J714" i="8"/>
  <c r="I714" i="8"/>
  <c r="F714" i="8"/>
  <c r="C714" i="8"/>
  <c r="J713" i="8"/>
  <c r="F713" i="8"/>
  <c r="I713" i="8" s="1"/>
  <c r="C713" i="8"/>
  <c r="J712" i="8"/>
  <c r="I712" i="8"/>
  <c r="F712" i="8"/>
  <c r="C712" i="8"/>
  <c r="J711" i="8"/>
  <c r="F711" i="8"/>
  <c r="C711" i="8"/>
  <c r="J710" i="8"/>
  <c r="F710" i="8"/>
  <c r="I710" i="8" s="1"/>
  <c r="C710" i="8"/>
  <c r="J709" i="8"/>
  <c r="I709" i="8"/>
  <c r="F709" i="8"/>
  <c r="C709" i="8"/>
  <c r="J708" i="8"/>
  <c r="I708" i="8"/>
  <c r="F708" i="8"/>
  <c r="C708" i="8"/>
  <c r="J707" i="8"/>
  <c r="F707" i="8"/>
  <c r="C707" i="8"/>
  <c r="J706" i="8"/>
  <c r="F706" i="8"/>
  <c r="I706" i="8" s="1"/>
  <c r="C706" i="8"/>
  <c r="J705" i="8"/>
  <c r="I705" i="8"/>
  <c r="F705" i="8"/>
  <c r="C705" i="8"/>
  <c r="J704" i="8"/>
  <c r="F704" i="8"/>
  <c r="C704" i="8"/>
  <c r="J703" i="8"/>
  <c r="F703" i="8"/>
  <c r="C703" i="8"/>
  <c r="J702" i="8"/>
  <c r="F702" i="8"/>
  <c r="I702" i="8" s="1"/>
  <c r="C702" i="8"/>
  <c r="J701" i="8"/>
  <c r="F701" i="8"/>
  <c r="I701" i="8" s="1"/>
  <c r="C701" i="8"/>
  <c r="J700" i="8"/>
  <c r="F700" i="8"/>
  <c r="C700" i="8"/>
  <c r="J699" i="8"/>
  <c r="F699" i="8"/>
  <c r="I699" i="8" s="1"/>
  <c r="C699" i="8"/>
  <c r="J698" i="8"/>
  <c r="F698" i="8"/>
  <c r="C698" i="8"/>
  <c r="J697" i="8"/>
  <c r="F697" i="8"/>
  <c r="C697" i="8"/>
  <c r="J696" i="8"/>
  <c r="I696" i="8"/>
  <c r="F696" i="8"/>
  <c r="C696" i="8"/>
  <c r="J695" i="8"/>
  <c r="F695" i="8"/>
  <c r="C695" i="8"/>
  <c r="J694" i="8"/>
  <c r="F694" i="8"/>
  <c r="C694" i="8"/>
  <c r="J693" i="8"/>
  <c r="F693" i="8"/>
  <c r="I693" i="8" s="1"/>
  <c r="C693" i="8"/>
  <c r="J692" i="8"/>
  <c r="I692" i="8"/>
  <c r="F692" i="8"/>
  <c r="C692" i="8"/>
  <c r="J691" i="8"/>
  <c r="F691" i="8"/>
  <c r="C691" i="8"/>
  <c r="J690" i="8"/>
  <c r="I690" i="8"/>
  <c r="F690" i="8"/>
  <c r="C690" i="8"/>
  <c r="J689" i="8"/>
  <c r="I689" i="8"/>
  <c r="F689" i="8"/>
  <c r="C689" i="8"/>
  <c r="J688" i="8"/>
  <c r="F688" i="8"/>
  <c r="C688" i="8"/>
  <c r="J687" i="8"/>
  <c r="F687" i="8"/>
  <c r="I688" i="8" s="1"/>
  <c r="C687" i="8"/>
  <c r="J686" i="8"/>
  <c r="I686" i="8"/>
  <c r="F686" i="8"/>
  <c r="C686" i="8"/>
  <c r="J685" i="8"/>
  <c r="I685" i="8"/>
  <c r="F685" i="8"/>
  <c r="C685" i="8"/>
  <c r="J684" i="8"/>
  <c r="F684" i="8"/>
  <c r="C684" i="8"/>
  <c r="J683" i="8"/>
  <c r="F683" i="8"/>
  <c r="I683" i="8" s="1"/>
  <c r="C683" i="8"/>
  <c r="J682" i="8"/>
  <c r="I682" i="8"/>
  <c r="F682" i="8"/>
  <c r="C682" i="8"/>
  <c r="J681" i="8"/>
  <c r="F681" i="8"/>
  <c r="I681" i="8" s="1"/>
  <c r="C681" i="8"/>
  <c r="J680" i="8"/>
  <c r="I680" i="8"/>
  <c r="F680" i="8"/>
  <c r="C680" i="8"/>
  <c r="J679" i="8"/>
  <c r="F679" i="8"/>
  <c r="C679" i="8"/>
  <c r="J678" i="8"/>
  <c r="F678" i="8"/>
  <c r="I678" i="8" s="1"/>
  <c r="C678" i="8"/>
  <c r="J677" i="8"/>
  <c r="I677" i="8"/>
  <c r="F677" i="8"/>
  <c r="C677" i="8"/>
  <c r="J676" i="8"/>
  <c r="I676" i="8"/>
  <c r="F676" i="8"/>
  <c r="C676" i="8"/>
  <c r="J675" i="8"/>
  <c r="F675" i="8"/>
  <c r="C675" i="8"/>
  <c r="J674" i="8"/>
  <c r="F674" i="8"/>
  <c r="I674" i="8" s="1"/>
  <c r="C674" i="8"/>
  <c r="J673" i="8"/>
  <c r="I673" i="8"/>
  <c r="F673" i="8"/>
  <c r="C673" i="8"/>
  <c r="J672" i="8"/>
  <c r="F672" i="8"/>
  <c r="C672" i="8"/>
  <c r="J671" i="8"/>
  <c r="F671" i="8"/>
  <c r="C671" i="8"/>
  <c r="J670" i="8"/>
  <c r="F670" i="8"/>
  <c r="I670" i="8" s="1"/>
  <c r="C670" i="8"/>
  <c r="J669" i="8"/>
  <c r="F669" i="8"/>
  <c r="I669" i="8" s="1"/>
  <c r="C669" i="8"/>
  <c r="J668" i="8"/>
  <c r="F668" i="8"/>
  <c r="C668" i="8"/>
  <c r="J667" i="8"/>
  <c r="F667" i="8"/>
  <c r="I667" i="8" s="1"/>
  <c r="C667" i="8"/>
  <c r="J666" i="8"/>
  <c r="F666" i="8"/>
  <c r="C666" i="8"/>
  <c r="J665" i="8"/>
  <c r="F665" i="8"/>
  <c r="C665" i="8"/>
  <c r="J664" i="8"/>
  <c r="I664" i="8"/>
  <c r="F664" i="8"/>
  <c r="C664" i="8"/>
  <c r="J663" i="8"/>
  <c r="F663" i="8"/>
  <c r="C663" i="8"/>
  <c r="J662" i="8"/>
  <c r="F662" i="8"/>
  <c r="C662" i="8"/>
  <c r="J661" i="8"/>
  <c r="F661" i="8"/>
  <c r="I661" i="8" s="1"/>
  <c r="C661" i="8"/>
  <c r="J660" i="8"/>
  <c r="I660" i="8"/>
  <c r="F660" i="8"/>
  <c r="C660" i="8"/>
  <c r="J659" i="8"/>
  <c r="F659" i="8"/>
  <c r="C659" i="8"/>
  <c r="J658" i="8"/>
  <c r="F658" i="8"/>
  <c r="I658" i="8" s="1"/>
  <c r="C658" i="8"/>
  <c r="J657" i="8"/>
  <c r="I657" i="8"/>
  <c r="F657" i="8"/>
  <c r="C657" i="8"/>
  <c r="J656" i="8"/>
  <c r="F656" i="8"/>
  <c r="C656" i="8"/>
  <c r="J655" i="8"/>
  <c r="F655" i="8"/>
  <c r="I655" i="8" s="1"/>
  <c r="C655" i="8"/>
  <c r="J654" i="8"/>
  <c r="F654" i="8"/>
  <c r="C654" i="8"/>
  <c r="J653" i="8"/>
  <c r="F653" i="8"/>
  <c r="C653" i="8"/>
  <c r="J652" i="8"/>
  <c r="F652" i="8"/>
  <c r="I652" i="8" s="1"/>
  <c r="C652" i="8"/>
  <c r="J651" i="8"/>
  <c r="F651" i="8"/>
  <c r="C651" i="8"/>
  <c r="J650" i="8"/>
  <c r="F650" i="8"/>
  <c r="I650" i="8" s="1"/>
  <c r="C650" i="8"/>
  <c r="J649" i="8"/>
  <c r="I649" i="8"/>
  <c r="F649" i="8"/>
  <c r="C649" i="8"/>
  <c r="J648" i="8"/>
  <c r="F648" i="8"/>
  <c r="C648" i="8"/>
  <c r="J647" i="8"/>
  <c r="F647" i="8"/>
  <c r="I647" i="8" s="1"/>
  <c r="C647" i="8"/>
  <c r="J646" i="8"/>
  <c r="I646" i="8"/>
  <c r="F646" i="8"/>
  <c r="C646" i="8"/>
  <c r="J645" i="8"/>
  <c r="F645" i="8"/>
  <c r="I645" i="8" s="1"/>
  <c r="C645" i="8"/>
  <c r="J644" i="8"/>
  <c r="I644" i="8"/>
  <c r="F644" i="8"/>
  <c r="C644" i="8"/>
  <c r="J643" i="8"/>
  <c r="F643" i="8"/>
  <c r="C643" i="8"/>
  <c r="J642" i="8"/>
  <c r="F642" i="8"/>
  <c r="I642" i="8" s="1"/>
  <c r="C642" i="8"/>
  <c r="J641" i="8"/>
  <c r="I641" i="8"/>
  <c r="F641" i="8"/>
  <c r="C641" i="8"/>
  <c r="J640" i="8"/>
  <c r="F640" i="8"/>
  <c r="C640" i="8"/>
  <c r="J639" i="8"/>
  <c r="F639" i="8"/>
  <c r="I639" i="8" s="1"/>
  <c r="C639" i="8"/>
  <c r="J638" i="8"/>
  <c r="F638" i="8"/>
  <c r="C638" i="8"/>
  <c r="J637" i="8"/>
  <c r="F637" i="8"/>
  <c r="C637" i="8"/>
  <c r="J636" i="8"/>
  <c r="F636" i="8"/>
  <c r="I636" i="8" s="1"/>
  <c r="C636" i="8"/>
  <c r="J635" i="8"/>
  <c r="F635" i="8"/>
  <c r="C635" i="8"/>
  <c r="J634" i="8"/>
  <c r="F634" i="8"/>
  <c r="I634" i="8" s="1"/>
  <c r="C634" i="8"/>
  <c r="J633" i="8"/>
  <c r="I633" i="8"/>
  <c r="F633" i="8"/>
  <c r="C633" i="8"/>
  <c r="J632" i="8"/>
  <c r="F632" i="8"/>
  <c r="C632" i="8"/>
  <c r="J631" i="8"/>
  <c r="F631" i="8"/>
  <c r="I631" i="8" s="1"/>
  <c r="C631" i="8"/>
  <c r="J630" i="8"/>
  <c r="I630" i="8"/>
  <c r="F630" i="8"/>
  <c r="C630" i="8"/>
  <c r="J629" i="8"/>
  <c r="F629" i="8"/>
  <c r="I629" i="8" s="1"/>
  <c r="C629" i="8"/>
  <c r="J628" i="8"/>
  <c r="I628" i="8"/>
  <c r="F628" i="8"/>
  <c r="C628" i="8"/>
  <c r="J627" i="8"/>
  <c r="F627" i="8"/>
  <c r="C627" i="8"/>
  <c r="J626" i="8"/>
  <c r="F626" i="8"/>
  <c r="I626" i="8" s="1"/>
  <c r="C626" i="8"/>
  <c r="J625" i="8"/>
  <c r="I625" i="8"/>
  <c r="F625" i="8"/>
  <c r="C625" i="8"/>
  <c r="J624" i="8"/>
  <c r="F624" i="8"/>
  <c r="C624" i="8"/>
  <c r="J623" i="8"/>
  <c r="F623" i="8"/>
  <c r="I623" i="8" s="1"/>
  <c r="C623" i="8"/>
  <c r="J622" i="8"/>
  <c r="F622" i="8"/>
  <c r="C622" i="8"/>
  <c r="J621" i="8"/>
  <c r="F621" i="8"/>
  <c r="C621" i="8"/>
  <c r="J620" i="8"/>
  <c r="F620" i="8"/>
  <c r="I620" i="8" s="1"/>
  <c r="C620" i="8"/>
  <c r="J619" i="8"/>
  <c r="F619" i="8"/>
  <c r="C619" i="8"/>
  <c r="J618" i="8"/>
  <c r="F618" i="8"/>
  <c r="I618" i="8" s="1"/>
  <c r="C618" i="8"/>
  <c r="J617" i="8"/>
  <c r="I617" i="8"/>
  <c r="F617" i="8"/>
  <c r="C617" i="8"/>
  <c r="J616" i="8"/>
  <c r="F616" i="8"/>
  <c r="C616" i="8"/>
  <c r="J615" i="8"/>
  <c r="F615" i="8"/>
  <c r="I615" i="8" s="1"/>
  <c r="C615" i="8"/>
  <c r="J614" i="8"/>
  <c r="I614" i="8"/>
  <c r="F614" i="8"/>
  <c r="C614" i="8"/>
  <c r="J613" i="8"/>
  <c r="F613" i="8"/>
  <c r="I613" i="8" s="1"/>
  <c r="C613" i="8"/>
  <c r="J612" i="8"/>
  <c r="I612" i="8"/>
  <c r="F612" i="8"/>
  <c r="C612" i="8"/>
  <c r="J611" i="8"/>
  <c r="F611" i="8"/>
  <c r="I611" i="8" s="1"/>
  <c r="C611" i="8"/>
  <c r="J610" i="8"/>
  <c r="F610" i="8"/>
  <c r="I610" i="8" s="1"/>
  <c r="C610" i="8"/>
  <c r="J609" i="8"/>
  <c r="I609" i="8"/>
  <c r="F609" i="8"/>
  <c r="C609" i="8"/>
  <c r="J608" i="8"/>
  <c r="I608" i="8"/>
  <c r="F608" i="8"/>
  <c r="C608" i="8"/>
  <c r="J607" i="8"/>
  <c r="F607" i="8"/>
  <c r="I607" i="8" s="1"/>
  <c r="C607" i="8"/>
  <c r="J606" i="8"/>
  <c r="F606" i="8"/>
  <c r="C606" i="8"/>
  <c r="J605" i="8"/>
  <c r="F605" i="8"/>
  <c r="C605" i="8"/>
  <c r="J604" i="8"/>
  <c r="F604" i="8"/>
  <c r="I604" i="8" s="1"/>
  <c r="C604" i="8"/>
  <c r="J603" i="8"/>
  <c r="F603" i="8"/>
  <c r="C603" i="8"/>
  <c r="J602" i="8"/>
  <c r="F602" i="8"/>
  <c r="I602" i="8" s="1"/>
  <c r="C602" i="8"/>
  <c r="J601" i="8"/>
  <c r="F601" i="8"/>
  <c r="I601" i="8" s="1"/>
  <c r="C601" i="8"/>
  <c r="J600" i="8"/>
  <c r="F600" i="8"/>
  <c r="C600" i="8"/>
  <c r="J599" i="8"/>
  <c r="F599" i="8"/>
  <c r="I599" i="8" s="1"/>
  <c r="C599" i="8"/>
  <c r="J598" i="8"/>
  <c r="F598" i="8"/>
  <c r="I598" i="8" s="1"/>
  <c r="C598" i="8"/>
  <c r="J597" i="8"/>
  <c r="F597" i="8"/>
  <c r="I597" i="8" s="1"/>
  <c r="C597" i="8"/>
  <c r="J596" i="8"/>
  <c r="I596" i="8"/>
  <c r="F596" i="8"/>
  <c r="C596" i="8"/>
  <c r="J595" i="8"/>
  <c r="F595" i="8"/>
  <c r="I595" i="8" s="1"/>
  <c r="C595" i="8"/>
  <c r="J594" i="8"/>
  <c r="F594" i="8"/>
  <c r="I594" i="8" s="1"/>
  <c r="C594" i="8"/>
  <c r="J593" i="8"/>
  <c r="I593" i="8"/>
  <c r="F593" i="8"/>
  <c r="C593" i="8"/>
  <c r="J592" i="8"/>
  <c r="I592" i="8"/>
  <c r="F592" i="8"/>
  <c r="C592" i="8"/>
  <c r="J591" i="8"/>
  <c r="F591" i="8"/>
  <c r="I591" i="8" s="1"/>
  <c r="C591" i="8"/>
  <c r="J590" i="8"/>
  <c r="F590" i="8"/>
  <c r="C590" i="8"/>
  <c r="J589" i="8"/>
  <c r="F589" i="8"/>
  <c r="C589" i="8"/>
  <c r="J588" i="8"/>
  <c r="F588" i="8"/>
  <c r="I588" i="8" s="1"/>
  <c r="C588" i="8"/>
  <c r="J587" i="8"/>
  <c r="F587" i="8"/>
  <c r="C587" i="8"/>
  <c r="J586" i="8"/>
  <c r="F586" i="8"/>
  <c r="I586" i="8" s="1"/>
  <c r="C586" i="8"/>
  <c r="J585" i="8"/>
  <c r="F585" i="8"/>
  <c r="I585" i="8" s="1"/>
  <c r="C585" i="8"/>
  <c r="J584" i="8"/>
  <c r="F584" i="8"/>
  <c r="C584" i="8"/>
  <c r="J583" i="8"/>
  <c r="F583" i="8"/>
  <c r="C583" i="8"/>
  <c r="J582" i="8"/>
  <c r="F582" i="8"/>
  <c r="I582" i="8" s="1"/>
  <c r="C582" i="8"/>
  <c r="J581" i="8"/>
  <c r="F581" i="8"/>
  <c r="I581" i="8" s="1"/>
  <c r="C581" i="8"/>
  <c r="J580" i="8"/>
  <c r="I580" i="8"/>
  <c r="F580" i="8"/>
  <c r="C580" i="8"/>
  <c r="J579" i="8"/>
  <c r="I579" i="8"/>
  <c r="F579" i="8"/>
  <c r="C579" i="8"/>
  <c r="J578" i="8"/>
  <c r="F578" i="8"/>
  <c r="I578" i="8" s="1"/>
  <c r="C578" i="8"/>
  <c r="J577" i="8"/>
  <c r="F577" i="8"/>
  <c r="C577" i="8"/>
  <c r="J576" i="8"/>
  <c r="F576" i="8"/>
  <c r="I576" i="8" s="1"/>
  <c r="C576" i="8"/>
  <c r="J575" i="8"/>
  <c r="I575" i="8"/>
  <c r="F575" i="8"/>
  <c r="C575" i="8"/>
  <c r="J574" i="8"/>
  <c r="F574" i="8"/>
  <c r="I574" i="8" s="1"/>
  <c r="C574" i="8"/>
  <c r="J573" i="8"/>
  <c r="F573" i="8"/>
  <c r="I573" i="8" s="1"/>
  <c r="C573" i="8"/>
  <c r="J572" i="8"/>
  <c r="F572" i="8"/>
  <c r="I572" i="8" s="1"/>
  <c r="C572" i="8"/>
  <c r="J571" i="8"/>
  <c r="F571" i="8"/>
  <c r="C571" i="8"/>
  <c r="J570" i="8"/>
  <c r="F570" i="8"/>
  <c r="I570" i="8" s="1"/>
  <c r="C570" i="8"/>
  <c r="J569" i="8"/>
  <c r="F569" i="8"/>
  <c r="C569" i="8"/>
  <c r="J568" i="8"/>
  <c r="I568" i="8"/>
  <c r="F568" i="8"/>
  <c r="C568" i="8"/>
  <c r="J567" i="8"/>
  <c r="F567" i="8"/>
  <c r="C567" i="8"/>
  <c r="J566" i="8"/>
  <c r="F566" i="8"/>
  <c r="I566" i="8" s="1"/>
  <c r="C566" i="8"/>
  <c r="J565" i="8"/>
  <c r="F565" i="8"/>
  <c r="I565" i="8" s="1"/>
  <c r="C565" i="8"/>
  <c r="J564" i="8"/>
  <c r="I564" i="8"/>
  <c r="F564" i="8"/>
  <c r="C564" i="8"/>
  <c r="J563" i="8"/>
  <c r="I563" i="8"/>
  <c r="F563" i="8"/>
  <c r="C563" i="8"/>
  <c r="J562" i="8"/>
  <c r="F562" i="8"/>
  <c r="I562" i="8" s="1"/>
  <c r="C562" i="8"/>
  <c r="J561" i="8"/>
  <c r="F561" i="8"/>
  <c r="C561" i="8"/>
  <c r="J560" i="8"/>
  <c r="F560" i="8"/>
  <c r="I560" i="8" s="1"/>
  <c r="C560" i="8"/>
  <c r="J559" i="8"/>
  <c r="I559" i="8"/>
  <c r="F559" i="8"/>
  <c r="C559" i="8"/>
  <c r="J558" i="8"/>
  <c r="F558" i="8"/>
  <c r="I558" i="8" s="1"/>
  <c r="C558" i="8"/>
  <c r="J557" i="8"/>
  <c r="F557" i="8"/>
  <c r="C557" i="8"/>
  <c r="J556" i="8"/>
  <c r="I556" i="8"/>
  <c r="F556" i="8"/>
  <c r="C556" i="8"/>
  <c r="J555" i="8"/>
  <c r="I555" i="8"/>
  <c r="F555" i="8"/>
  <c r="C555" i="8"/>
  <c r="J554" i="8"/>
  <c r="I554" i="8"/>
  <c r="F554" i="8"/>
  <c r="C554" i="8"/>
  <c r="J553" i="8"/>
  <c r="F553" i="8"/>
  <c r="C553" i="8"/>
  <c r="J552" i="8"/>
  <c r="F552" i="8"/>
  <c r="I552" i="8" s="1"/>
  <c r="C552" i="8"/>
  <c r="J551" i="8"/>
  <c r="I551" i="8"/>
  <c r="F551" i="8"/>
  <c r="C551" i="8"/>
  <c r="J550" i="8"/>
  <c r="F550" i="8"/>
  <c r="I550" i="8" s="1"/>
  <c r="C550" i="8"/>
  <c r="J549" i="8"/>
  <c r="F549" i="8"/>
  <c r="C549" i="8"/>
  <c r="J548" i="8"/>
  <c r="I548" i="8"/>
  <c r="F548" i="8"/>
  <c r="C548" i="8"/>
  <c r="J547" i="8"/>
  <c r="I547" i="8"/>
  <c r="F547" i="8"/>
  <c r="C547" i="8"/>
  <c r="J546" i="8"/>
  <c r="I546" i="8"/>
  <c r="F546" i="8"/>
  <c r="C546" i="8"/>
  <c r="J545" i="8"/>
  <c r="F545" i="8"/>
  <c r="C545" i="8"/>
  <c r="J544" i="8"/>
  <c r="F544" i="8"/>
  <c r="I544" i="8" s="1"/>
  <c r="C544" i="8"/>
  <c r="J543" i="8"/>
  <c r="F543" i="8"/>
  <c r="C543" i="8"/>
  <c r="J542" i="8"/>
  <c r="F542" i="8"/>
  <c r="C542" i="8"/>
  <c r="J541" i="8"/>
  <c r="F541" i="8"/>
  <c r="I541" i="8" s="1"/>
  <c r="C541" i="8"/>
  <c r="J540" i="8"/>
  <c r="F540" i="8"/>
  <c r="C540" i="8"/>
  <c r="J539" i="8"/>
  <c r="I539" i="8"/>
  <c r="F539" i="8"/>
  <c r="I540" i="8" s="1"/>
  <c r="C539" i="8"/>
  <c r="J538" i="8"/>
  <c r="I538" i="8"/>
  <c r="F538" i="8"/>
  <c r="C538" i="8"/>
  <c r="J537" i="8"/>
  <c r="F537" i="8"/>
  <c r="C537" i="8"/>
  <c r="J536" i="8"/>
  <c r="I536" i="8"/>
  <c r="F536" i="8"/>
  <c r="C536" i="8"/>
  <c r="J535" i="8"/>
  <c r="F535" i="8"/>
  <c r="I535" i="8" s="1"/>
  <c r="C535" i="8"/>
  <c r="J534" i="8"/>
  <c r="F534" i="8"/>
  <c r="C534" i="8"/>
  <c r="J533" i="8"/>
  <c r="F533" i="8"/>
  <c r="I533" i="8" s="1"/>
  <c r="C533" i="8"/>
  <c r="J532" i="8"/>
  <c r="F532" i="8"/>
  <c r="I532" i="8" s="1"/>
  <c r="C532" i="8"/>
  <c r="J531" i="8"/>
  <c r="F531" i="8"/>
  <c r="I531" i="8" s="1"/>
  <c r="C531" i="8"/>
  <c r="J530" i="8"/>
  <c r="I530" i="8"/>
  <c r="F530" i="8"/>
  <c r="C530" i="8"/>
  <c r="J529" i="8"/>
  <c r="F529" i="8"/>
  <c r="C529" i="8"/>
  <c r="J528" i="8"/>
  <c r="F528" i="8"/>
  <c r="I528" i="8" s="1"/>
  <c r="C528" i="8"/>
  <c r="J527" i="8"/>
  <c r="F527" i="8"/>
  <c r="C527" i="8"/>
  <c r="J526" i="8"/>
  <c r="F526" i="8"/>
  <c r="C526" i="8"/>
  <c r="J525" i="8"/>
  <c r="F525" i="8"/>
  <c r="I525" i="8" s="1"/>
  <c r="C525" i="8"/>
  <c r="J524" i="8"/>
  <c r="F524" i="8"/>
  <c r="C524" i="8"/>
  <c r="J523" i="8"/>
  <c r="I523" i="8"/>
  <c r="F523" i="8"/>
  <c r="I524" i="8" s="1"/>
  <c r="C523" i="8"/>
  <c r="J522" i="8"/>
  <c r="I522" i="8"/>
  <c r="F522" i="8"/>
  <c r="C522" i="8"/>
  <c r="J521" i="8"/>
  <c r="F521" i="8"/>
  <c r="C521" i="8"/>
  <c r="J520" i="8"/>
  <c r="I520" i="8"/>
  <c r="F520" i="8"/>
  <c r="C520" i="8"/>
  <c r="J519" i="8"/>
  <c r="F519" i="8"/>
  <c r="I519" i="8" s="1"/>
  <c r="C519" i="8"/>
  <c r="J518" i="8"/>
  <c r="F518" i="8"/>
  <c r="C518" i="8"/>
  <c r="J517" i="8"/>
  <c r="F517" i="8"/>
  <c r="I517" i="8" s="1"/>
  <c r="C517" i="8"/>
  <c r="J516" i="8"/>
  <c r="F516" i="8"/>
  <c r="I516" i="8" s="1"/>
  <c r="C516" i="8"/>
  <c r="J515" i="8"/>
  <c r="F515" i="8"/>
  <c r="I515" i="8" s="1"/>
  <c r="C515" i="8"/>
  <c r="J514" i="8"/>
  <c r="I514" i="8"/>
  <c r="F514" i="8"/>
  <c r="C514" i="8"/>
  <c r="J513" i="8"/>
  <c r="F513" i="8"/>
  <c r="C513" i="8"/>
  <c r="J512" i="8"/>
  <c r="F512" i="8"/>
  <c r="I512" i="8" s="1"/>
  <c r="C512" i="8"/>
  <c r="J511" i="8"/>
  <c r="F511" i="8"/>
  <c r="C511" i="8"/>
  <c r="J510" i="8"/>
  <c r="F510" i="8"/>
  <c r="C510" i="8"/>
  <c r="J509" i="8"/>
  <c r="F509" i="8"/>
  <c r="I509" i="8" s="1"/>
  <c r="C509" i="8"/>
  <c r="J508" i="8"/>
  <c r="F508" i="8"/>
  <c r="I508" i="8" s="1"/>
  <c r="C508" i="8"/>
  <c r="J507" i="8"/>
  <c r="I507" i="8"/>
  <c r="F507" i="8"/>
  <c r="C507" i="8"/>
  <c r="J506" i="8"/>
  <c r="I506" i="8"/>
  <c r="F506" i="8"/>
  <c r="C506" i="8"/>
  <c r="J505" i="8"/>
  <c r="F505" i="8"/>
  <c r="C505" i="8"/>
  <c r="J504" i="8"/>
  <c r="I504" i="8"/>
  <c r="F504" i="8"/>
  <c r="C504" i="8"/>
  <c r="J503" i="8"/>
  <c r="F503" i="8"/>
  <c r="I503" i="8" s="1"/>
  <c r="C503" i="8"/>
  <c r="J502" i="8"/>
  <c r="F502" i="8"/>
  <c r="C502" i="8"/>
  <c r="J501" i="8"/>
  <c r="F501" i="8"/>
  <c r="I501" i="8" s="1"/>
  <c r="C501" i="8"/>
  <c r="J500" i="8"/>
  <c r="F500" i="8"/>
  <c r="I500" i="8" s="1"/>
  <c r="C500" i="8"/>
  <c r="J499" i="8"/>
  <c r="F499" i="8"/>
  <c r="I499" i="8" s="1"/>
  <c r="C499" i="8"/>
  <c r="J498" i="8"/>
  <c r="I498" i="8"/>
  <c r="F498" i="8"/>
  <c r="C498" i="8"/>
  <c r="J497" i="8"/>
  <c r="F497" i="8"/>
  <c r="C497" i="8"/>
  <c r="J496" i="8"/>
  <c r="F496" i="8"/>
  <c r="I496" i="8" s="1"/>
  <c r="C496" i="8"/>
  <c r="J495" i="8"/>
  <c r="F495" i="8"/>
  <c r="I495" i="8" s="1"/>
  <c r="C495" i="8"/>
  <c r="J494" i="8"/>
  <c r="F494" i="8"/>
  <c r="I494" i="8" s="1"/>
  <c r="C494" i="8"/>
  <c r="J493" i="8"/>
  <c r="F493" i="8"/>
  <c r="I493" i="8" s="1"/>
  <c r="C493" i="8"/>
  <c r="J492" i="8"/>
  <c r="F492" i="8"/>
  <c r="I492" i="8" s="1"/>
  <c r="C492" i="8"/>
  <c r="J491" i="8"/>
  <c r="I491" i="8"/>
  <c r="F491" i="8"/>
  <c r="C491" i="8"/>
  <c r="J490" i="8"/>
  <c r="I490" i="8"/>
  <c r="F490" i="8"/>
  <c r="C490" i="8"/>
  <c r="J489" i="8"/>
  <c r="F489" i="8"/>
  <c r="C489" i="8"/>
  <c r="J488" i="8"/>
  <c r="I488" i="8"/>
  <c r="F488" i="8"/>
  <c r="C488" i="8"/>
  <c r="J487" i="8"/>
  <c r="F487" i="8"/>
  <c r="I487" i="8" s="1"/>
  <c r="C487" i="8"/>
  <c r="J486" i="8"/>
  <c r="F486" i="8"/>
  <c r="C486" i="8"/>
  <c r="J485" i="8"/>
  <c r="F485" i="8"/>
  <c r="I485" i="8" s="1"/>
  <c r="C485" i="8"/>
  <c r="J484" i="8"/>
  <c r="F484" i="8"/>
  <c r="I484" i="8" s="1"/>
  <c r="C484" i="8"/>
  <c r="J483" i="8"/>
  <c r="F483" i="8"/>
  <c r="I483" i="8" s="1"/>
  <c r="C483" i="8"/>
  <c r="J482" i="8"/>
  <c r="I482" i="8"/>
  <c r="F482" i="8"/>
  <c r="C482" i="8"/>
  <c r="J481" i="8"/>
  <c r="F481" i="8"/>
  <c r="C481" i="8"/>
  <c r="J480" i="8"/>
  <c r="F480" i="8"/>
  <c r="I480" i="8" s="1"/>
  <c r="C480" i="8"/>
  <c r="J479" i="8"/>
  <c r="F479" i="8"/>
  <c r="C479" i="8"/>
  <c r="J478" i="8"/>
  <c r="F478" i="8"/>
  <c r="I478" i="8" s="1"/>
  <c r="C478" i="8"/>
  <c r="J477" i="8"/>
  <c r="F477" i="8"/>
  <c r="I477" i="8" s="1"/>
  <c r="C477" i="8"/>
  <c r="J476" i="8"/>
  <c r="F476" i="8"/>
  <c r="I476" i="8" s="1"/>
  <c r="C476" i="8"/>
  <c r="J475" i="8"/>
  <c r="I475" i="8"/>
  <c r="F475" i="8"/>
  <c r="C475" i="8"/>
  <c r="J474" i="8"/>
  <c r="I474" i="8"/>
  <c r="F474" i="8"/>
  <c r="C474" i="8"/>
  <c r="J473" i="8"/>
  <c r="F473" i="8"/>
  <c r="C473" i="8"/>
  <c r="J472" i="8"/>
  <c r="I472" i="8"/>
  <c r="F472" i="8"/>
  <c r="C472" i="8"/>
  <c r="J471" i="8"/>
  <c r="F471" i="8"/>
  <c r="I471" i="8" s="1"/>
  <c r="C471" i="8"/>
  <c r="J470" i="8"/>
  <c r="F470" i="8"/>
  <c r="C470" i="8"/>
  <c r="J469" i="8"/>
  <c r="F469" i="8"/>
  <c r="I469" i="8" s="1"/>
  <c r="C469" i="8"/>
  <c r="J468" i="8"/>
  <c r="F468" i="8"/>
  <c r="C468" i="8"/>
  <c r="J467" i="8"/>
  <c r="F467" i="8"/>
  <c r="I467" i="8" s="1"/>
  <c r="C467" i="8"/>
  <c r="J466" i="8"/>
  <c r="I466" i="8"/>
  <c r="F466" i="8"/>
  <c r="C466" i="8"/>
  <c r="J465" i="8"/>
  <c r="F465" i="8"/>
  <c r="C465" i="8"/>
  <c r="J464" i="8"/>
  <c r="F464" i="8"/>
  <c r="I464" i="8" s="1"/>
  <c r="C464" i="8"/>
  <c r="J463" i="8"/>
  <c r="F463" i="8"/>
  <c r="C463" i="8"/>
  <c r="J462" i="8"/>
  <c r="F462" i="8"/>
  <c r="I462" i="8" s="1"/>
  <c r="C462" i="8"/>
  <c r="J461" i="8"/>
  <c r="F461" i="8"/>
  <c r="I461" i="8" s="1"/>
  <c r="C461" i="8"/>
  <c r="J460" i="8"/>
  <c r="F460" i="8"/>
  <c r="C460" i="8"/>
  <c r="J459" i="8"/>
  <c r="F459" i="8"/>
  <c r="I459" i="8" s="1"/>
  <c r="C459" i="8"/>
  <c r="J458" i="8"/>
  <c r="I458" i="8"/>
  <c r="F458" i="8"/>
  <c r="C458" i="8"/>
  <c r="J457" i="8"/>
  <c r="F457" i="8"/>
  <c r="C457" i="8"/>
  <c r="J456" i="8"/>
  <c r="I456" i="8"/>
  <c r="F456" i="8"/>
  <c r="C456" i="8"/>
  <c r="J455" i="8"/>
  <c r="F455" i="8"/>
  <c r="I455" i="8" s="1"/>
  <c r="C455" i="8"/>
  <c r="J454" i="8"/>
  <c r="F454" i="8"/>
  <c r="C454" i="8"/>
  <c r="J453" i="8"/>
  <c r="F453" i="8"/>
  <c r="C453" i="8"/>
  <c r="J452" i="8"/>
  <c r="F452" i="8"/>
  <c r="C452" i="8"/>
  <c r="J451" i="8"/>
  <c r="F451" i="8"/>
  <c r="I451" i="8" s="1"/>
  <c r="C451" i="8"/>
  <c r="J450" i="8"/>
  <c r="I450" i="8"/>
  <c r="F450" i="8"/>
  <c r="C450" i="8"/>
  <c r="J449" i="8"/>
  <c r="F449" i="8"/>
  <c r="C449" i="8"/>
  <c r="J448" i="8"/>
  <c r="F448" i="8"/>
  <c r="I448" i="8" s="1"/>
  <c r="C448" i="8"/>
  <c r="J447" i="8"/>
  <c r="F447" i="8"/>
  <c r="C447" i="8"/>
  <c r="J446" i="8"/>
  <c r="F446" i="8"/>
  <c r="I446" i="8" s="1"/>
  <c r="C446" i="8"/>
  <c r="J445" i="8"/>
  <c r="F445" i="8"/>
  <c r="I445" i="8" s="1"/>
  <c r="C445" i="8"/>
  <c r="J444" i="8"/>
  <c r="F444" i="8"/>
  <c r="I444" i="8" s="1"/>
  <c r="C444" i="8"/>
  <c r="J443" i="8"/>
  <c r="F443" i="8"/>
  <c r="I443" i="8" s="1"/>
  <c r="C443" i="8"/>
  <c r="J442" i="8"/>
  <c r="I442" i="8"/>
  <c r="F442" i="8"/>
  <c r="C442" i="8"/>
  <c r="J441" i="8"/>
  <c r="F441" i="8"/>
  <c r="C441" i="8"/>
  <c r="J440" i="8"/>
  <c r="I440" i="8"/>
  <c r="F440" i="8"/>
  <c r="C440" i="8"/>
  <c r="J439" i="8"/>
  <c r="F439" i="8"/>
  <c r="I439" i="8" s="1"/>
  <c r="C439" i="8"/>
  <c r="J438" i="8"/>
  <c r="F438" i="8"/>
  <c r="C438" i="8"/>
  <c r="J437" i="8"/>
  <c r="F437" i="8"/>
  <c r="C437" i="8"/>
  <c r="J436" i="8"/>
  <c r="F436" i="8"/>
  <c r="I436" i="8" s="1"/>
  <c r="C436" i="8"/>
  <c r="J435" i="8"/>
  <c r="F435" i="8"/>
  <c r="I435" i="8" s="1"/>
  <c r="C435" i="8"/>
  <c r="J434" i="8"/>
  <c r="I434" i="8"/>
  <c r="F434" i="8"/>
  <c r="C434" i="8"/>
  <c r="J433" i="8"/>
  <c r="F433" i="8"/>
  <c r="C433" i="8"/>
  <c r="J432" i="8"/>
  <c r="F432" i="8"/>
  <c r="I432" i="8" s="1"/>
  <c r="C432" i="8"/>
  <c r="J431" i="8"/>
  <c r="F431" i="8"/>
  <c r="C431" i="8"/>
  <c r="J430" i="8"/>
  <c r="F430" i="8"/>
  <c r="C430" i="8"/>
  <c r="J429" i="8"/>
  <c r="F429" i="8"/>
  <c r="I429" i="8" s="1"/>
  <c r="C429" i="8"/>
  <c r="J428" i="8"/>
  <c r="F428" i="8"/>
  <c r="I428" i="8" s="1"/>
  <c r="C428" i="8"/>
  <c r="J427" i="8"/>
  <c r="I427" i="8"/>
  <c r="F427" i="8"/>
  <c r="C427" i="8"/>
  <c r="J426" i="8"/>
  <c r="I426" i="8"/>
  <c r="F426" i="8"/>
  <c r="C426" i="8"/>
  <c r="J425" i="8"/>
  <c r="F425" i="8"/>
  <c r="C425" i="8"/>
  <c r="J424" i="8"/>
  <c r="F424" i="8"/>
  <c r="I424" i="8" s="1"/>
  <c r="C424" i="8"/>
  <c r="J423" i="8"/>
  <c r="F423" i="8"/>
  <c r="I423" i="8" s="1"/>
  <c r="C423" i="8"/>
  <c r="J422" i="8"/>
  <c r="F422" i="8"/>
  <c r="C422" i="8"/>
  <c r="J421" i="8"/>
  <c r="F421" i="8"/>
  <c r="C421" i="8"/>
  <c r="J420" i="8"/>
  <c r="F420" i="8"/>
  <c r="C420" i="8"/>
  <c r="J419" i="8"/>
  <c r="F419" i="8"/>
  <c r="I419" i="8" s="1"/>
  <c r="C419" i="8"/>
  <c r="J418" i="8"/>
  <c r="I418" i="8"/>
  <c r="F418" i="8"/>
  <c r="C418" i="8"/>
  <c r="J417" i="8"/>
  <c r="F417" i="8"/>
  <c r="C417" i="8"/>
  <c r="J416" i="8"/>
  <c r="F416" i="8"/>
  <c r="I416" i="8" s="1"/>
  <c r="C416" i="8"/>
  <c r="J415" i="8"/>
  <c r="F415" i="8"/>
  <c r="I415" i="8" s="1"/>
  <c r="C415" i="8"/>
  <c r="J414" i="8"/>
  <c r="F414" i="8"/>
  <c r="C414" i="8"/>
  <c r="J413" i="8"/>
  <c r="F413" i="8"/>
  <c r="I413" i="8" s="1"/>
  <c r="C413" i="8"/>
  <c r="J412" i="8"/>
  <c r="F412" i="8"/>
  <c r="C412" i="8"/>
  <c r="J411" i="8"/>
  <c r="I411" i="8"/>
  <c r="F411" i="8"/>
  <c r="C411" i="8"/>
  <c r="J410" i="8"/>
  <c r="F410" i="8"/>
  <c r="C410" i="8"/>
  <c r="J409" i="8"/>
  <c r="F409" i="8"/>
  <c r="I409" i="8" s="1"/>
  <c r="C409" i="8"/>
  <c r="J408" i="8"/>
  <c r="F408" i="8"/>
  <c r="C408" i="8"/>
  <c r="J407" i="8"/>
  <c r="I407" i="8"/>
  <c r="F407" i="8"/>
  <c r="C407" i="8"/>
  <c r="J406" i="8"/>
  <c r="F406" i="8"/>
  <c r="C406" i="8"/>
  <c r="J405" i="8"/>
  <c r="F405" i="8"/>
  <c r="I405" i="8" s="1"/>
  <c r="C405" i="8"/>
  <c r="J404" i="8"/>
  <c r="F404" i="8"/>
  <c r="C404" i="8"/>
  <c r="J403" i="8"/>
  <c r="I403" i="8"/>
  <c r="F403" i="8"/>
  <c r="C403" i="8"/>
  <c r="J402" i="8"/>
  <c r="F402" i="8"/>
  <c r="C402" i="8"/>
  <c r="J401" i="8"/>
  <c r="F401" i="8"/>
  <c r="I401" i="8" s="1"/>
  <c r="C401" i="8"/>
  <c r="J400" i="8"/>
  <c r="F400" i="8"/>
  <c r="I400" i="8" s="1"/>
  <c r="C400" i="8"/>
  <c r="J399" i="8"/>
  <c r="I399" i="8"/>
  <c r="F399" i="8"/>
  <c r="C399" i="8"/>
  <c r="J398" i="8"/>
  <c r="F398" i="8"/>
  <c r="C398" i="8"/>
  <c r="J397" i="8"/>
  <c r="F397" i="8"/>
  <c r="I397" i="8" s="1"/>
  <c r="C397" i="8"/>
  <c r="J396" i="8"/>
  <c r="F396" i="8"/>
  <c r="I396" i="8" s="1"/>
  <c r="C396" i="8"/>
  <c r="J395" i="8"/>
  <c r="F395" i="8"/>
  <c r="I395" i="8" s="1"/>
  <c r="C395" i="8"/>
  <c r="J394" i="8"/>
  <c r="F394" i="8"/>
  <c r="I394" i="8" s="1"/>
  <c r="C394" i="8"/>
  <c r="J393" i="8"/>
  <c r="F393" i="8"/>
  <c r="I393" i="8" s="1"/>
  <c r="C393" i="8"/>
  <c r="J392" i="8"/>
  <c r="F392" i="8"/>
  <c r="C392" i="8"/>
  <c r="J391" i="8"/>
  <c r="F391" i="8"/>
  <c r="I391" i="8" s="1"/>
  <c r="C391" i="8"/>
  <c r="J390" i="8"/>
  <c r="F390" i="8"/>
  <c r="C390" i="8"/>
  <c r="J389" i="8"/>
  <c r="F389" i="8"/>
  <c r="I389" i="8" s="1"/>
  <c r="C389" i="8"/>
  <c r="J388" i="8"/>
  <c r="F388" i="8"/>
  <c r="I388" i="8" s="1"/>
  <c r="C388" i="8"/>
  <c r="J387" i="8"/>
  <c r="F387" i="8"/>
  <c r="C387" i="8"/>
  <c r="J386" i="8"/>
  <c r="F386" i="8"/>
  <c r="I386" i="8" s="1"/>
  <c r="C386" i="8"/>
  <c r="J385" i="8"/>
  <c r="F385" i="8"/>
  <c r="I385" i="8" s="1"/>
  <c r="C385" i="8"/>
  <c r="J384" i="8"/>
  <c r="F384" i="8"/>
  <c r="I384" i="8" s="1"/>
  <c r="C384" i="8"/>
  <c r="J383" i="8"/>
  <c r="F383" i="8"/>
  <c r="C383" i="8"/>
  <c r="J382" i="8"/>
  <c r="F382" i="8"/>
  <c r="I382" i="8" s="1"/>
  <c r="C382" i="8"/>
  <c r="J381" i="8"/>
  <c r="F381" i="8"/>
  <c r="I381" i="8" s="1"/>
  <c r="C381" i="8"/>
  <c r="J380" i="8"/>
  <c r="F380" i="8"/>
  <c r="I380" i="8" s="1"/>
  <c r="C380" i="8"/>
  <c r="J379" i="8"/>
  <c r="I379" i="8"/>
  <c r="F379" i="8"/>
  <c r="C379" i="8"/>
  <c r="J378" i="8"/>
  <c r="F378" i="8"/>
  <c r="I378" i="8" s="1"/>
  <c r="C378" i="8"/>
  <c r="J377" i="8"/>
  <c r="F377" i="8"/>
  <c r="C377" i="8"/>
  <c r="J376" i="8"/>
  <c r="F376" i="8"/>
  <c r="C376" i="8"/>
  <c r="J375" i="8"/>
  <c r="I375" i="8"/>
  <c r="F375" i="8"/>
  <c r="C375" i="8"/>
  <c r="J374" i="8"/>
  <c r="F374" i="8"/>
  <c r="C374" i="8"/>
  <c r="J373" i="8"/>
  <c r="F373" i="8"/>
  <c r="I373" i="8" s="1"/>
  <c r="C373" i="8"/>
  <c r="J372" i="8"/>
  <c r="F372" i="8"/>
  <c r="I372" i="8" s="1"/>
  <c r="C372" i="8"/>
  <c r="J371" i="8"/>
  <c r="I371" i="8"/>
  <c r="F371" i="8"/>
  <c r="C371" i="8"/>
  <c r="J370" i="8"/>
  <c r="F370" i="8"/>
  <c r="C370" i="8"/>
  <c r="J369" i="8"/>
  <c r="F369" i="8"/>
  <c r="C369" i="8"/>
  <c r="J368" i="8"/>
  <c r="F368" i="8"/>
  <c r="I368" i="8" s="1"/>
  <c r="C368" i="8"/>
  <c r="J367" i="8"/>
  <c r="F367" i="8"/>
  <c r="I367" i="8" s="1"/>
  <c r="C367" i="8"/>
  <c r="J366" i="8"/>
  <c r="F366" i="8"/>
  <c r="C366" i="8"/>
  <c r="J365" i="8"/>
  <c r="F365" i="8"/>
  <c r="I365" i="8" s="1"/>
  <c r="C365" i="8"/>
  <c r="J364" i="8"/>
  <c r="F364" i="8"/>
  <c r="I364" i="8" s="1"/>
  <c r="C364" i="8"/>
  <c r="J363" i="8"/>
  <c r="I363" i="8"/>
  <c r="F363" i="8"/>
  <c r="C363" i="8"/>
  <c r="J362" i="8"/>
  <c r="F362" i="8"/>
  <c r="I362" i="8" s="1"/>
  <c r="C362" i="8"/>
  <c r="J361" i="8"/>
  <c r="F361" i="8"/>
  <c r="C361" i="8"/>
  <c r="J360" i="8"/>
  <c r="F360" i="8"/>
  <c r="C360" i="8"/>
  <c r="J359" i="8"/>
  <c r="I359" i="8"/>
  <c r="F359" i="8"/>
  <c r="C359" i="8"/>
  <c r="J358" i="8"/>
  <c r="F358" i="8"/>
  <c r="I358" i="8" s="1"/>
  <c r="C358" i="8"/>
  <c r="J357" i="8"/>
  <c r="F357" i="8"/>
  <c r="I357" i="8" s="1"/>
  <c r="C357" i="8"/>
  <c r="J356" i="8"/>
  <c r="F356" i="8"/>
  <c r="I356" i="8" s="1"/>
  <c r="C356" i="8"/>
  <c r="J355" i="8"/>
  <c r="F355" i="8"/>
  <c r="I355" i="8" s="1"/>
  <c r="C355" i="8"/>
  <c r="J354" i="8"/>
  <c r="F354" i="8"/>
  <c r="C354" i="8"/>
  <c r="J353" i="8"/>
  <c r="F353" i="8"/>
  <c r="C353" i="8"/>
  <c r="J352" i="8"/>
  <c r="F352" i="8"/>
  <c r="I352" i="8" s="1"/>
  <c r="C352" i="8"/>
  <c r="J351" i="8"/>
  <c r="F351" i="8"/>
  <c r="I351" i="8" s="1"/>
  <c r="C351" i="8"/>
  <c r="J350" i="8"/>
  <c r="F350" i="8"/>
  <c r="C350" i="8"/>
  <c r="J349" i="8"/>
  <c r="F349" i="8"/>
  <c r="I349" i="8" s="1"/>
  <c r="C349" i="8"/>
  <c r="J348" i="8"/>
  <c r="F348" i="8"/>
  <c r="C348" i="8"/>
  <c r="J347" i="8"/>
  <c r="I347" i="8"/>
  <c r="F347" i="8"/>
  <c r="C347" i="8"/>
  <c r="J346" i="8"/>
  <c r="F346" i="8"/>
  <c r="I346" i="8" s="1"/>
  <c r="C346" i="8"/>
  <c r="J345" i="8"/>
  <c r="F345" i="8"/>
  <c r="C345" i="8"/>
  <c r="J344" i="8"/>
  <c r="F344" i="8"/>
  <c r="C344" i="8"/>
  <c r="J343" i="8"/>
  <c r="I343" i="8"/>
  <c r="F343" i="8"/>
  <c r="C343" i="8"/>
  <c r="J342" i="8"/>
  <c r="F342" i="8"/>
  <c r="C342" i="8"/>
  <c r="J341" i="8"/>
  <c r="F341" i="8"/>
  <c r="I341" i="8" s="1"/>
  <c r="C341" i="8"/>
  <c r="J340" i="8"/>
  <c r="F340" i="8"/>
  <c r="I340" i="8" s="1"/>
  <c r="C340" i="8"/>
  <c r="J339" i="8"/>
  <c r="F339" i="8"/>
  <c r="I339" i="8" s="1"/>
  <c r="C339" i="8"/>
  <c r="J338" i="8"/>
  <c r="F338" i="8"/>
  <c r="C338" i="8"/>
  <c r="J337" i="8"/>
  <c r="F337" i="8"/>
  <c r="C337" i="8"/>
  <c r="J336" i="8"/>
  <c r="F336" i="8"/>
  <c r="I336" i="8" s="1"/>
  <c r="C336" i="8"/>
  <c r="J335" i="8"/>
  <c r="F335" i="8"/>
  <c r="I335" i="8" s="1"/>
  <c r="C335" i="8"/>
  <c r="J334" i="8"/>
  <c r="F334" i="8"/>
  <c r="C334" i="8"/>
  <c r="J333" i="8"/>
  <c r="F333" i="8"/>
  <c r="I333" i="8" s="1"/>
  <c r="C333" i="8"/>
  <c r="J332" i="8"/>
  <c r="F332" i="8"/>
  <c r="C332" i="8"/>
  <c r="J331" i="8"/>
  <c r="I331" i="8"/>
  <c r="F331" i="8"/>
  <c r="C331" i="8"/>
  <c r="J330" i="8"/>
  <c r="F330" i="8"/>
  <c r="I330" i="8" s="1"/>
  <c r="C330" i="8"/>
  <c r="J329" i="8"/>
  <c r="F329" i="8"/>
  <c r="I329" i="8" s="1"/>
  <c r="C329" i="8"/>
  <c r="J328" i="8"/>
  <c r="F328" i="8"/>
  <c r="C328" i="8"/>
  <c r="J327" i="8"/>
  <c r="I327" i="8"/>
  <c r="F327" i="8"/>
  <c r="C327" i="8"/>
  <c r="J326" i="8"/>
  <c r="F326" i="8"/>
  <c r="I326" i="8" s="1"/>
  <c r="C326" i="8"/>
  <c r="J325" i="8"/>
  <c r="F325" i="8"/>
  <c r="I325" i="8" s="1"/>
  <c r="C325" i="8"/>
  <c r="J324" i="8"/>
  <c r="F324" i="8"/>
  <c r="I324" i="8" s="1"/>
  <c r="C324" i="8"/>
  <c r="J323" i="8"/>
  <c r="F323" i="8"/>
  <c r="I323" i="8" s="1"/>
  <c r="C323" i="8"/>
  <c r="J322" i="8"/>
  <c r="F322" i="8"/>
  <c r="C322" i="8"/>
  <c r="J321" i="8"/>
  <c r="F321" i="8"/>
  <c r="C321" i="8"/>
  <c r="J320" i="8"/>
  <c r="F320" i="8"/>
  <c r="I320" i="8" s="1"/>
  <c r="C320" i="8"/>
  <c r="J319" i="8"/>
  <c r="F319" i="8"/>
  <c r="I319" i="8" s="1"/>
  <c r="C319" i="8"/>
  <c r="J318" i="8"/>
  <c r="F318" i="8"/>
  <c r="C318" i="8"/>
  <c r="J317" i="8"/>
  <c r="F317" i="8"/>
  <c r="I317" i="8" s="1"/>
  <c r="C317" i="8"/>
  <c r="J316" i="8"/>
  <c r="F316" i="8"/>
  <c r="C316" i="8"/>
  <c r="J315" i="8"/>
  <c r="I315" i="8"/>
  <c r="F315" i="8"/>
  <c r="C315" i="8"/>
  <c r="J314" i="8"/>
  <c r="F314" i="8"/>
  <c r="I314" i="8" s="1"/>
  <c r="C314" i="8"/>
  <c r="J313" i="8"/>
  <c r="F313" i="8"/>
  <c r="I313" i="8" s="1"/>
  <c r="C313" i="8"/>
  <c r="J312" i="8"/>
  <c r="F312" i="8"/>
  <c r="C312" i="8"/>
  <c r="J311" i="8"/>
  <c r="I311" i="8"/>
  <c r="F311" i="8"/>
  <c r="C311" i="8"/>
  <c r="J310" i="8"/>
  <c r="F310" i="8"/>
  <c r="I310" i="8" s="1"/>
  <c r="C310" i="8"/>
  <c r="J309" i="8"/>
  <c r="F309" i="8"/>
  <c r="I309" i="8" s="1"/>
  <c r="C309" i="8"/>
  <c r="J308" i="8"/>
  <c r="F308" i="8"/>
  <c r="I308" i="8" s="1"/>
  <c r="C308" i="8"/>
  <c r="J307" i="8"/>
  <c r="F307" i="8"/>
  <c r="I307" i="8" s="1"/>
  <c r="C307" i="8"/>
  <c r="J306" i="8"/>
  <c r="F306" i="8"/>
  <c r="C306" i="8"/>
  <c r="J305" i="8"/>
  <c r="F305" i="8"/>
  <c r="C305" i="8"/>
  <c r="J304" i="8"/>
  <c r="F304" i="8"/>
  <c r="I304" i="8" s="1"/>
  <c r="C304" i="8"/>
  <c r="J303" i="8"/>
  <c r="F303" i="8"/>
  <c r="I303" i="8" s="1"/>
  <c r="C303" i="8"/>
  <c r="J302" i="8"/>
  <c r="F302" i="8"/>
  <c r="C302" i="8"/>
  <c r="J301" i="8"/>
  <c r="F301" i="8"/>
  <c r="I301" i="8" s="1"/>
  <c r="C301" i="8"/>
  <c r="J300" i="8"/>
  <c r="F300" i="8"/>
  <c r="C300" i="8"/>
  <c r="J299" i="8"/>
  <c r="I299" i="8"/>
  <c r="F299" i="8"/>
  <c r="C299" i="8"/>
  <c r="J298" i="8"/>
  <c r="F298" i="8"/>
  <c r="I298" i="8" s="1"/>
  <c r="C298" i="8"/>
  <c r="J297" i="8"/>
  <c r="F297" i="8"/>
  <c r="I297" i="8" s="1"/>
  <c r="C297" i="8"/>
  <c r="J296" i="8"/>
  <c r="F296" i="8"/>
  <c r="C296" i="8"/>
  <c r="J295" i="8"/>
  <c r="I295" i="8"/>
  <c r="F295" i="8"/>
  <c r="C295" i="8"/>
  <c r="J294" i="8"/>
  <c r="F294" i="8"/>
  <c r="I294" i="8" s="1"/>
  <c r="C294" i="8"/>
  <c r="J293" i="8"/>
  <c r="F293" i="8"/>
  <c r="I293" i="8" s="1"/>
  <c r="C293" i="8"/>
  <c r="J292" i="8"/>
  <c r="F292" i="8"/>
  <c r="I292" i="8" s="1"/>
  <c r="C292" i="8"/>
  <c r="J291" i="8"/>
  <c r="F291" i="8"/>
  <c r="I291" i="8" s="1"/>
  <c r="C291" i="8"/>
  <c r="J290" i="8"/>
  <c r="F290" i="8"/>
  <c r="C290" i="8"/>
  <c r="J289" i="8"/>
  <c r="F289" i="8"/>
  <c r="C289" i="8"/>
  <c r="J288" i="8"/>
  <c r="F288" i="8"/>
  <c r="I288" i="8" s="1"/>
  <c r="C288" i="8"/>
  <c r="J287" i="8"/>
  <c r="F287" i="8"/>
  <c r="I287" i="8" s="1"/>
  <c r="C287" i="8"/>
  <c r="J286" i="8"/>
  <c r="F286" i="8"/>
  <c r="C286" i="8"/>
  <c r="J285" i="8"/>
  <c r="F285" i="8"/>
  <c r="I285" i="8" s="1"/>
  <c r="C285" i="8"/>
  <c r="J284" i="8"/>
  <c r="F284" i="8"/>
  <c r="C284" i="8"/>
  <c r="J283" i="8"/>
  <c r="I283" i="8"/>
  <c r="F283" i="8"/>
  <c r="C283" i="8"/>
  <c r="J282" i="8"/>
  <c r="F282" i="8"/>
  <c r="I282" i="8" s="1"/>
  <c r="C282" i="8"/>
  <c r="J281" i="8"/>
  <c r="F281" i="8"/>
  <c r="I281" i="8" s="1"/>
  <c r="C281" i="8"/>
  <c r="J280" i="8"/>
  <c r="F280" i="8"/>
  <c r="C280" i="8"/>
  <c r="J279" i="8"/>
  <c r="I279" i="8"/>
  <c r="F279" i="8"/>
  <c r="C279" i="8"/>
  <c r="J278" i="8"/>
  <c r="F278" i="8"/>
  <c r="I278" i="8" s="1"/>
  <c r="C278" i="8"/>
  <c r="J277" i="8"/>
  <c r="F277" i="8"/>
  <c r="I277" i="8" s="1"/>
  <c r="C277" i="8"/>
  <c r="J276" i="8"/>
  <c r="F276" i="8"/>
  <c r="I276" i="8" s="1"/>
  <c r="C276" i="8"/>
  <c r="J275" i="8"/>
  <c r="F275" i="8"/>
  <c r="I275" i="8" s="1"/>
  <c r="C275" i="8"/>
  <c r="J274" i="8"/>
  <c r="F274" i="8"/>
  <c r="C274" i="8"/>
  <c r="J273" i="8"/>
  <c r="F273" i="8"/>
  <c r="C273" i="8"/>
  <c r="J272" i="8"/>
  <c r="F272" i="8"/>
  <c r="I272" i="8" s="1"/>
  <c r="C272" i="8"/>
  <c r="J271" i="8"/>
  <c r="F271" i="8"/>
  <c r="I271" i="8" s="1"/>
  <c r="C271" i="8"/>
  <c r="J270" i="8"/>
  <c r="F270" i="8"/>
  <c r="C270" i="8"/>
  <c r="J269" i="8"/>
  <c r="F269" i="8"/>
  <c r="I269" i="8" s="1"/>
  <c r="C269" i="8"/>
  <c r="J268" i="8"/>
  <c r="F268" i="8"/>
  <c r="C268" i="8"/>
  <c r="J267" i="8"/>
  <c r="F267" i="8"/>
  <c r="C267" i="8"/>
  <c r="J266" i="8"/>
  <c r="F266" i="8"/>
  <c r="I266" i="8" s="1"/>
  <c r="C266" i="8"/>
  <c r="J265" i="8"/>
  <c r="F265" i="8"/>
  <c r="I265" i="8" s="1"/>
  <c r="C265" i="8"/>
  <c r="J264" i="8"/>
  <c r="F264" i="8"/>
  <c r="C264" i="8"/>
  <c r="J263" i="8"/>
  <c r="I263" i="8"/>
  <c r="F263" i="8"/>
  <c r="C263" i="8"/>
  <c r="J262" i="8"/>
  <c r="F262" i="8"/>
  <c r="I262" i="8" s="1"/>
  <c r="C262" i="8"/>
  <c r="J261" i="8"/>
  <c r="F261" i="8"/>
  <c r="I261" i="8" s="1"/>
  <c r="C261" i="8"/>
  <c r="J260" i="8"/>
  <c r="F260" i="8"/>
  <c r="C260" i="8"/>
  <c r="J259" i="8"/>
  <c r="F259" i="8"/>
  <c r="I259" i="8" s="1"/>
  <c r="C259" i="8"/>
  <c r="J258" i="8"/>
  <c r="F258" i="8"/>
  <c r="C258" i="8"/>
  <c r="J257" i="8"/>
  <c r="F257" i="8"/>
  <c r="C257" i="8"/>
  <c r="J256" i="8"/>
  <c r="F256" i="8"/>
  <c r="C256" i="8"/>
  <c r="J255" i="8"/>
  <c r="F255" i="8"/>
  <c r="I255" i="8" s="1"/>
  <c r="C255" i="8"/>
  <c r="J254" i="8"/>
  <c r="F254" i="8"/>
  <c r="C254" i="8"/>
  <c r="J253" i="8"/>
  <c r="F253" i="8"/>
  <c r="I253" i="8" s="1"/>
  <c r="C253" i="8"/>
  <c r="J252" i="8"/>
  <c r="F252" i="8"/>
  <c r="C252" i="8"/>
  <c r="J251" i="8"/>
  <c r="F251" i="8"/>
  <c r="C251" i="8"/>
  <c r="J250" i="8"/>
  <c r="F250" i="8"/>
  <c r="I250" i="8" s="1"/>
  <c r="C250" i="8"/>
  <c r="J249" i="8"/>
  <c r="F249" i="8"/>
  <c r="I249" i="8" s="1"/>
  <c r="C249" i="8"/>
  <c r="J248" i="8"/>
  <c r="F248" i="8"/>
  <c r="C248" i="8"/>
  <c r="J247" i="8"/>
  <c r="I247" i="8"/>
  <c r="F247" i="8"/>
  <c r="C247" i="8"/>
  <c r="J246" i="8"/>
  <c r="F246" i="8"/>
  <c r="I246" i="8" s="1"/>
  <c r="C246" i="8"/>
  <c r="J245" i="8"/>
  <c r="F245" i="8"/>
  <c r="I245" i="8" s="1"/>
  <c r="C245" i="8"/>
  <c r="J244" i="8"/>
  <c r="F244" i="8"/>
  <c r="C244" i="8"/>
  <c r="J243" i="8"/>
  <c r="F243" i="8"/>
  <c r="I243" i="8" s="1"/>
  <c r="C243" i="8"/>
  <c r="J242" i="8"/>
  <c r="F242" i="8"/>
  <c r="C242" i="8"/>
  <c r="J241" i="8"/>
  <c r="F241" i="8"/>
  <c r="C241" i="8"/>
  <c r="J240" i="8"/>
  <c r="F240" i="8"/>
  <c r="I240" i="8" s="1"/>
  <c r="C240" i="8"/>
  <c r="J239" i="8"/>
  <c r="F239" i="8"/>
  <c r="I239" i="8" s="1"/>
  <c r="C239" i="8"/>
  <c r="J238" i="8"/>
  <c r="F238" i="8"/>
  <c r="C238" i="8"/>
  <c r="J237" i="8"/>
  <c r="F237" i="8"/>
  <c r="I237" i="8" s="1"/>
  <c r="C237" i="8"/>
  <c r="J236" i="8"/>
  <c r="F236" i="8"/>
  <c r="C236" i="8"/>
  <c r="J235" i="8"/>
  <c r="F235" i="8"/>
  <c r="I235" i="8" s="1"/>
  <c r="C235" i="8"/>
  <c r="J234" i="8"/>
  <c r="F234" i="8"/>
  <c r="I234" i="8" s="1"/>
  <c r="C234" i="8"/>
  <c r="J233" i="8"/>
  <c r="F233" i="8"/>
  <c r="I233" i="8" s="1"/>
  <c r="C233" i="8"/>
  <c r="J232" i="8"/>
  <c r="F232" i="8"/>
  <c r="C232" i="8"/>
  <c r="J231" i="8"/>
  <c r="F231" i="8"/>
  <c r="C231" i="8"/>
  <c r="J230" i="8"/>
  <c r="F230" i="8"/>
  <c r="I230" i="8" s="1"/>
  <c r="C230" i="8"/>
  <c r="J229" i="8"/>
  <c r="F229" i="8"/>
  <c r="I229" i="8" s="1"/>
  <c r="C229" i="8"/>
  <c r="J228" i="8"/>
  <c r="F228" i="8"/>
  <c r="C228" i="8"/>
  <c r="J227" i="8"/>
  <c r="F227" i="8"/>
  <c r="I227" i="8" s="1"/>
  <c r="C227" i="8"/>
  <c r="J226" i="8"/>
  <c r="F226" i="8"/>
  <c r="C226" i="8"/>
  <c r="J225" i="8"/>
  <c r="F225" i="8"/>
  <c r="C225" i="8"/>
  <c r="J224" i="8"/>
  <c r="F224" i="8"/>
  <c r="C224" i="8"/>
  <c r="J223" i="8"/>
  <c r="F223" i="8"/>
  <c r="I223" i="8" s="1"/>
  <c r="C223" i="8"/>
  <c r="J222" i="8"/>
  <c r="F222" i="8"/>
  <c r="C222" i="8"/>
  <c r="J221" i="8"/>
  <c r="F221" i="8"/>
  <c r="I221" i="8" s="1"/>
  <c r="C221" i="8"/>
  <c r="J220" i="8"/>
  <c r="F220" i="8"/>
  <c r="C220" i="8"/>
  <c r="J219" i="8"/>
  <c r="F219" i="8"/>
  <c r="I219" i="8" s="1"/>
  <c r="C219" i="8"/>
  <c r="J218" i="8"/>
  <c r="F218" i="8"/>
  <c r="C218" i="8"/>
  <c r="J217" i="8"/>
  <c r="F217" i="8"/>
  <c r="I217" i="8" s="1"/>
  <c r="C217" i="8"/>
  <c r="J216" i="8"/>
  <c r="F216" i="8"/>
  <c r="C216" i="8"/>
  <c r="J215" i="8"/>
  <c r="F215" i="8"/>
  <c r="C215" i="8"/>
  <c r="J214" i="8"/>
  <c r="F214" i="8"/>
  <c r="I214" i="8" s="1"/>
  <c r="C214" i="8"/>
  <c r="J213" i="8"/>
  <c r="F213" i="8"/>
  <c r="I213" i="8" s="1"/>
  <c r="C213" i="8"/>
  <c r="J212" i="8"/>
  <c r="F212" i="8"/>
  <c r="C212" i="8"/>
  <c r="J211" i="8"/>
  <c r="F211" i="8"/>
  <c r="I211" i="8" s="1"/>
  <c r="C211" i="8"/>
  <c r="J210" i="8"/>
  <c r="F210" i="8"/>
  <c r="C210" i="8"/>
  <c r="J209" i="8"/>
  <c r="F209" i="8"/>
  <c r="C209" i="8"/>
  <c r="J208" i="8"/>
  <c r="F208" i="8"/>
  <c r="I208" i="8" s="1"/>
  <c r="C208" i="8"/>
  <c r="J207" i="8"/>
  <c r="I207" i="8"/>
  <c r="F207" i="8"/>
  <c r="C207" i="8"/>
  <c r="J206" i="8"/>
  <c r="F206" i="8"/>
  <c r="I206" i="8" s="1"/>
  <c r="C206" i="8"/>
  <c r="J205" i="8"/>
  <c r="F205" i="8"/>
  <c r="I205" i="8" s="1"/>
  <c r="C205" i="8"/>
  <c r="J204" i="8"/>
  <c r="F204" i="8"/>
  <c r="I204" i="8" s="1"/>
  <c r="C204" i="8"/>
  <c r="J203" i="8"/>
  <c r="I203" i="8"/>
  <c r="F203" i="8"/>
  <c r="C203" i="8"/>
  <c r="J202" i="8"/>
  <c r="F202" i="8"/>
  <c r="I202" i="8" s="1"/>
  <c r="C202" i="8"/>
  <c r="J201" i="8"/>
  <c r="F201" i="8"/>
  <c r="C201" i="8"/>
  <c r="J200" i="8"/>
  <c r="F200" i="8"/>
  <c r="I200" i="8" s="1"/>
  <c r="C200" i="8"/>
  <c r="J199" i="8"/>
  <c r="I199" i="8"/>
  <c r="F199" i="8"/>
  <c r="C199" i="8"/>
  <c r="J198" i="8"/>
  <c r="F198" i="8"/>
  <c r="I198" i="8" s="1"/>
  <c r="C198" i="8"/>
  <c r="J197" i="8"/>
  <c r="F197" i="8"/>
  <c r="I197" i="8" s="1"/>
  <c r="C197" i="8"/>
  <c r="J196" i="8"/>
  <c r="F196" i="8"/>
  <c r="I196" i="8" s="1"/>
  <c r="C196" i="8"/>
  <c r="J195" i="8"/>
  <c r="I195" i="8"/>
  <c r="F195" i="8"/>
  <c r="C195" i="8"/>
  <c r="J194" i="8"/>
  <c r="F194" i="8"/>
  <c r="I194" i="8" s="1"/>
  <c r="C194" i="8"/>
  <c r="J193" i="8"/>
  <c r="F193" i="8"/>
  <c r="C193" i="8"/>
  <c r="J192" i="8"/>
  <c r="F192" i="8"/>
  <c r="I192" i="8" s="1"/>
  <c r="C192" i="8"/>
  <c r="J191" i="8"/>
  <c r="I191" i="8"/>
  <c r="F191" i="8"/>
  <c r="C191" i="8"/>
  <c r="J190" i="8"/>
  <c r="F190" i="8"/>
  <c r="C190" i="8"/>
  <c r="J189" i="8"/>
  <c r="F189" i="8"/>
  <c r="I189" i="8" s="1"/>
  <c r="C189" i="8"/>
  <c r="J188" i="8"/>
  <c r="F188" i="8"/>
  <c r="I188" i="8" s="1"/>
  <c r="C188" i="8"/>
  <c r="J187" i="8"/>
  <c r="F187" i="8"/>
  <c r="I187" i="8" s="1"/>
  <c r="C187" i="8"/>
  <c r="J186" i="8"/>
  <c r="F186" i="8"/>
  <c r="I186" i="8" s="1"/>
  <c r="C186" i="8"/>
  <c r="J185" i="8"/>
  <c r="F185" i="8"/>
  <c r="I185" i="8" s="1"/>
  <c r="C185" i="8"/>
  <c r="J184" i="8"/>
  <c r="F184" i="8"/>
  <c r="I184" i="8" s="1"/>
  <c r="C184" i="8"/>
  <c r="J183" i="8"/>
  <c r="F183" i="8"/>
  <c r="I183" i="8" s="1"/>
  <c r="C183" i="8"/>
  <c r="J182" i="8"/>
  <c r="F182" i="8"/>
  <c r="I182" i="8" s="1"/>
  <c r="C182" i="8"/>
  <c r="J181" i="8"/>
  <c r="F181" i="8"/>
  <c r="I181" i="8" s="1"/>
  <c r="C181" i="8"/>
  <c r="J180" i="8"/>
  <c r="F180" i="8"/>
  <c r="I180" i="8" s="1"/>
  <c r="C180" i="8"/>
  <c r="J179" i="8"/>
  <c r="F179" i="8"/>
  <c r="I179" i="8" s="1"/>
  <c r="C179" i="8"/>
  <c r="J178" i="8"/>
  <c r="F178" i="8"/>
  <c r="I178" i="8" s="1"/>
  <c r="C178" i="8"/>
  <c r="J177" i="8"/>
  <c r="F177" i="8"/>
  <c r="I177" i="8" s="1"/>
  <c r="C177" i="8"/>
  <c r="J176" i="8"/>
  <c r="F176" i="8"/>
  <c r="I176" i="8" s="1"/>
  <c r="C176" i="8"/>
  <c r="J175" i="8"/>
  <c r="F175" i="8"/>
  <c r="I175" i="8" s="1"/>
  <c r="C175" i="8"/>
  <c r="J174" i="8"/>
  <c r="F174" i="8"/>
  <c r="I174" i="8" s="1"/>
  <c r="C174" i="8"/>
  <c r="J173" i="8"/>
  <c r="F173" i="8"/>
  <c r="I173" i="8" s="1"/>
  <c r="C173" i="8"/>
  <c r="J172" i="8"/>
  <c r="F172" i="8"/>
  <c r="I172" i="8" s="1"/>
  <c r="C172" i="8"/>
  <c r="J171" i="8"/>
  <c r="F171" i="8"/>
  <c r="I171" i="8" s="1"/>
  <c r="C171" i="8"/>
  <c r="J170" i="8"/>
  <c r="F170" i="8"/>
  <c r="I170" i="8" s="1"/>
  <c r="C170" i="8"/>
  <c r="J169" i="8"/>
  <c r="F169" i="8"/>
  <c r="I169" i="8" s="1"/>
  <c r="C169" i="8"/>
  <c r="J168" i="8"/>
  <c r="F168" i="8"/>
  <c r="I168" i="8" s="1"/>
  <c r="C168" i="8"/>
  <c r="J167" i="8"/>
  <c r="F167" i="8"/>
  <c r="I167" i="8" s="1"/>
  <c r="C167" i="8"/>
  <c r="J166" i="8"/>
  <c r="F166" i="8"/>
  <c r="I166" i="8" s="1"/>
  <c r="C166" i="8"/>
  <c r="J165" i="8"/>
  <c r="F165" i="8"/>
  <c r="I165" i="8" s="1"/>
  <c r="C165" i="8"/>
  <c r="J164" i="8"/>
  <c r="F164" i="8"/>
  <c r="I164" i="8" s="1"/>
  <c r="C164" i="8"/>
  <c r="J163" i="8"/>
  <c r="F163" i="8"/>
  <c r="I163" i="8" s="1"/>
  <c r="C163" i="8"/>
  <c r="J162" i="8"/>
  <c r="F162" i="8"/>
  <c r="I162" i="8" s="1"/>
  <c r="C162" i="8"/>
  <c r="J161" i="8"/>
  <c r="F161" i="8"/>
  <c r="I161" i="8" s="1"/>
  <c r="C161" i="8"/>
  <c r="J160" i="8"/>
  <c r="F160" i="8"/>
  <c r="I160" i="8" s="1"/>
  <c r="C160" i="8"/>
  <c r="J159" i="8"/>
  <c r="F159" i="8"/>
  <c r="I159" i="8" s="1"/>
  <c r="C159" i="8"/>
  <c r="J158" i="8"/>
  <c r="F158" i="8"/>
  <c r="I158" i="8" s="1"/>
  <c r="C158" i="8"/>
  <c r="J157" i="8"/>
  <c r="F157" i="8"/>
  <c r="I157" i="8" s="1"/>
  <c r="C157" i="8"/>
  <c r="J156" i="8"/>
  <c r="F156" i="8"/>
  <c r="I156" i="8" s="1"/>
  <c r="C156" i="8"/>
  <c r="J155" i="8"/>
  <c r="F155" i="8"/>
  <c r="I155" i="8" s="1"/>
  <c r="C155" i="8"/>
  <c r="J154" i="8"/>
  <c r="F154" i="8"/>
  <c r="I154" i="8" s="1"/>
  <c r="C154" i="8"/>
  <c r="J153" i="8"/>
  <c r="F153" i="8"/>
  <c r="I153" i="8" s="1"/>
  <c r="C153" i="8"/>
  <c r="J152" i="8"/>
  <c r="F152" i="8"/>
  <c r="I152" i="8" s="1"/>
  <c r="C152" i="8"/>
  <c r="J151" i="8"/>
  <c r="F151" i="8"/>
  <c r="I151" i="8" s="1"/>
  <c r="C151" i="8"/>
  <c r="J150" i="8"/>
  <c r="F150" i="8"/>
  <c r="I150" i="8" s="1"/>
  <c r="C150" i="8"/>
  <c r="J149" i="8"/>
  <c r="F149" i="8"/>
  <c r="I149" i="8" s="1"/>
  <c r="C149" i="8"/>
  <c r="J148" i="8"/>
  <c r="F148" i="8"/>
  <c r="I148" i="8" s="1"/>
  <c r="C148" i="8"/>
  <c r="J147" i="8"/>
  <c r="F147" i="8"/>
  <c r="I147" i="8" s="1"/>
  <c r="C147" i="8"/>
  <c r="J146" i="8"/>
  <c r="F146" i="8"/>
  <c r="I146" i="8" s="1"/>
  <c r="C146" i="8"/>
  <c r="J145" i="8"/>
  <c r="F145" i="8"/>
  <c r="I145" i="8" s="1"/>
  <c r="C145" i="8"/>
  <c r="J144" i="8"/>
  <c r="F144" i="8"/>
  <c r="I144" i="8" s="1"/>
  <c r="C144" i="8"/>
  <c r="J143" i="8"/>
  <c r="F143" i="8"/>
  <c r="I143" i="8" s="1"/>
  <c r="C143" i="8"/>
  <c r="J142" i="8"/>
  <c r="F142" i="8"/>
  <c r="I142" i="8" s="1"/>
  <c r="C142" i="8"/>
  <c r="J141" i="8"/>
  <c r="F141" i="8"/>
  <c r="I141" i="8" s="1"/>
  <c r="C141" i="8"/>
  <c r="J140" i="8"/>
  <c r="F140" i="8"/>
  <c r="I140" i="8" s="1"/>
  <c r="C140" i="8"/>
  <c r="J139" i="8"/>
  <c r="F139" i="8"/>
  <c r="I139" i="8" s="1"/>
  <c r="C139" i="8"/>
  <c r="J138" i="8"/>
  <c r="F138" i="8"/>
  <c r="I138" i="8" s="1"/>
  <c r="C138" i="8"/>
  <c r="J137" i="8"/>
  <c r="F137" i="8"/>
  <c r="I137" i="8" s="1"/>
  <c r="C137" i="8"/>
  <c r="J136" i="8"/>
  <c r="F136" i="8"/>
  <c r="I136" i="8" s="1"/>
  <c r="C136" i="8"/>
  <c r="J135" i="8"/>
  <c r="F135" i="8"/>
  <c r="I135" i="8" s="1"/>
  <c r="C135" i="8"/>
  <c r="J134" i="8"/>
  <c r="F134" i="8"/>
  <c r="I134" i="8" s="1"/>
  <c r="C134" i="8"/>
  <c r="J133" i="8"/>
  <c r="F133" i="8"/>
  <c r="I133" i="8" s="1"/>
  <c r="C133" i="8"/>
  <c r="J132" i="8"/>
  <c r="F132" i="8"/>
  <c r="I132" i="8" s="1"/>
  <c r="C132" i="8"/>
  <c r="J131" i="8"/>
  <c r="F131" i="8"/>
  <c r="I131" i="8" s="1"/>
  <c r="C131" i="8"/>
  <c r="J130" i="8"/>
  <c r="F130" i="8"/>
  <c r="I130" i="8" s="1"/>
  <c r="C130" i="8"/>
  <c r="J129" i="8"/>
  <c r="F129" i="8"/>
  <c r="I129" i="8" s="1"/>
  <c r="C129" i="8"/>
  <c r="J128" i="8"/>
  <c r="F128" i="8"/>
  <c r="C128" i="8"/>
  <c r="J127" i="8"/>
  <c r="F127" i="8"/>
  <c r="I127" i="8" s="1"/>
  <c r="C127" i="8"/>
  <c r="J126" i="8"/>
  <c r="F126" i="8"/>
  <c r="I126" i="8" s="1"/>
  <c r="C126" i="8"/>
  <c r="J125" i="8"/>
  <c r="F125" i="8"/>
  <c r="C125" i="8"/>
  <c r="J124" i="8"/>
  <c r="F124" i="8"/>
  <c r="I124" i="8" s="1"/>
  <c r="C124" i="8"/>
  <c r="J123" i="8"/>
  <c r="F123" i="8"/>
  <c r="I123" i="8" s="1"/>
  <c r="C123" i="8"/>
  <c r="J122" i="8"/>
  <c r="I122" i="8"/>
  <c r="F122" i="8"/>
  <c r="C122" i="8"/>
  <c r="J121" i="8"/>
  <c r="F121" i="8"/>
  <c r="C121" i="8"/>
  <c r="J120" i="8"/>
  <c r="F120" i="8"/>
  <c r="I120" i="8" s="1"/>
  <c r="C120" i="8"/>
  <c r="J119" i="8"/>
  <c r="F119" i="8"/>
  <c r="C119" i="8"/>
  <c r="J118" i="8"/>
  <c r="I118" i="8"/>
  <c r="F118" i="8"/>
  <c r="C118" i="8"/>
  <c r="J117" i="8"/>
  <c r="F117" i="8"/>
  <c r="C117" i="8"/>
  <c r="J116" i="8"/>
  <c r="F116" i="8"/>
  <c r="I116" i="8" s="1"/>
  <c r="C116" i="8"/>
  <c r="J115" i="8"/>
  <c r="F115" i="8"/>
  <c r="C115" i="8"/>
  <c r="J114" i="8"/>
  <c r="F114" i="8"/>
  <c r="I114" i="8" s="1"/>
  <c r="C114" i="8"/>
  <c r="J113" i="8"/>
  <c r="F113" i="8"/>
  <c r="C113" i="8"/>
  <c r="J112" i="8"/>
  <c r="F112" i="8"/>
  <c r="I112" i="8" s="1"/>
  <c r="C112" i="8"/>
  <c r="J111" i="8"/>
  <c r="F111" i="8"/>
  <c r="I111" i="8" s="1"/>
  <c r="C111" i="8"/>
  <c r="J110" i="8"/>
  <c r="I110" i="8"/>
  <c r="F110" i="8"/>
  <c r="C110" i="8"/>
  <c r="J109" i="8"/>
  <c r="F109" i="8"/>
  <c r="I109" i="8" s="1"/>
  <c r="C109" i="8"/>
  <c r="J108" i="8"/>
  <c r="F108" i="8"/>
  <c r="C108" i="8"/>
  <c r="J107" i="8"/>
  <c r="F107" i="8"/>
  <c r="C107" i="8"/>
  <c r="J106" i="8"/>
  <c r="F106" i="8"/>
  <c r="C106" i="8"/>
  <c r="J105" i="8"/>
  <c r="F105" i="8"/>
  <c r="I105" i="8" s="1"/>
  <c r="C105" i="8"/>
  <c r="J104" i="8"/>
  <c r="F104" i="8"/>
  <c r="C104" i="8"/>
  <c r="J103" i="8"/>
  <c r="F103" i="8"/>
  <c r="I103" i="8" s="1"/>
  <c r="C103" i="8"/>
  <c r="J102" i="8"/>
  <c r="I102" i="8"/>
  <c r="F102" i="8"/>
  <c r="C102" i="8"/>
  <c r="J101" i="8"/>
  <c r="F101" i="8"/>
  <c r="C101" i="8"/>
  <c r="J100" i="8"/>
  <c r="F100" i="8"/>
  <c r="I100" i="8" s="1"/>
  <c r="C100" i="8"/>
  <c r="J99" i="8"/>
  <c r="F99" i="8"/>
  <c r="C99" i="8"/>
  <c r="J98" i="8"/>
  <c r="F98" i="8"/>
  <c r="I98" i="8" s="1"/>
  <c r="C98" i="8"/>
  <c r="J97" i="8"/>
  <c r="F97" i="8"/>
  <c r="C97" i="8"/>
  <c r="J96" i="8"/>
  <c r="F96" i="8"/>
  <c r="I96" i="8" s="1"/>
  <c r="C96" i="8"/>
  <c r="J95" i="8"/>
  <c r="F95" i="8"/>
  <c r="I95" i="8" s="1"/>
  <c r="C95" i="8"/>
  <c r="J94" i="8"/>
  <c r="I94" i="8"/>
  <c r="F94" i="8"/>
  <c r="C94" i="8"/>
  <c r="J93" i="8"/>
  <c r="F93" i="8"/>
  <c r="I93" i="8" s="1"/>
  <c r="C93" i="8"/>
  <c r="J92" i="8"/>
  <c r="F92" i="8"/>
  <c r="C92" i="8"/>
  <c r="J91" i="8"/>
  <c r="F91" i="8"/>
  <c r="C91" i="8"/>
  <c r="J90" i="8"/>
  <c r="F90" i="8"/>
  <c r="I90" i="8" s="1"/>
  <c r="C90" i="8"/>
  <c r="J89" i="8"/>
  <c r="F89" i="8"/>
  <c r="I89" i="8" s="1"/>
  <c r="C89" i="8"/>
  <c r="J88" i="8"/>
  <c r="F88" i="8"/>
  <c r="I88" i="8" s="1"/>
  <c r="C88" i="8"/>
  <c r="J87" i="8"/>
  <c r="F87" i="8"/>
  <c r="I87" i="8" s="1"/>
  <c r="C87" i="8"/>
  <c r="J86" i="8"/>
  <c r="I86" i="8"/>
  <c r="F86" i="8"/>
  <c r="C86" i="8"/>
  <c r="J85" i="8"/>
  <c r="F85" i="8"/>
  <c r="C85" i="8"/>
  <c r="J84" i="8"/>
  <c r="F84" i="8"/>
  <c r="I84" i="8" s="1"/>
  <c r="C84" i="8"/>
  <c r="J83" i="8"/>
  <c r="F83" i="8"/>
  <c r="C83" i="8"/>
  <c r="J82" i="8"/>
  <c r="F82" i="8"/>
  <c r="I82" i="8" s="1"/>
  <c r="C82" i="8"/>
  <c r="J81" i="8"/>
  <c r="F81" i="8"/>
  <c r="C81" i="8"/>
  <c r="J80" i="8"/>
  <c r="F80" i="8"/>
  <c r="I80" i="8" s="1"/>
  <c r="C80" i="8"/>
  <c r="J79" i="8"/>
  <c r="F79" i="8"/>
  <c r="I79" i="8" s="1"/>
  <c r="C79" i="8"/>
  <c r="J78" i="8"/>
  <c r="I78" i="8"/>
  <c r="F78" i="8"/>
  <c r="C78" i="8"/>
  <c r="J77" i="8"/>
  <c r="F77" i="8"/>
  <c r="I77" i="8" s="1"/>
  <c r="C77" i="8"/>
  <c r="J76" i="8"/>
  <c r="F76" i="8"/>
  <c r="C76" i="8"/>
  <c r="J75" i="8"/>
  <c r="F75" i="8"/>
  <c r="C75" i="8"/>
  <c r="J74" i="8"/>
  <c r="F74" i="8"/>
  <c r="C74" i="8"/>
  <c r="J73" i="8"/>
  <c r="F73" i="8"/>
  <c r="I73" i="8" s="1"/>
  <c r="C73" i="8"/>
  <c r="J72" i="8"/>
  <c r="F72" i="8"/>
  <c r="I72" i="8" s="1"/>
  <c r="C72" i="8"/>
  <c r="J71" i="8"/>
  <c r="F71" i="8"/>
  <c r="I71" i="8" s="1"/>
  <c r="C71" i="8"/>
  <c r="J70" i="8"/>
  <c r="I70" i="8"/>
  <c r="F70" i="8"/>
  <c r="C70" i="8"/>
  <c r="J69" i="8"/>
  <c r="F69" i="8"/>
  <c r="C69" i="8"/>
  <c r="J68" i="8"/>
  <c r="F68" i="8"/>
  <c r="I68" i="8" s="1"/>
  <c r="C68" i="8"/>
  <c r="J67" i="8"/>
  <c r="F67" i="8"/>
  <c r="C67" i="8"/>
  <c r="J66" i="8"/>
  <c r="F66" i="8"/>
  <c r="I66" i="8" s="1"/>
  <c r="C66" i="8"/>
  <c r="J65" i="8"/>
  <c r="F65" i="8"/>
  <c r="C65" i="8"/>
  <c r="J64" i="8"/>
  <c r="F64" i="8"/>
  <c r="I64" i="8" s="1"/>
  <c r="C64" i="8"/>
  <c r="J63" i="8"/>
  <c r="F63" i="8"/>
  <c r="I63" i="8" s="1"/>
  <c r="C63" i="8"/>
  <c r="J62" i="8"/>
  <c r="I62" i="8"/>
  <c r="F62" i="8"/>
  <c r="C62" i="8"/>
  <c r="J61" i="8"/>
  <c r="F61" i="8"/>
  <c r="I61" i="8" s="1"/>
  <c r="C61" i="8"/>
  <c r="J60" i="8"/>
  <c r="F60" i="8"/>
  <c r="C60" i="8"/>
  <c r="J59" i="8"/>
  <c r="F59" i="8"/>
  <c r="C59" i="8"/>
  <c r="J58" i="8"/>
  <c r="F58" i="8"/>
  <c r="C58" i="8"/>
  <c r="J57" i="8"/>
  <c r="F57" i="8"/>
  <c r="I57" i="8" s="1"/>
  <c r="C57" i="8"/>
  <c r="J56" i="8"/>
  <c r="F56" i="8"/>
  <c r="I56" i="8" s="1"/>
  <c r="C56" i="8"/>
  <c r="J55" i="8"/>
  <c r="F55" i="8"/>
  <c r="I55" i="8" s="1"/>
  <c r="C55" i="8"/>
  <c r="J54" i="8"/>
  <c r="I54" i="8"/>
  <c r="F54" i="8"/>
  <c r="C54" i="8"/>
  <c r="J53" i="8"/>
  <c r="F53" i="8"/>
  <c r="C53" i="8"/>
  <c r="J52" i="8"/>
  <c r="F52" i="8"/>
  <c r="I52" i="8" s="1"/>
  <c r="C52" i="8"/>
  <c r="J51" i="8"/>
  <c r="F51" i="8"/>
  <c r="C51" i="8"/>
  <c r="J50" i="8"/>
  <c r="F50" i="8"/>
  <c r="I50" i="8" s="1"/>
  <c r="C50" i="8"/>
  <c r="J49" i="8"/>
  <c r="F49" i="8"/>
  <c r="C49" i="8"/>
  <c r="J48" i="8"/>
  <c r="F48" i="8"/>
  <c r="I48" i="8" s="1"/>
  <c r="C48" i="8"/>
  <c r="J47" i="8"/>
  <c r="F47" i="8"/>
  <c r="I47" i="8" s="1"/>
  <c r="C47" i="8"/>
  <c r="J46" i="8"/>
  <c r="F46" i="8"/>
  <c r="C46" i="8"/>
  <c r="J45" i="8"/>
  <c r="F45" i="8"/>
  <c r="I45" i="8" s="1"/>
  <c r="C45" i="8"/>
  <c r="J44" i="8"/>
  <c r="F44" i="8"/>
  <c r="C44" i="8"/>
  <c r="J43" i="8"/>
  <c r="F43" i="8"/>
  <c r="C43" i="8"/>
  <c r="J42" i="8"/>
  <c r="F42" i="8"/>
  <c r="I42" i="8" s="1"/>
  <c r="C42" i="8"/>
  <c r="J41" i="8"/>
  <c r="F41" i="8"/>
  <c r="I41" i="8" s="1"/>
  <c r="C41" i="8"/>
  <c r="J40" i="8"/>
  <c r="F40" i="8"/>
  <c r="I40" i="8" s="1"/>
  <c r="C40" i="8"/>
  <c r="J39" i="8"/>
  <c r="F39" i="8"/>
  <c r="C39" i="8"/>
  <c r="J38" i="8"/>
  <c r="I38" i="8"/>
  <c r="F38" i="8"/>
  <c r="C38" i="8"/>
  <c r="J37" i="8"/>
  <c r="F37" i="8"/>
  <c r="C37" i="8"/>
  <c r="J36" i="8"/>
  <c r="F36" i="8"/>
  <c r="I36" i="8" s="1"/>
  <c r="C36" i="8"/>
  <c r="J35" i="8"/>
  <c r="F35" i="8"/>
  <c r="C35" i="8"/>
  <c r="J34" i="8"/>
  <c r="F34" i="8"/>
  <c r="I34" i="8" s="1"/>
  <c r="C34" i="8"/>
  <c r="J33" i="8"/>
  <c r="F33" i="8"/>
  <c r="C33" i="8"/>
  <c r="J32" i="8"/>
  <c r="F32" i="8"/>
  <c r="I32" i="8" s="1"/>
  <c r="C32" i="8"/>
  <c r="J31" i="8"/>
  <c r="F31" i="8"/>
  <c r="I31" i="8" s="1"/>
  <c r="C31" i="8"/>
  <c r="J30" i="8"/>
  <c r="F30" i="8"/>
  <c r="C30" i="8"/>
  <c r="J29" i="8"/>
  <c r="F29" i="8"/>
  <c r="I29" i="8" s="1"/>
  <c r="C29" i="8"/>
  <c r="J28" i="8"/>
  <c r="F28" i="8"/>
  <c r="C28" i="8"/>
  <c r="J27" i="8"/>
  <c r="F27" i="8"/>
  <c r="I27" i="8" s="1"/>
  <c r="C27" i="8"/>
  <c r="Q26" i="8"/>
  <c r="J26" i="8"/>
  <c r="F26" i="8"/>
  <c r="C26" i="8"/>
  <c r="Q25" i="8"/>
  <c r="J25" i="8"/>
  <c r="F25" i="8"/>
  <c r="I25" i="8" s="1"/>
  <c r="C25" i="8"/>
  <c r="J24" i="8"/>
  <c r="F24" i="8"/>
  <c r="C24" i="8"/>
  <c r="J23" i="8"/>
  <c r="F23" i="8"/>
  <c r="I23" i="8" s="1"/>
  <c r="C23" i="8"/>
  <c r="J22" i="8"/>
  <c r="F22" i="8"/>
  <c r="I22" i="8" s="1"/>
  <c r="C22" i="8"/>
  <c r="J21" i="8"/>
  <c r="F21" i="8"/>
  <c r="C21" i="8"/>
  <c r="J20" i="8"/>
  <c r="F20" i="8"/>
  <c r="C20" i="8"/>
  <c r="J19" i="8"/>
  <c r="F19" i="8"/>
  <c r="I19" i="8" s="1"/>
  <c r="C19" i="8"/>
  <c r="J18" i="8"/>
  <c r="I18" i="8"/>
  <c r="F18" i="8"/>
  <c r="C18" i="8"/>
  <c r="J17" i="8"/>
  <c r="F17" i="8"/>
  <c r="I17" i="8" s="1"/>
  <c r="C17" i="8"/>
  <c r="J16" i="8"/>
  <c r="F16" i="8"/>
  <c r="C16" i="8"/>
  <c r="J15" i="8"/>
  <c r="F15" i="8"/>
  <c r="I15" i="8" s="1"/>
  <c r="C15" i="8"/>
  <c r="J14" i="8"/>
  <c r="F14" i="8"/>
  <c r="I14" i="8" s="1"/>
  <c r="C14" i="8"/>
  <c r="J13" i="8"/>
  <c r="F13" i="8"/>
  <c r="C13" i="8"/>
  <c r="J12" i="8"/>
  <c r="F12" i="8"/>
  <c r="C12" i="8"/>
  <c r="J11" i="8"/>
  <c r="F11" i="8"/>
  <c r="I11" i="8" s="1"/>
  <c r="C11" i="8"/>
  <c r="J10" i="8"/>
  <c r="I10" i="8"/>
  <c r="F10" i="8"/>
  <c r="C10" i="8"/>
  <c r="J9" i="8"/>
  <c r="F9" i="8"/>
  <c r="I9" i="8" s="1"/>
  <c r="C9" i="8"/>
  <c r="J8" i="8"/>
  <c r="F8" i="8"/>
  <c r="C8" i="8"/>
  <c r="J7" i="8"/>
  <c r="F7" i="8"/>
  <c r="I7" i="8" s="1"/>
  <c r="C7" i="8"/>
  <c r="J6" i="8"/>
  <c r="F6" i="8"/>
  <c r="I6" i="8" s="1"/>
  <c r="C6" i="8"/>
  <c r="J5" i="8"/>
  <c r="F5" i="8"/>
  <c r="C5" i="8"/>
  <c r="J4" i="8"/>
  <c r="F4" i="8"/>
  <c r="C4" i="8"/>
  <c r="N3" i="8"/>
  <c r="N4" i="8" s="1"/>
  <c r="J3" i="8"/>
  <c r="F3" i="8"/>
  <c r="I3" i="8" s="1"/>
  <c r="M3" i="8" s="1"/>
  <c r="C3" i="8"/>
  <c r="F2" i="8"/>
  <c r="C2" i="8"/>
  <c r="N51" i="16"/>
  <c r="T43" i="16"/>
  <c r="T41" i="16"/>
  <c r="N40" i="16"/>
  <c r="N57" i="16" s="1"/>
  <c r="N39" i="16"/>
  <c r="T38" i="16"/>
  <c r="N38" i="16"/>
  <c r="N54" i="16" s="1"/>
  <c r="N37" i="16"/>
  <c r="N33" i="16"/>
  <c r="N49" i="16" s="1"/>
  <c r="T32" i="16"/>
  <c r="T33" i="16" s="1"/>
  <c r="T37" i="16" s="1"/>
  <c r="N32" i="16"/>
  <c r="N48" i="16" s="1"/>
  <c r="T31" i="16"/>
  <c r="S31" i="16"/>
  <c r="D28" i="16" a="1"/>
  <c r="D28" i="16" s="1"/>
  <c r="P25" i="16"/>
  <c r="M25" i="16"/>
  <c r="L25" i="16"/>
  <c r="P23" i="16"/>
  <c r="O23" i="16"/>
  <c r="O25" i="16" s="1"/>
  <c r="N23" i="16"/>
  <c r="N25" i="16" s="1"/>
  <c r="M23" i="16"/>
  <c r="L23" i="16"/>
  <c r="H16" i="16"/>
  <c r="G16" i="16"/>
  <c r="F16" i="16"/>
  <c r="F17" i="16" s="1"/>
  <c r="E16" i="16"/>
  <c r="H10" i="16"/>
  <c r="G10" i="16"/>
  <c r="G9" i="16" s="1"/>
  <c r="G6" i="16" s="1"/>
  <c r="F10" i="16"/>
  <c r="F9" i="16" s="1"/>
  <c r="F6" i="16" s="1"/>
  <c r="E10" i="16"/>
  <c r="E9" i="16" s="1"/>
  <c r="D10" i="16"/>
  <c r="D9" i="16" s="1"/>
  <c r="H9" i="16"/>
  <c r="E6" i="16"/>
  <c r="D5" i="16"/>
  <c r="H3" i="16"/>
  <c r="G3" i="16"/>
  <c r="G41" i="16" s="1"/>
  <c r="F3" i="16"/>
  <c r="F41" i="16" s="1"/>
  <c r="E3" i="16"/>
  <c r="E41" i="16" s="1"/>
  <c r="D3" i="16"/>
  <c r="H2" i="16"/>
  <c r="G2" i="16"/>
  <c r="F2" i="16"/>
  <c r="E2" i="16"/>
  <c r="D2" i="16"/>
  <c r="H86" i="15"/>
  <c r="G86" i="15"/>
  <c r="F86" i="15"/>
  <c r="E86" i="15"/>
  <c r="D86" i="15"/>
  <c r="C86" i="15"/>
  <c r="H85" i="15"/>
  <c r="G85" i="15"/>
  <c r="F85" i="15"/>
  <c r="E85" i="15"/>
  <c r="D85" i="15"/>
  <c r="C85" i="15"/>
  <c r="H83" i="15"/>
  <c r="G83" i="15"/>
  <c r="F83" i="15"/>
  <c r="E83" i="15"/>
  <c r="D83" i="15"/>
  <c r="C83" i="15"/>
  <c r="H79" i="15"/>
  <c r="G79" i="15"/>
  <c r="F79" i="15"/>
  <c r="E79" i="15"/>
  <c r="D79" i="15"/>
  <c r="C79" i="15"/>
  <c r="H74" i="15"/>
  <c r="G74" i="15"/>
  <c r="F74" i="15"/>
  <c r="E74" i="15"/>
  <c r="D74" i="15"/>
  <c r="C74" i="15"/>
  <c r="H70" i="15"/>
  <c r="G70" i="15"/>
  <c r="F70" i="15"/>
  <c r="E70" i="15"/>
  <c r="D70" i="15"/>
  <c r="C70" i="15"/>
  <c r="L69" i="15"/>
  <c r="H69" i="15"/>
  <c r="G69" i="15"/>
  <c r="F69" i="15"/>
  <c r="E69" i="15"/>
  <c r="D69" i="15"/>
  <c r="C69" i="15"/>
  <c r="H64" i="15"/>
  <c r="N68" i="15" s="1"/>
  <c r="N69" i="15" s="1"/>
  <c r="E64" i="15"/>
  <c r="K68" i="15" s="1"/>
  <c r="K69" i="15" s="1"/>
  <c r="D63" i="15"/>
  <c r="M62" i="15"/>
  <c r="M63" i="15" s="1"/>
  <c r="H62" i="15"/>
  <c r="G62" i="15"/>
  <c r="G63" i="15" s="1"/>
  <c r="F62" i="15"/>
  <c r="E62" i="15"/>
  <c r="D62" i="15"/>
  <c r="C62" i="15"/>
  <c r="H61" i="15"/>
  <c r="H63" i="15" s="1"/>
  <c r="G61" i="15"/>
  <c r="F61" i="15"/>
  <c r="E61" i="15"/>
  <c r="E63" i="15" s="1"/>
  <c r="D61" i="15"/>
  <c r="C61" i="15"/>
  <c r="C63" i="15" s="1"/>
  <c r="J57" i="15"/>
  <c r="F57" i="15"/>
  <c r="L62" i="15" s="1"/>
  <c r="L63" i="15" s="1"/>
  <c r="M56" i="15"/>
  <c r="M57" i="15" s="1"/>
  <c r="L56" i="15"/>
  <c r="L57" i="15" s="1"/>
  <c r="H56" i="15"/>
  <c r="G56" i="15"/>
  <c r="G58" i="15" s="1"/>
  <c r="G66" i="15" s="1"/>
  <c r="F56" i="15"/>
  <c r="E56" i="15"/>
  <c r="D56" i="15"/>
  <c r="C56" i="15"/>
  <c r="C58" i="15" s="1"/>
  <c r="H55" i="15"/>
  <c r="G55" i="15"/>
  <c r="G57" i="15" s="1"/>
  <c r="F55" i="15"/>
  <c r="E55" i="15"/>
  <c r="D55" i="15"/>
  <c r="J56" i="15" s="1"/>
  <c r="E54" i="15"/>
  <c r="H53" i="15"/>
  <c r="H54" i="15" s="1"/>
  <c r="G53" i="15"/>
  <c r="F53" i="15"/>
  <c r="E53" i="15"/>
  <c r="D53" i="15"/>
  <c r="C53" i="15"/>
  <c r="F52" i="15"/>
  <c r="G52" i="15" s="1"/>
  <c r="H52" i="15" s="1"/>
  <c r="E52" i="15"/>
  <c r="D52" i="15"/>
  <c r="L38" i="15"/>
  <c r="L34" i="15"/>
  <c r="K33" i="15"/>
  <c r="K27" i="15"/>
  <c r="K28" i="15" s="1"/>
  <c r="H27" i="15"/>
  <c r="H33" i="15" s="1"/>
  <c r="F27" i="15"/>
  <c r="P25" i="15"/>
  <c r="O25" i="15"/>
  <c r="G64" i="15" s="1"/>
  <c r="M68" i="15" s="1"/>
  <c r="M69" i="15" s="1"/>
  <c r="N25" i="15"/>
  <c r="F64" i="15" s="1"/>
  <c r="L68" i="15" s="1"/>
  <c r="M25" i="15"/>
  <c r="L25" i="15"/>
  <c r="D64" i="15" s="1"/>
  <c r="J68" i="15" s="1"/>
  <c r="J69" i="15" s="1"/>
  <c r="J70" i="15" s="1"/>
  <c r="K25" i="15"/>
  <c r="H25" i="15"/>
  <c r="G25" i="15"/>
  <c r="F25" i="15"/>
  <c r="E25" i="15"/>
  <c r="D25" i="15"/>
  <c r="C25" i="15"/>
  <c r="H21" i="15"/>
  <c r="P20" i="15"/>
  <c r="P27" i="15" s="1"/>
  <c r="O20" i="15"/>
  <c r="O27" i="15" s="1"/>
  <c r="O28" i="15" s="1"/>
  <c r="N20" i="15"/>
  <c r="N27" i="15" s="1"/>
  <c r="N33" i="15" s="1"/>
  <c r="M20" i="15"/>
  <c r="M27" i="15" s="1"/>
  <c r="L20" i="15"/>
  <c r="L27" i="15" s="1"/>
  <c r="L33" i="15" s="1"/>
  <c r="L37" i="15" s="1"/>
  <c r="K20" i="15"/>
  <c r="H20" i="15"/>
  <c r="G20" i="15"/>
  <c r="G21" i="15" s="1"/>
  <c r="F20" i="15"/>
  <c r="F21" i="15" s="1"/>
  <c r="E20" i="15"/>
  <c r="D20" i="15"/>
  <c r="D21" i="15" s="1"/>
  <c r="C20" i="15"/>
  <c r="V19" i="15"/>
  <c r="U19" i="15"/>
  <c r="T19" i="15"/>
  <c r="S19" i="15"/>
  <c r="R19" i="15"/>
  <c r="P18" i="15"/>
  <c r="O18" i="15"/>
  <c r="N18" i="15"/>
  <c r="M18" i="15"/>
  <c r="L18" i="15"/>
  <c r="H18" i="15"/>
  <c r="G18" i="15"/>
  <c r="F18" i="15"/>
  <c r="E18" i="15"/>
  <c r="D18" i="15"/>
  <c r="L16" i="15"/>
  <c r="M16" i="15" s="1"/>
  <c r="N16" i="15" s="1"/>
  <c r="O16" i="15" s="1"/>
  <c r="P16" i="15" s="1"/>
  <c r="E16" i="15"/>
  <c r="F16" i="15" s="1"/>
  <c r="G16" i="15" s="1"/>
  <c r="H16" i="15" s="1"/>
  <c r="D16" i="15"/>
  <c r="F9" i="15"/>
  <c r="F8" i="15"/>
  <c r="F7" i="15"/>
  <c r="H81" i="14"/>
  <c r="G81" i="14"/>
  <c r="F81" i="14"/>
  <c r="E81" i="14"/>
  <c r="D81" i="14"/>
  <c r="C81" i="14"/>
  <c r="H80" i="14"/>
  <c r="G80" i="14"/>
  <c r="F80" i="14"/>
  <c r="E80" i="14"/>
  <c r="D80" i="14"/>
  <c r="C80" i="14"/>
  <c r="H78" i="14"/>
  <c r="G78" i="14"/>
  <c r="F78" i="14"/>
  <c r="E78" i="14"/>
  <c r="D78" i="14"/>
  <c r="C78" i="14"/>
  <c r="H74" i="14"/>
  <c r="G74" i="14"/>
  <c r="F74" i="14"/>
  <c r="E74" i="14"/>
  <c r="D74" i="14"/>
  <c r="C74" i="14"/>
  <c r="H69" i="14"/>
  <c r="G69" i="14"/>
  <c r="F69" i="14"/>
  <c r="E69" i="14"/>
  <c r="D69" i="14"/>
  <c r="C69" i="14"/>
  <c r="H65" i="14"/>
  <c r="G65" i="14"/>
  <c r="F65" i="14"/>
  <c r="E65" i="14"/>
  <c r="D65" i="14"/>
  <c r="C65" i="14"/>
  <c r="H64" i="14"/>
  <c r="G64" i="14"/>
  <c r="F64" i="14"/>
  <c r="E64" i="14"/>
  <c r="D64" i="14"/>
  <c r="C64" i="14"/>
  <c r="H59" i="14"/>
  <c r="G59" i="14"/>
  <c r="F59" i="14"/>
  <c r="E59" i="14"/>
  <c r="D59" i="14"/>
  <c r="C59" i="14"/>
  <c r="H58" i="14"/>
  <c r="G58" i="14"/>
  <c r="F58" i="14"/>
  <c r="E58" i="14"/>
  <c r="D58" i="14"/>
  <c r="C58" i="14"/>
  <c r="F55" i="14"/>
  <c r="F56" i="14" s="1"/>
  <c r="H54" i="14"/>
  <c r="G54" i="14"/>
  <c r="G55" i="14" s="1"/>
  <c r="F54" i="14"/>
  <c r="E54" i="14"/>
  <c r="E55" i="14" s="1"/>
  <c r="D54" i="14"/>
  <c r="C54" i="14"/>
  <c r="G53" i="14"/>
  <c r="F53" i="14"/>
  <c r="E53" i="14"/>
  <c r="H52" i="14"/>
  <c r="G52" i="14"/>
  <c r="F52" i="14"/>
  <c r="E52" i="14"/>
  <c r="D52" i="14"/>
  <c r="C52" i="14"/>
  <c r="C55" i="14" s="1"/>
  <c r="C56" i="14" s="1"/>
  <c r="H51" i="14"/>
  <c r="F51" i="14"/>
  <c r="G51" i="14" s="1"/>
  <c r="E51" i="14"/>
  <c r="D51" i="14"/>
  <c r="G33" i="14"/>
  <c r="E32" i="14"/>
  <c r="C32" i="14"/>
  <c r="C33" i="14" s="1"/>
  <c r="E27" i="14"/>
  <c r="O26" i="14"/>
  <c r="O32" i="14" s="1"/>
  <c r="N26" i="14"/>
  <c r="N32" i="14" s="1"/>
  <c r="M26" i="14"/>
  <c r="M27" i="14" s="1"/>
  <c r="E26" i="14"/>
  <c r="D26" i="14"/>
  <c r="C26" i="14"/>
  <c r="C27" i="14" s="1"/>
  <c r="P21" i="14"/>
  <c r="O21" i="14"/>
  <c r="N21" i="14"/>
  <c r="G21" i="14"/>
  <c r="F21" i="14"/>
  <c r="D21" i="14"/>
  <c r="P20" i="14"/>
  <c r="P26" i="14" s="1"/>
  <c r="O20" i="14"/>
  <c r="N20" i="14"/>
  <c r="M20" i="14"/>
  <c r="M21" i="14" s="1"/>
  <c r="L20" i="14"/>
  <c r="L21" i="14" s="1"/>
  <c r="K20" i="14"/>
  <c r="H20" i="14"/>
  <c r="H26" i="14" s="1"/>
  <c r="G20" i="14"/>
  <c r="G26" i="14" s="1"/>
  <c r="G32" i="14" s="1"/>
  <c r="G36" i="14" s="1"/>
  <c r="F20" i="14"/>
  <c r="F26" i="14" s="1"/>
  <c r="E20" i="14"/>
  <c r="E21" i="14" s="1"/>
  <c r="D20" i="14"/>
  <c r="C20" i="14"/>
  <c r="C21" i="14" s="1"/>
  <c r="P18" i="14"/>
  <c r="O18" i="14"/>
  <c r="N18" i="14"/>
  <c r="M18" i="14"/>
  <c r="L18" i="14"/>
  <c r="H18" i="14"/>
  <c r="G18" i="14"/>
  <c r="F18" i="14"/>
  <c r="E18" i="14"/>
  <c r="D18" i="14"/>
  <c r="M16" i="14"/>
  <c r="N16" i="14" s="1"/>
  <c r="O16" i="14" s="1"/>
  <c r="P16" i="14" s="1"/>
  <c r="L16" i="14"/>
  <c r="H16" i="14"/>
  <c r="F16" i="14"/>
  <c r="G16" i="14" s="1"/>
  <c r="E16" i="14"/>
  <c r="D16" i="14"/>
  <c r="F9" i="14"/>
  <c r="F8" i="14"/>
  <c r="F7" i="14"/>
  <c r="E10" i="5"/>
  <c r="E8" i="5"/>
  <c r="E7" i="5"/>
  <c r="E6" i="5"/>
  <c r="D2" i="5"/>
  <c r="E15" i="22" s="1"/>
  <c r="C13" i="26"/>
  <c r="C6" i="26"/>
  <c r="C5" i="26"/>
  <c r="D4" i="26"/>
  <c r="C4" i="26"/>
  <c r="D26" i="32" s="1"/>
  <c r="K33" i="1"/>
  <c r="J33" i="1"/>
  <c r="K32" i="1"/>
  <c r="M31" i="1"/>
  <c r="I29" i="1"/>
  <c r="N28" i="1"/>
  <c r="N33" i="1" s="1"/>
  <c r="K28" i="1"/>
  <c r="J28" i="1"/>
  <c r="I28" i="1"/>
  <c r="N27" i="1"/>
  <c r="M27" i="1"/>
  <c r="L27" i="1"/>
  <c r="L32" i="1" s="1"/>
  <c r="K27" i="1"/>
  <c r="J27" i="1"/>
  <c r="J32" i="1" s="1"/>
  <c r="I27" i="1"/>
  <c r="N26" i="1"/>
  <c r="N31" i="1" s="1"/>
  <c r="M26" i="1"/>
  <c r="L26" i="1"/>
  <c r="K26" i="1"/>
  <c r="J26" i="1"/>
  <c r="J31" i="1" s="1"/>
  <c r="J34" i="1" s="1"/>
  <c r="I26" i="1"/>
  <c r="N19" i="1"/>
  <c r="M19" i="1"/>
  <c r="J19" i="1"/>
  <c r="L18" i="1"/>
  <c r="K18" i="1"/>
  <c r="M17" i="1"/>
  <c r="N15" i="1"/>
  <c r="L15" i="1"/>
  <c r="J15" i="1"/>
  <c r="N14" i="1"/>
  <c r="M14" i="1"/>
  <c r="L14" i="1"/>
  <c r="L19" i="1" s="1"/>
  <c r="K14" i="1"/>
  <c r="K19" i="1" s="1"/>
  <c r="J14" i="1"/>
  <c r="I14" i="1"/>
  <c r="N13" i="1"/>
  <c r="N18" i="1" s="1"/>
  <c r="N20" i="1" s="1"/>
  <c r="M13" i="1"/>
  <c r="M18" i="1" s="1"/>
  <c r="M20" i="1" s="1"/>
  <c r="L13" i="1"/>
  <c r="K13" i="1"/>
  <c r="J13" i="1"/>
  <c r="J18" i="1" s="1"/>
  <c r="I13" i="1"/>
  <c r="I15" i="1" s="1"/>
  <c r="N12" i="1"/>
  <c r="N17" i="1" s="1"/>
  <c r="M12" i="1"/>
  <c r="L12" i="1"/>
  <c r="L17" i="1" s="1"/>
  <c r="L20" i="1" s="1"/>
  <c r="K12" i="1"/>
  <c r="J12" i="1"/>
  <c r="J17" i="1" s="1"/>
  <c r="I12" i="1"/>
  <c r="N2" i="1"/>
  <c r="I2" i="1"/>
  <c r="L34" i="22"/>
  <c r="L35" i="22" s="1"/>
  <c r="Q25" i="22"/>
  <c r="R24" i="22"/>
  <c r="M24" i="22"/>
  <c r="Q23" i="22"/>
  <c r="L22" i="22"/>
  <c r="N19" i="22"/>
  <c r="O19" i="22" s="1"/>
  <c r="E8" i="22"/>
  <c r="B99" i="2"/>
  <c r="B100" i="2" s="1"/>
  <c r="B97" i="2"/>
  <c r="B96" i="2" s="1"/>
  <c r="F95" i="2"/>
  <c r="G95" i="2" s="1"/>
  <c r="D95" i="2"/>
  <c r="C95" i="2" s="1"/>
  <c r="B91" i="2"/>
  <c r="B90" i="2"/>
  <c r="B88" i="2"/>
  <c r="B87" i="2" s="1"/>
  <c r="G86" i="2"/>
  <c r="F86" i="2"/>
  <c r="D86" i="2"/>
  <c r="C86" i="2"/>
  <c r="T83" i="2"/>
  <c r="T81" i="2"/>
  <c r="N35" i="16" s="1"/>
  <c r="E80" i="2"/>
  <c r="H23" i="32" s="1"/>
  <c r="K68" i="32" s="1"/>
  <c r="L68" i="32" s="1"/>
  <c r="M68" i="32" s="1"/>
  <c r="N68" i="32" s="1"/>
  <c r="O68" i="32" s="1"/>
  <c r="P68" i="32" s="1"/>
  <c r="T76" i="2"/>
  <c r="G66" i="2"/>
  <c r="G67" i="2" s="1"/>
  <c r="G63" i="2"/>
  <c r="F63" i="2"/>
  <c r="E63" i="2"/>
  <c r="J60" i="2"/>
  <c r="H60" i="2"/>
  <c r="K55" i="2"/>
  <c r="G55" i="2"/>
  <c r="E55" i="2"/>
  <c r="N53" i="2"/>
  <c r="N51" i="2"/>
  <c r="N50" i="2"/>
  <c r="I49" i="2"/>
  <c r="N47" i="2"/>
  <c r="N45" i="2"/>
  <c r="G44" i="2"/>
  <c r="H43" i="2"/>
  <c r="G42" i="2"/>
  <c r="F42" i="2"/>
  <c r="E42" i="2"/>
  <c r="N41" i="2"/>
  <c r="M41" i="2"/>
  <c r="L41" i="2"/>
  <c r="K41" i="2"/>
  <c r="H38" i="2"/>
  <c r="G38" i="2"/>
  <c r="I37" i="2"/>
  <c r="I38" i="2" s="1"/>
  <c r="H37" i="2"/>
  <c r="H39" i="2" s="1"/>
  <c r="G37" i="2"/>
  <c r="F37" i="2"/>
  <c r="E37" i="2"/>
  <c r="N34" i="2"/>
  <c r="M34" i="2"/>
  <c r="L34" i="2"/>
  <c r="L35" i="2" s="1"/>
  <c r="K34" i="2"/>
  <c r="K63" i="2" s="1"/>
  <c r="J34" i="2"/>
  <c r="J63" i="2" s="1"/>
  <c r="I34" i="2"/>
  <c r="I63" i="2" s="1"/>
  <c r="H34" i="2"/>
  <c r="H63" i="2" s="1"/>
  <c r="G34" i="2"/>
  <c r="F34" i="2"/>
  <c r="E34" i="2"/>
  <c r="N32" i="2"/>
  <c r="M32" i="2"/>
  <c r="F32" i="2"/>
  <c r="N31" i="2"/>
  <c r="L31" i="2"/>
  <c r="H31" i="2"/>
  <c r="G31" i="2"/>
  <c r="N30" i="2"/>
  <c r="M30" i="2"/>
  <c r="L30" i="2"/>
  <c r="L60" i="2" s="1"/>
  <c r="K30" i="2"/>
  <c r="J30" i="2"/>
  <c r="J31" i="2" s="1"/>
  <c r="I30" i="2"/>
  <c r="H30" i="2"/>
  <c r="H32" i="2" s="1"/>
  <c r="G30" i="2"/>
  <c r="G60" i="2" s="1"/>
  <c r="G61" i="2" s="1"/>
  <c r="F30" i="2"/>
  <c r="F60" i="2" s="1"/>
  <c r="F61" i="2" s="1"/>
  <c r="E30" i="2"/>
  <c r="E60" i="2" s="1"/>
  <c r="I29" i="2"/>
  <c r="I42" i="2" s="1"/>
  <c r="H29" i="2"/>
  <c r="H42" i="2" s="1"/>
  <c r="G29" i="2"/>
  <c r="F29" i="2"/>
  <c r="M27" i="2"/>
  <c r="L27" i="2"/>
  <c r="I27" i="2"/>
  <c r="E27" i="2"/>
  <c r="N26" i="2"/>
  <c r="N27" i="2" s="1"/>
  <c r="M26" i="2"/>
  <c r="L26" i="2"/>
  <c r="L55" i="2" s="1"/>
  <c r="K26" i="2"/>
  <c r="K27" i="2" s="1"/>
  <c r="J26" i="2"/>
  <c r="J55" i="2" s="1"/>
  <c r="I26" i="2"/>
  <c r="I55" i="2" s="1"/>
  <c r="H26" i="2"/>
  <c r="H55" i="2" s="1"/>
  <c r="G26" i="2"/>
  <c r="G27" i="2" s="1"/>
  <c r="F26" i="2"/>
  <c r="E26" i="2"/>
  <c r="N24" i="2"/>
  <c r="L24" i="2"/>
  <c r="L52" i="2" s="1"/>
  <c r="I24" i="2"/>
  <c r="H24" i="2"/>
  <c r="F24" i="2"/>
  <c r="N23" i="2"/>
  <c r="M23" i="2"/>
  <c r="L23" i="2"/>
  <c r="K23" i="2"/>
  <c r="K24" i="2" s="1"/>
  <c r="K52" i="2" s="1"/>
  <c r="J23" i="2"/>
  <c r="I23" i="2"/>
  <c r="H23" i="2"/>
  <c r="H49" i="2" s="1"/>
  <c r="G23" i="2"/>
  <c r="G49" i="2" s="1"/>
  <c r="F23" i="2"/>
  <c r="F49" i="2" s="1"/>
  <c r="E23" i="2"/>
  <c r="E49" i="2" s="1"/>
  <c r="L21" i="2"/>
  <c r="L46" i="2" s="1"/>
  <c r="L45" i="2" s="1"/>
  <c r="J21" i="2"/>
  <c r="J46" i="2" s="1"/>
  <c r="J44" i="2" s="1"/>
  <c r="I21" i="2"/>
  <c r="H21" i="2"/>
  <c r="N20" i="2"/>
  <c r="M20" i="2"/>
  <c r="L20" i="2"/>
  <c r="K20" i="2"/>
  <c r="K21" i="2" s="1"/>
  <c r="K46" i="2" s="1"/>
  <c r="K47" i="2" s="1"/>
  <c r="J20" i="2"/>
  <c r="J35" i="2" s="1"/>
  <c r="I20" i="2"/>
  <c r="I35" i="2" s="1"/>
  <c r="H20" i="2"/>
  <c r="H35" i="2" s="1"/>
  <c r="G20" i="2"/>
  <c r="G43" i="2" s="1"/>
  <c r="F20" i="2"/>
  <c r="F43" i="2" s="1"/>
  <c r="E20" i="2"/>
  <c r="G19" i="2"/>
  <c r="H19" i="2" s="1"/>
  <c r="I19" i="2" s="1"/>
  <c r="J19" i="2" s="1"/>
  <c r="K19" i="2" s="1"/>
  <c r="L19" i="2" s="1"/>
  <c r="M19" i="2" s="1"/>
  <c r="N19" i="2" s="1"/>
  <c r="F19" i="2"/>
  <c r="P15" i="2"/>
  <c r="H15" i="2"/>
  <c r="G5" i="2"/>
  <c r="H22" i="32" s="1"/>
  <c r="H24" i="32" s="1"/>
  <c r="P44" i="10"/>
  <c r="O44" i="10"/>
  <c r="N44" i="10"/>
  <c r="P43" i="10"/>
  <c r="O43" i="10"/>
  <c r="N43" i="10"/>
  <c r="P42" i="10"/>
  <c r="O42" i="10"/>
  <c r="N42" i="10"/>
  <c r="O41" i="10"/>
  <c r="N41" i="10"/>
  <c r="C29" i="10"/>
  <c r="E78" i="2" s="1"/>
  <c r="AK28" i="10"/>
  <c r="AK29" i="10" s="1"/>
  <c r="AK30" i="10" s="1"/>
  <c r="D9" i="5" s="1"/>
  <c r="C28" i="10"/>
  <c r="E77" i="2" s="1"/>
  <c r="H26" i="32" s="1"/>
  <c r="E27" i="10"/>
  <c r="C25" i="10"/>
  <c r="Z23" i="10"/>
  <c r="V22" i="10"/>
  <c r="Z21" i="10"/>
  <c r="V20" i="10"/>
  <c r="Z18" i="10"/>
  <c r="Y18" i="10"/>
  <c r="X18" i="10"/>
  <c r="X23" i="10" s="1"/>
  <c r="W18" i="10"/>
  <c r="W21" i="10" s="1"/>
  <c r="V18" i="10"/>
  <c r="U18" i="10"/>
  <c r="E18" i="10"/>
  <c r="I18" i="10" s="1"/>
  <c r="D18" i="10"/>
  <c r="Z17" i="10"/>
  <c r="Y17" i="10"/>
  <c r="X17" i="10"/>
  <c r="W17" i="10"/>
  <c r="U17" i="10"/>
  <c r="E17" i="10"/>
  <c r="I17" i="10" s="1"/>
  <c r="D17" i="10"/>
  <c r="A17" i="10"/>
  <c r="A18" i="10" s="1"/>
  <c r="Z16" i="10"/>
  <c r="Y16" i="10"/>
  <c r="X16" i="10"/>
  <c r="W16" i="10"/>
  <c r="W23" i="10" s="1"/>
  <c r="V16" i="10"/>
  <c r="U16" i="10"/>
  <c r="I16" i="10"/>
  <c r="E16" i="10"/>
  <c r="D16" i="10"/>
  <c r="A16" i="10"/>
  <c r="Z15" i="10"/>
  <c r="Y15" i="10"/>
  <c r="X15" i="10"/>
  <c r="W15" i="10"/>
  <c r="W22" i="10" s="1"/>
  <c r="V15" i="10"/>
  <c r="U15" i="10"/>
  <c r="E15" i="10"/>
  <c r="D15" i="10"/>
  <c r="I15" i="10" s="1"/>
  <c r="J15" i="10" s="1"/>
  <c r="A15" i="10"/>
  <c r="Z14" i="10"/>
  <c r="Y14" i="10"/>
  <c r="X14" i="10"/>
  <c r="W14" i="10"/>
  <c r="V14" i="10"/>
  <c r="U14" i="10"/>
  <c r="I14" i="10"/>
  <c r="AG14" i="10" s="1"/>
  <c r="E14" i="10"/>
  <c r="D14" i="10"/>
  <c r="A14" i="10"/>
  <c r="AG13" i="10"/>
  <c r="AF13" i="10"/>
  <c r="AE13" i="10"/>
  <c r="AB13" i="10"/>
  <c r="Z13" i="10"/>
  <c r="Y13" i="10"/>
  <c r="Y22" i="10" s="1"/>
  <c r="X13" i="10"/>
  <c r="X22" i="10" s="1"/>
  <c r="W13" i="10"/>
  <c r="V13" i="10"/>
  <c r="V23" i="10" s="1"/>
  <c r="U13" i="10"/>
  <c r="J13" i="10"/>
  <c r="AC13" i="10" s="1"/>
  <c r="Z11" i="10"/>
  <c r="Y11" i="10"/>
  <c r="X11" i="10"/>
  <c r="W11" i="10"/>
  <c r="U11" i="10"/>
  <c r="J11" i="10"/>
  <c r="E20" i="22" s="1"/>
  <c r="M8" i="22" s="1"/>
  <c r="I11" i="10"/>
  <c r="E11" i="10"/>
  <c r="P41" i="10" s="1"/>
  <c r="D11" i="10"/>
  <c r="Y9" i="10"/>
  <c r="R9" i="10"/>
  <c r="F56" i="17" l="1"/>
  <c r="F61" i="17"/>
  <c r="G47" i="17"/>
  <c r="H20" i="17"/>
  <c r="I20" i="17" s="1"/>
  <c r="L25" i="32"/>
  <c r="G43" i="17"/>
  <c r="T32" i="32" s="1"/>
  <c r="AE15" i="10"/>
  <c r="AD15" i="10"/>
  <c r="AB15" i="10"/>
  <c r="AC15" i="10"/>
  <c r="E58" i="2"/>
  <c r="E69" i="2" s="1"/>
  <c r="F50" i="2"/>
  <c r="E56" i="2"/>
  <c r="G56" i="14"/>
  <c r="G61" i="14"/>
  <c r="C61" i="14"/>
  <c r="H27" i="14"/>
  <c r="H32" i="14"/>
  <c r="M10" i="22"/>
  <c r="M9" i="22"/>
  <c r="M13" i="22" s="1"/>
  <c r="E24" i="2"/>
  <c r="E43" i="2"/>
  <c r="F44" i="2" s="1"/>
  <c r="E31" i="2"/>
  <c r="L28" i="1"/>
  <c r="L33" i="1" s="1"/>
  <c r="L31" i="1"/>
  <c r="L34" i="1" s="1"/>
  <c r="N29" i="1"/>
  <c r="N32" i="1"/>
  <c r="N34" i="1" s="1"/>
  <c r="K26" i="14"/>
  <c r="K21" i="14"/>
  <c r="N36" i="14"/>
  <c r="N33" i="14"/>
  <c r="K44" i="2"/>
  <c r="K45" i="2"/>
  <c r="D32" i="14"/>
  <c r="D27" i="14"/>
  <c r="U23" i="10"/>
  <c r="U21" i="10"/>
  <c r="U22" i="10"/>
  <c r="U20" i="10"/>
  <c r="M31" i="2"/>
  <c r="M24" i="2"/>
  <c r="M21" i="2"/>
  <c r="O36" i="14"/>
  <c r="O33" i="14"/>
  <c r="H25" i="32"/>
  <c r="E9" i="22"/>
  <c r="F55" i="2"/>
  <c r="F56" i="2" s="1"/>
  <c r="F27" i="2"/>
  <c r="E61" i="2"/>
  <c r="N21" i="2"/>
  <c r="L11" i="2" s="1"/>
  <c r="N46" i="2" s="1"/>
  <c r="N44" i="2" s="1"/>
  <c r="AG16" i="10"/>
  <c r="AF16" i="10"/>
  <c r="J16" i="10"/>
  <c r="F39" i="2"/>
  <c r="H64" i="2"/>
  <c r="H44" i="2"/>
  <c r="L51" i="2"/>
  <c r="L53" i="2"/>
  <c r="L50" i="2"/>
  <c r="E66" i="2"/>
  <c r="E38" i="2"/>
  <c r="M27" i="22"/>
  <c r="L23" i="22"/>
  <c r="L25" i="22" s="1"/>
  <c r="L26" i="22"/>
  <c r="AF11" i="10"/>
  <c r="AG11" i="10"/>
  <c r="G50" i="2"/>
  <c r="G58" i="2"/>
  <c r="G69" i="2" s="1"/>
  <c r="H50" i="2"/>
  <c r="H56" i="2"/>
  <c r="H58" i="2"/>
  <c r="J24" i="2"/>
  <c r="J52" i="2" s="1"/>
  <c r="J27" i="2"/>
  <c r="Z22" i="10"/>
  <c r="AG23" i="10"/>
  <c r="AG21" i="10"/>
  <c r="F42" i="10" s="1"/>
  <c r="T42" i="10" s="1"/>
  <c r="X42" i="10" s="1"/>
  <c r="AG17" i="10"/>
  <c r="AF17" i="10"/>
  <c r="J17" i="10"/>
  <c r="AF18" i="10"/>
  <c r="J18" i="10"/>
  <c r="AG18" i="10"/>
  <c r="K53" i="2"/>
  <c r="K51" i="2"/>
  <c r="K50" i="2"/>
  <c r="I32" i="2"/>
  <c r="I60" i="2"/>
  <c r="I31" i="2"/>
  <c r="H61" i="2"/>
  <c r="J20" i="1"/>
  <c r="AG15" i="10"/>
  <c r="AG22" i="10" s="1"/>
  <c r="F43" i="10" s="1"/>
  <c r="T43" i="10" s="1"/>
  <c r="X43" i="10" s="1"/>
  <c r="AF15" i="10"/>
  <c r="AF23" i="10" s="1"/>
  <c r="L44" i="2"/>
  <c r="L47" i="2"/>
  <c r="L20" i="31"/>
  <c r="D25" i="32"/>
  <c r="G23" i="26"/>
  <c r="C17" i="26"/>
  <c r="C23" i="26"/>
  <c r="C24" i="26" s="1"/>
  <c r="F4" i="26"/>
  <c r="E36" i="14"/>
  <c r="E33" i="14"/>
  <c r="X21" i="10"/>
  <c r="G56" i="2"/>
  <c r="N30" i="16"/>
  <c r="T88" i="2"/>
  <c r="T82" i="2" s="1"/>
  <c r="E27" i="15"/>
  <c r="E21" i="15"/>
  <c r="H37" i="15"/>
  <c r="H34" i="15"/>
  <c r="G67" i="15"/>
  <c r="G72" i="15"/>
  <c r="F84" i="32"/>
  <c r="F19" i="16"/>
  <c r="F34" i="16"/>
  <c r="K35" i="2"/>
  <c r="J45" i="2"/>
  <c r="I56" i="2"/>
  <c r="G44" i="14"/>
  <c r="G41" i="14"/>
  <c r="E57" i="15"/>
  <c r="K62" i="15" s="1"/>
  <c r="K63" i="15" s="1"/>
  <c r="K56" i="15"/>
  <c r="K57" i="15" s="1"/>
  <c r="J58" i="15" s="1"/>
  <c r="J14" i="10"/>
  <c r="Y21" i="10"/>
  <c r="Y23" i="10"/>
  <c r="F44" i="10"/>
  <c r="T44" i="10" s="1"/>
  <c r="X44" i="10" s="1"/>
  <c r="G24" i="2"/>
  <c r="J29" i="2"/>
  <c r="F31" i="2"/>
  <c r="E32" i="2"/>
  <c r="E35" i="2"/>
  <c r="M35" i="2"/>
  <c r="N35" i="2"/>
  <c r="J47" i="2"/>
  <c r="H66" i="2"/>
  <c r="H67" i="2" s="1"/>
  <c r="M15" i="1"/>
  <c r="K29" i="1"/>
  <c r="M32" i="1"/>
  <c r="M28" i="1"/>
  <c r="J29" i="1"/>
  <c r="G37" i="14"/>
  <c r="D55" i="14"/>
  <c r="D53" i="14"/>
  <c r="W19" i="15"/>
  <c r="P28" i="15"/>
  <c r="P33" i="15"/>
  <c r="G59" i="15"/>
  <c r="H5" i="16"/>
  <c r="H41" i="16"/>
  <c r="N5" i="8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N84" i="8" s="1"/>
  <c r="N85" i="8" s="1"/>
  <c r="N86" i="8" s="1"/>
  <c r="N87" i="8" s="1"/>
  <c r="N88" i="8" s="1"/>
  <c r="N89" i="8" s="1"/>
  <c r="N90" i="8" s="1"/>
  <c r="N91" i="8" s="1"/>
  <c r="N92" i="8" s="1"/>
  <c r="N93" i="8" s="1"/>
  <c r="N94" i="8" s="1"/>
  <c r="N95" i="8" s="1"/>
  <c r="N96" i="8" s="1"/>
  <c r="N97" i="8" s="1"/>
  <c r="N98" i="8" s="1"/>
  <c r="N99" i="8" s="1"/>
  <c r="N100" i="8" s="1"/>
  <c r="N101" i="8" s="1"/>
  <c r="N102" i="8" s="1"/>
  <c r="N103" i="8" s="1"/>
  <c r="N104" i="8" s="1"/>
  <c r="N105" i="8" s="1"/>
  <c r="N106" i="8" s="1"/>
  <c r="N107" i="8" s="1"/>
  <c r="N108" i="8" s="1"/>
  <c r="N109" i="8" s="1"/>
  <c r="N110" i="8" s="1"/>
  <c r="N111" i="8" s="1"/>
  <c r="N112" i="8" s="1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N250" i="8" s="1"/>
  <c r="N251" i="8" s="1"/>
  <c r="N252" i="8" s="1"/>
  <c r="N253" i="8" s="1"/>
  <c r="N254" i="8" s="1"/>
  <c r="N255" i="8" s="1"/>
  <c r="N256" i="8" s="1"/>
  <c r="N257" i="8" s="1"/>
  <c r="N258" i="8" s="1"/>
  <c r="N259" i="8" s="1"/>
  <c r="N260" i="8" s="1"/>
  <c r="N261" i="8" s="1"/>
  <c r="N262" i="8" s="1"/>
  <c r="N263" i="8" s="1"/>
  <c r="N264" i="8" s="1"/>
  <c r="N265" i="8" s="1"/>
  <c r="N266" i="8" s="1"/>
  <c r="N267" i="8" s="1"/>
  <c r="N268" i="8" s="1"/>
  <c r="N269" i="8" s="1"/>
  <c r="N270" i="8" s="1"/>
  <c r="N271" i="8" s="1"/>
  <c r="N272" i="8" s="1"/>
  <c r="N273" i="8" s="1"/>
  <c r="N274" i="8" s="1"/>
  <c r="N275" i="8" s="1"/>
  <c r="N276" i="8" s="1"/>
  <c r="N277" i="8" s="1"/>
  <c r="N278" i="8" s="1"/>
  <c r="N279" i="8" s="1"/>
  <c r="N280" i="8" s="1"/>
  <c r="N281" i="8" s="1"/>
  <c r="N282" i="8" s="1"/>
  <c r="N283" i="8" s="1"/>
  <c r="N284" i="8" s="1"/>
  <c r="N285" i="8" s="1"/>
  <c r="N286" i="8" s="1"/>
  <c r="N287" i="8" s="1"/>
  <c r="N288" i="8" s="1"/>
  <c r="N289" i="8" s="1"/>
  <c r="N290" i="8" s="1"/>
  <c r="N291" i="8" s="1"/>
  <c r="N292" i="8" s="1"/>
  <c r="N293" i="8" s="1"/>
  <c r="N294" i="8" s="1"/>
  <c r="N295" i="8" s="1"/>
  <c r="N296" i="8" s="1"/>
  <c r="N297" i="8" s="1"/>
  <c r="N298" i="8" s="1"/>
  <c r="N299" i="8" s="1"/>
  <c r="N300" i="8" s="1"/>
  <c r="N301" i="8" s="1"/>
  <c r="N302" i="8" s="1"/>
  <c r="N303" i="8" s="1"/>
  <c r="N304" i="8" s="1"/>
  <c r="N305" i="8" s="1"/>
  <c r="N306" i="8" s="1"/>
  <c r="N307" i="8" s="1"/>
  <c r="N308" i="8" s="1"/>
  <c r="N309" i="8" s="1"/>
  <c r="N310" i="8" s="1"/>
  <c r="N311" i="8" s="1"/>
  <c r="N312" i="8" s="1"/>
  <c r="N313" i="8" s="1"/>
  <c r="N314" i="8" s="1"/>
  <c r="N315" i="8" s="1"/>
  <c r="N316" i="8" s="1"/>
  <c r="N317" i="8" s="1"/>
  <c r="N318" i="8" s="1"/>
  <c r="N319" i="8" s="1"/>
  <c r="N320" i="8" s="1"/>
  <c r="N321" i="8" s="1"/>
  <c r="N322" i="8" s="1"/>
  <c r="N323" i="8" s="1"/>
  <c r="N324" i="8" s="1"/>
  <c r="N325" i="8" s="1"/>
  <c r="N326" i="8" s="1"/>
  <c r="N327" i="8" s="1"/>
  <c r="N328" i="8" s="1"/>
  <c r="N329" i="8" s="1"/>
  <c r="N330" i="8" s="1"/>
  <c r="N331" i="8" s="1"/>
  <c r="N332" i="8" s="1"/>
  <c r="N333" i="8" s="1"/>
  <c r="N334" i="8" s="1"/>
  <c r="N335" i="8" s="1"/>
  <c r="N336" i="8" s="1"/>
  <c r="N337" i="8" s="1"/>
  <c r="N338" i="8" s="1"/>
  <c r="N339" i="8" s="1"/>
  <c r="N340" i="8" s="1"/>
  <c r="N341" i="8" s="1"/>
  <c r="N342" i="8" s="1"/>
  <c r="N343" i="8" s="1"/>
  <c r="N344" i="8" s="1"/>
  <c r="N345" i="8" s="1"/>
  <c r="N346" i="8" s="1"/>
  <c r="N347" i="8" s="1"/>
  <c r="N348" i="8" s="1"/>
  <c r="N349" i="8" s="1"/>
  <c r="N350" i="8" s="1"/>
  <c r="N351" i="8" s="1"/>
  <c r="N352" i="8" s="1"/>
  <c r="N353" i="8" s="1"/>
  <c r="N354" i="8" s="1"/>
  <c r="N355" i="8" s="1"/>
  <c r="N356" i="8" s="1"/>
  <c r="N357" i="8" s="1"/>
  <c r="N358" i="8" s="1"/>
  <c r="N359" i="8" s="1"/>
  <c r="N360" i="8" s="1"/>
  <c r="N361" i="8" s="1"/>
  <c r="N362" i="8" s="1"/>
  <c r="N363" i="8" s="1"/>
  <c r="N364" i="8" s="1"/>
  <c r="N365" i="8" s="1"/>
  <c r="N366" i="8" s="1"/>
  <c r="N367" i="8" s="1"/>
  <c r="N368" i="8" s="1"/>
  <c r="N369" i="8" s="1"/>
  <c r="N370" i="8" s="1"/>
  <c r="N371" i="8" s="1"/>
  <c r="N372" i="8" s="1"/>
  <c r="N373" i="8" s="1"/>
  <c r="N374" i="8" s="1"/>
  <c r="N375" i="8" s="1"/>
  <c r="N376" i="8" s="1"/>
  <c r="N377" i="8" s="1"/>
  <c r="N378" i="8" s="1"/>
  <c r="N379" i="8" s="1"/>
  <c r="N380" i="8" s="1"/>
  <c r="N381" i="8" s="1"/>
  <c r="N382" i="8" s="1"/>
  <c r="N383" i="8" s="1"/>
  <c r="N384" i="8" s="1"/>
  <c r="N385" i="8" s="1"/>
  <c r="N386" i="8" s="1"/>
  <c r="N387" i="8" s="1"/>
  <c r="N388" i="8" s="1"/>
  <c r="N389" i="8" s="1"/>
  <c r="N390" i="8" s="1"/>
  <c r="N391" i="8" s="1"/>
  <c r="N392" i="8" s="1"/>
  <c r="N393" i="8" s="1"/>
  <c r="N394" i="8" s="1"/>
  <c r="N395" i="8" s="1"/>
  <c r="N396" i="8" s="1"/>
  <c r="N397" i="8" s="1"/>
  <c r="N398" i="8" s="1"/>
  <c r="N399" i="8" s="1"/>
  <c r="N400" i="8" s="1"/>
  <c r="N401" i="8" s="1"/>
  <c r="N402" i="8" s="1"/>
  <c r="N403" i="8" s="1"/>
  <c r="N404" i="8" s="1"/>
  <c r="N405" i="8" s="1"/>
  <c r="N406" i="8" s="1"/>
  <c r="N407" i="8" s="1"/>
  <c r="N408" i="8" s="1"/>
  <c r="N409" i="8" s="1"/>
  <c r="N410" i="8" s="1"/>
  <c r="N411" i="8" s="1"/>
  <c r="N412" i="8" s="1"/>
  <c r="N413" i="8" s="1"/>
  <c r="N414" i="8" s="1"/>
  <c r="N415" i="8" s="1"/>
  <c r="N416" i="8" s="1"/>
  <c r="N417" i="8" s="1"/>
  <c r="N418" i="8" s="1"/>
  <c r="N419" i="8" s="1"/>
  <c r="N420" i="8" s="1"/>
  <c r="N421" i="8" s="1"/>
  <c r="N422" i="8" s="1"/>
  <c r="N423" i="8" s="1"/>
  <c r="N424" i="8" s="1"/>
  <c r="N425" i="8" s="1"/>
  <c r="N426" i="8" s="1"/>
  <c r="N427" i="8" s="1"/>
  <c r="N428" i="8" s="1"/>
  <c r="N429" i="8" s="1"/>
  <c r="N430" i="8" s="1"/>
  <c r="N431" i="8" s="1"/>
  <c r="N432" i="8" s="1"/>
  <c r="N433" i="8" s="1"/>
  <c r="N434" i="8" s="1"/>
  <c r="N435" i="8" s="1"/>
  <c r="N436" i="8" s="1"/>
  <c r="N437" i="8" s="1"/>
  <c r="N438" i="8" s="1"/>
  <c r="N439" i="8" s="1"/>
  <c r="N440" i="8" s="1"/>
  <c r="N441" i="8" s="1"/>
  <c r="N442" i="8" s="1"/>
  <c r="N443" i="8" s="1"/>
  <c r="N444" i="8" s="1"/>
  <c r="N445" i="8" s="1"/>
  <c r="N446" i="8" s="1"/>
  <c r="N447" i="8" s="1"/>
  <c r="N448" i="8" s="1"/>
  <c r="N449" i="8" s="1"/>
  <c r="N450" i="8" s="1"/>
  <c r="N451" i="8" s="1"/>
  <c r="N452" i="8" s="1"/>
  <c r="N453" i="8" s="1"/>
  <c r="N454" i="8" s="1"/>
  <c r="N455" i="8" s="1"/>
  <c r="N456" i="8" s="1"/>
  <c r="N457" i="8" s="1"/>
  <c r="N458" i="8" s="1"/>
  <c r="N459" i="8" s="1"/>
  <c r="N460" i="8" s="1"/>
  <c r="N461" i="8" s="1"/>
  <c r="N462" i="8" s="1"/>
  <c r="N463" i="8" s="1"/>
  <c r="N464" i="8" s="1"/>
  <c r="N465" i="8" s="1"/>
  <c r="N466" i="8" s="1"/>
  <c r="N467" i="8" s="1"/>
  <c r="N468" i="8" s="1"/>
  <c r="N469" i="8" s="1"/>
  <c r="N470" i="8" s="1"/>
  <c r="N471" i="8" s="1"/>
  <c r="N472" i="8" s="1"/>
  <c r="N473" i="8" s="1"/>
  <c r="N474" i="8" s="1"/>
  <c r="N475" i="8" s="1"/>
  <c r="N476" i="8" s="1"/>
  <c r="N477" i="8" s="1"/>
  <c r="N478" i="8" s="1"/>
  <c r="N479" i="8" s="1"/>
  <c r="N480" i="8" s="1"/>
  <c r="N481" i="8" s="1"/>
  <c r="N482" i="8" s="1"/>
  <c r="N483" i="8" s="1"/>
  <c r="N484" i="8" s="1"/>
  <c r="N485" i="8" s="1"/>
  <c r="N486" i="8" s="1"/>
  <c r="N487" i="8" s="1"/>
  <c r="N488" i="8" s="1"/>
  <c r="N489" i="8" s="1"/>
  <c r="N490" i="8" s="1"/>
  <c r="N491" i="8" s="1"/>
  <c r="N492" i="8" s="1"/>
  <c r="N493" i="8" s="1"/>
  <c r="N494" i="8" s="1"/>
  <c r="N495" i="8" s="1"/>
  <c r="N496" i="8" s="1"/>
  <c r="N497" i="8" s="1"/>
  <c r="N498" i="8" s="1"/>
  <c r="N499" i="8" s="1"/>
  <c r="N500" i="8" s="1"/>
  <c r="N501" i="8" s="1"/>
  <c r="N502" i="8" s="1"/>
  <c r="N503" i="8" s="1"/>
  <c r="N504" i="8" s="1"/>
  <c r="N505" i="8" s="1"/>
  <c r="N506" i="8" s="1"/>
  <c r="N507" i="8" s="1"/>
  <c r="N508" i="8" s="1"/>
  <c r="N509" i="8" s="1"/>
  <c r="N510" i="8" s="1"/>
  <c r="N511" i="8" s="1"/>
  <c r="N512" i="8" s="1"/>
  <c r="N513" i="8" s="1"/>
  <c r="N514" i="8" s="1"/>
  <c r="N515" i="8" s="1"/>
  <c r="N516" i="8" s="1"/>
  <c r="N517" i="8" s="1"/>
  <c r="N518" i="8" s="1"/>
  <c r="N519" i="8" s="1"/>
  <c r="N520" i="8" s="1"/>
  <c r="N521" i="8" s="1"/>
  <c r="N522" i="8" s="1"/>
  <c r="N523" i="8" s="1"/>
  <c r="N524" i="8" s="1"/>
  <c r="N525" i="8" s="1"/>
  <c r="N526" i="8" s="1"/>
  <c r="N527" i="8" s="1"/>
  <c r="N528" i="8" s="1"/>
  <c r="N529" i="8" s="1"/>
  <c r="N530" i="8" s="1"/>
  <c r="N531" i="8" s="1"/>
  <c r="N532" i="8" s="1"/>
  <c r="N533" i="8" s="1"/>
  <c r="N534" i="8" s="1"/>
  <c r="N535" i="8" s="1"/>
  <c r="N536" i="8" s="1"/>
  <c r="N537" i="8" s="1"/>
  <c r="N538" i="8" s="1"/>
  <c r="N539" i="8" s="1"/>
  <c r="N540" i="8" s="1"/>
  <c r="N541" i="8" s="1"/>
  <c r="N542" i="8" s="1"/>
  <c r="N543" i="8" s="1"/>
  <c r="N544" i="8" s="1"/>
  <c r="N545" i="8" s="1"/>
  <c r="N546" i="8" s="1"/>
  <c r="N547" i="8" s="1"/>
  <c r="N548" i="8" s="1"/>
  <c r="N549" i="8" s="1"/>
  <c r="N550" i="8" s="1"/>
  <c r="N551" i="8" s="1"/>
  <c r="N552" i="8" s="1"/>
  <c r="N553" i="8" s="1"/>
  <c r="N554" i="8" s="1"/>
  <c r="N555" i="8" s="1"/>
  <c r="N556" i="8" s="1"/>
  <c r="N557" i="8" s="1"/>
  <c r="N558" i="8" s="1"/>
  <c r="N559" i="8" s="1"/>
  <c r="N560" i="8" s="1"/>
  <c r="N561" i="8" s="1"/>
  <c r="N562" i="8" s="1"/>
  <c r="N563" i="8" s="1"/>
  <c r="N564" i="8" s="1"/>
  <c r="N565" i="8" s="1"/>
  <c r="N566" i="8" s="1"/>
  <c r="N567" i="8" s="1"/>
  <c r="N568" i="8" s="1"/>
  <c r="N569" i="8" s="1"/>
  <c r="N570" i="8" s="1"/>
  <c r="N571" i="8" s="1"/>
  <c r="N572" i="8" s="1"/>
  <c r="N573" i="8" s="1"/>
  <c r="N574" i="8" s="1"/>
  <c r="N575" i="8" s="1"/>
  <c r="N576" i="8" s="1"/>
  <c r="N577" i="8" s="1"/>
  <c r="N578" i="8" s="1"/>
  <c r="N579" i="8" s="1"/>
  <c r="N580" i="8" s="1"/>
  <c r="N581" i="8" s="1"/>
  <c r="N582" i="8" s="1"/>
  <c r="N583" i="8" s="1"/>
  <c r="N584" i="8" s="1"/>
  <c r="N585" i="8" s="1"/>
  <c r="N586" i="8" s="1"/>
  <c r="N587" i="8" s="1"/>
  <c r="N588" i="8" s="1"/>
  <c r="N589" i="8" s="1"/>
  <c r="N590" i="8" s="1"/>
  <c r="N591" i="8" s="1"/>
  <c r="N592" i="8" s="1"/>
  <c r="N593" i="8" s="1"/>
  <c r="N594" i="8" s="1"/>
  <c r="N595" i="8" s="1"/>
  <c r="N596" i="8" s="1"/>
  <c r="N597" i="8" s="1"/>
  <c r="N598" i="8" s="1"/>
  <c r="N599" i="8" s="1"/>
  <c r="N600" i="8" s="1"/>
  <c r="N601" i="8" s="1"/>
  <c r="N602" i="8" s="1"/>
  <c r="N603" i="8" s="1"/>
  <c r="N604" i="8" s="1"/>
  <c r="N605" i="8" s="1"/>
  <c r="N606" i="8" s="1"/>
  <c r="N607" i="8" s="1"/>
  <c r="N608" i="8" s="1"/>
  <c r="N609" i="8" s="1"/>
  <c r="N610" i="8" s="1"/>
  <c r="N611" i="8" s="1"/>
  <c r="N612" i="8" s="1"/>
  <c r="N613" i="8" s="1"/>
  <c r="N614" i="8" s="1"/>
  <c r="N615" i="8" s="1"/>
  <c r="N616" i="8" s="1"/>
  <c r="N617" i="8" s="1"/>
  <c r="N618" i="8" s="1"/>
  <c r="N619" i="8" s="1"/>
  <c r="N620" i="8" s="1"/>
  <c r="N621" i="8" s="1"/>
  <c r="N622" i="8" s="1"/>
  <c r="N623" i="8" s="1"/>
  <c r="N624" i="8" s="1"/>
  <c r="N625" i="8" s="1"/>
  <c r="N626" i="8" s="1"/>
  <c r="N627" i="8" s="1"/>
  <c r="N628" i="8" s="1"/>
  <c r="N629" i="8" s="1"/>
  <c r="N630" i="8" s="1"/>
  <c r="N631" i="8" s="1"/>
  <c r="N632" i="8" s="1"/>
  <c r="N633" i="8" s="1"/>
  <c r="N634" i="8" s="1"/>
  <c r="N635" i="8" s="1"/>
  <c r="N636" i="8" s="1"/>
  <c r="N637" i="8" s="1"/>
  <c r="N638" i="8" s="1"/>
  <c r="N639" i="8" s="1"/>
  <c r="N640" i="8" s="1"/>
  <c r="N641" i="8" s="1"/>
  <c r="N642" i="8" s="1"/>
  <c r="N643" i="8" s="1"/>
  <c r="N644" i="8" s="1"/>
  <c r="N645" i="8" s="1"/>
  <c r="N646" i="8" s="1"/>
  <c r="N647" i="8" s="1"/>
  <c r="N648" i="8" s="1"/>
  <c r="N649" i="8" s="1"/>
  <c r="N650" i="8" s="1"/>
  <c r="N651" i="8" s="1"/>
  <c r="N652" i="8" s="1"/>
  <c r="N653" i="8" s="1"/>
  <c r="N654" i="8" s="1"/>
  <c r="N655" i="8" s="1"/>
  <c r="N656" i="8" s="1"/>
  <c r="N657" i="8" s="1"/>
  <c r="N658" i="8" s="1"/>
  <c r="N659" i="8" s="1"/>
  <c r="N660" i="8" s="1"/>
  <c r="N661" i="8" s="1"/>
  <c r="N662" i="8" s="1"/>
  <c r="N663" i="8" s="1"/>
  <c r="N664" i="8" s="1"/>
  <c r="N665" i="8" s="1"/>
  <c r="N666" i="8" s="1"/>
  <c r="N667" i="8" s="1"/>
  <c r="N668" i="8" s="1"/>
  <c r="N669" i="8" s="1"/>
  <c r="N670" i="8" s="1"/>
  <c r="N671" i="8" s="1"/>
  <c r="N672" i="8" s="1"/>
  <c r="N673" i="8" s="1"/>
  <c r="N674" i="8" s="1"/>
  <c r="N675" i="8" s="1"/>
  <c r="N676" i="8" s="1"/>
  <c r="N677" i="8" s="1"/>
  <c r="N678" i="8" s="1"/>
  <c r="N679" i="8" s="1"/>
  <c r="N680" i="8" s="1"/>
  <c r="N681" i="8" s="1"/>
  <c r="N682" i="8" s="1"/>
  <c r="N683" i="8" s="1"/>
  <c r="N684" i="8" s="1"/>
  <c r="N685" i="8" s="1"/>
  <c r="N686" i="8" s="1"/>
  <c r="N687" i="8" s="1"/>
  <c r="N688" i="8" s="1"/>
  <c r="N689" i="8" s="1"/>
  <c r="N690" i="8" s="1"/>
  <c r="N691" i="8" s="1"/>
  <c r="N692" i="8" s="1"/>
  <c r="N693" i="8" s="1"/>
  <c r="N694" i="8" s="1"/>
  <c r="N695" i="8" s="1"/>
  <c r="N696" i="8" s="1"/>
  <c r="N697" i="8" s="1"/>
  <c r="N698" i="8" s="1"/>
  <c r="N699" i="8" s="1"/>
  <c r="N700" i="8" s="1"/>
  <c r="N701" i="8" s="1"/>
  <c r="N702" i="8" s="1"/>
  <c r="N703" i="8" s="1"/>
  <c r="N704" i="8" s="1"/>
  <c r="N705" i="8" s="1"/>
  <c r="N706" i="8" s="1"/>
  <c r="N707" i="8" s="1"/>
  <c r="N708" i="8" s="1"/>
  <c r="N709" i="8" s="1"/>
  <c r="N710" i="8" s="1"/>
  <c r="N711" i="8" s="1"/>
  <c r="N712" i="8" s="1"/>
  <c r="N713" i="8" s="1"/>
  <c r="N714" i="8" s="1"/>
  <c r="N715" i="8" s="1"/>
  <c r="N716" i="8" s="1"/>
  <c r="N717" i="8" s="1"/>
  <c r="N718" i="8" s="1"/>
  <c r="N719" i="8" s="1"/>
  <c r="N720" i="8" s="1"/>
  <c r="N721" i="8" s="1"/>
  <c r="N722" i="8" s="1"/>
  <c r="N723" i="8" s="1"/>
  <c r="N724" i="8" s="1"/>
  <c r="N725" i="8" s="1"/>
  <c r="N726" i="8" s="1"/>
  <c r="N727" i="8" s="1"/>
  <c r="N728" i="8" s="1"/>
  <c r="N729" i="8" s="1"/>
  <c r="N730" i="8" s="1"/>
  <c r="N731" i="8" s="1"/>
  <c r="N732" i="8" s="1"/>
  <c r="N733" i="8" s="1"/>
  <c r="N734" i="8" s="1"/>
  <c r="N735" i="8" s="1"/>
  <c r="N736" i="8" s="1"/>
  <c r="N737" i="8" s="1"/>
  <c r="N738" i="8" s="1"/>
  <c r="N739" i="8" s="1"/>
  <c r="N740" i="8" s="1"/>
  <c r="N741" i="8" s="1"/>
  <c r="N742" i="8" s="1"/>
  <c r="N743" i="8" s="1"/>
  <c r="N744" i="8" s="1"/>
  <c r="N745" i="8" s="1"/>
  <c r="N746" i="8" s="1"/>
  <c r="N747" i="8" s="1"/>
  <c r="N748" i="8" s="1"/>
  <c r="N749" i="8" s="1"/>
  <c r="N750" i="8" s="1"/>
  <c r="N751" i="8" s="1"/>
  <c r="N752" i="8" s="1"/>
  <c r="N753" i="8" s="1"/>
  <c r="N754" i="8" s="1"/>
  <c r="N755" i="8" s="1"/>
  <c r="N756" i="8" s="1"/>
  <c r="N757" i="8" s="1"/>
  <c r="N758" i="8" s="1"/>
  <c r="N759" i="8" s="1"/>
  <c r="N760" i="8" s="1"/>
  <c r="N761" i="8" s="1"/>
  <c r="N762" i="8" s="1"/>
  <c r="N763" i="8" s="1"/>
  <c r="N764" i="8" s="1"/>
  <c r="N765" i="8" s="1"/>
  <c r="N766" i="8" s="1"/>
  <c r="N767" i="8" s="1"/>
  <c r="N768" i="8" s="1"/>
  <c r="N769" i="8" s="1"/>
  <c r="N770" i="8" s="1"/>
  <c r="N771" i="8" s="1"/>
  <c r="N772" i="8" s="1"/>
  <c r="N773" i="8" s="1"/>
  <c r="N774" i="8" s="1"/>
  <c r="N775" i="8" s="1"/>
  <c r="N776" i="8" s="1"/>
  <c r="N777" i="8" s="1"/>
  <c r="N778" i="8" s="1"/>
  <c r="N779" i="8" s="1"/>
  <c r="N780" i="8" s="1"/>
  <c r="N781" i="8" s="1"/>
  <c r="N782" i="8" s="1"/>
  <c r="N783" i="8" s="1"/>
  <c r="N784" i="8" s="1"/>
  <c r="N785" i="8" s="1"/>
  <c r="N786" i="8" s="1"/>
  <c r="N787" i="8" s="1"/>
  <c r="N788" i="8" s="1"/>
  <c r="N789" i="8" s="1"/>
  <c r="N790" i="8" s="1"/>
  <c r="N791" i="8" s="1"/>
  <c r="N792" i="8" s="1"/>
  <c r="N793" i="8" s="1"/>
  <c r="N794" i="8" s="1"/>
  <c r="N795" i="8" s="1"/>
  <c r="N796" i="8" s="1"/>
  <c r="N797" i="8" s="1"/>
  <c r="N798" i="8" s="1"/>
  <c r="N799" i="8" s="1"/>
  <c r="N800" i="8" s="1"/>
  <c r="N801" i="8" s="1"/>
  <c r="N802" i="8" s="1"/>
  <c r="N803" i="8" s="1"/>
  <c r="N804" i="8" s="1"/>
  <c r="N805" i="8" s="1"/>
  <c r="N806" i="8" s="1"/>
  <c r="N807" i="8" s="1"/>
  <c r="N808" i="8" s="1"/>
  <c r="N809" i="8" s="1"/>
  <c r="N810" i="8" s="1"/>
  <c r="N811" i="8" s="1"/>
  <c r="N812" i="8" s="1"/>
  <c r="N813" i="8" s="1"/>
  <c r="N814" i="8" s="1"/>
  <c r="N815" i="8" s="1"/>
  <c r="N816" i="8" s="1"/>
  <c r="N817" i="8" s="1"/>
  <c r="N818" i="8" s="1"/>
  <c r="N819" i="8" s="1"/>
  <c r="N820" i="8" s="1"/>
  <c r="N821" i="8" s="1"/>
  <c r="N822" i="8" s="1"/>
  <c r="N823" i="8" s="1"/>
  <c r="N824" i="8" s="1"/>
  <c r="N825" i="8" s="1"/>
  <c r="N826" i="8" s="1"/>
  <c r="N827" i="8" s="1"/>
  <c r="N828" i="8" s="1"/>
  <c r="N829" i="8" s="1"/>
  <c r="N830" i="8" s="1"/>
  <c r="N831" i="8" s="1"/>
  <c r="N832" i="8" s="1"/>
  <c r="N833" i="8" s="1"/>
  <c r="N834" i="8" s="1"/>
  <c r="N835" i="8" s="1"/>
  <c r="N836" i="8" s="1"/>
  <c r="N837" i="8" s="1"/>
  <c r="N838" i="8" s="1"/>
  <c r="N839" i="8" s="1"/>
  <c r="N840" i="8" s="1"/>
  <c r="N841" i="8" s="1"/>
  <c r="N842" i="8" s="1"/>
  <c r="N843" i="8" s="1"/>
  <c r="N844" i="8" s="1"/>
  <c r="N845" i="8" s="1"/>
  <c r="N846" i="8" s="1"/>
  <c r="N847" i="8" s="1"/>
  <c r="N848" i="8" s="1"/>
  <c r="N849" i="8" s="1"/>
  <c r="N850" i="8" s="1"/>
  <c r="N851" i="8" s="1"/>
  <c r="N852" i="8" s="1"/>
  <c r="N853" i="8" s="1"/>
  <c r="N854" i="8" s="1"/>
  <c r="N855" i="8" s="1"/>
  <c r="N856" i="8" s="1"/>
  <c r="N857" i="8" s="1"/>
  <c r="N858" i="8" s="1"/>
  <c r="N859" i="8" s="1"/>
  <c r="N860" i="8" s="1"/>
  <c r="N861" i="8" s="1"/>
  <c r="N862" i="8" s="1"/>
  <c r="N863" i="8" s="1"/>
  <c r="N864" i="8" s="1"/>
  <c r="N865" i="8" s="1"/>
  <c r="N866" i="8" s="1"/>
  <c r="N867" i="8" s="1"/>
  <c r="N868" i="8" s="1"/>
  <c r="N869" i="8" s="1"/>
  <c r="N870" i="8" s="1"/>
  <c r="N871" i="8" s="1"/>
  <c r="N872" i="8" s="1"/>
  <c r="N873" i="8" s="1"/>
  <c r="N874" i="8" s="1"/>
  <c r="N875" i="8" s="1"/>
  <c r="N876" i="8" s="1"/>
  <c r="N877" i="8" s="1"/>
  <c r="N878" i="8" s="1"/>
  <c r="N879" i="8" s="1"/>
  <c r="N880" i="8" s="1"/>
  <c r="N881" i="8" s="1"/>
  <c r="N882" i="8" s="1"/>
  <c r="N883" i="8" s="1"/>
  <c r="N884" i="8" s="1"/>
  <c r="N885" i="8" s="1"/>
  <c r="N886" i="8" s="1"/>
  <c r="N887" i="8" s="1"/>
  <c r="N888" i="8" s="1"/>
  <c r="N889" i="8" s="1"/>
  <c r="N890" i="8" s="1"/>
  <c r="N891" i="8" s="1"/>
  <c r="N892" i="8" s="1"/>
  <c r="N893" i="8" s="1"/>
  <c r="N894" i="8" s="1"/>
  <c r="N895" i="8" s="1"/>
  <c r="N896" i="8" s="1"/>
  <c r="N897" i="8" s="1"/>
  <c r="N898" i="8" s="1"/>
  <c r="N899" i="8" s="1"/>
  <c r="N900" i="8" s="1"/>
  <c r="N901" i="8" s="1"/>
  <c r="N902" i="8" s="1"/>
  <c r="N903" i="8" s="1"/>
  <c r="N904" i="8" s="1"/>
  <c r="N905" i="8" s="1"/>
  <c r="N906" i="8" s="1"/>
  <c r="N907" i="8" s="1"/>
  <c r="N908" i="8" s="1"/>
  <c r="N909" i="8" s="1"/>
  <c r="N910" i="8" s="1"/>
  <c r="N911" i="8" s="1"/>
  <c r="N912" i="8" s="1"/>
  <c r="N913" i="8" s="1"/>
  <c r="N914" i="8" s="1"/>
  <c r="N915" i="8" s="1"/>
  <c r="N916" i="8" s="1"/>
  <c r="N917" i="8" s="1"/>
  <c r="N918" i="8" s="1"/>
  <c r="N919" i="8" s="1"/>
  <c r="N920" i="8" s="1"/>
  <c r="N921" i="8" s="1"/>
  <c r="N922" i="8" s="1"/>
  <c r="N923" i="8" s="1"/>
  <c r="N924" i="8" s="1"/>
  <c r="N925" i="8" s="1"/>
  <c r="N926" i="8" s="1"/>
  <c r="N927" i="8" s="1"/>
  <c r="N928" i="8" s="1"/>
  <c r="N929" i="8" s="1"/>
  <c r="N930" i="8" s="1"/>
  <c r="N931" i="8" s="1"/>
  <c r="N932" i="8" s="1"/>
  <c r="N933" i="8" s="1"/>
  <c r="N934" i="8" s="1"/>
  <c r="N935" i="8" s="1"/>
  <c r="N936" i="8" s="1"/>
  <c r="N937" i="8" s="1"/>
  <c r="N938" i="8" s="1"/>
  <c r="N939" i="8" s="1"/>
  <c r="N940" i="8" s="1"/>
  <c r="N941" i="8" s="1"/>
  <c r="N942" i="8" s="1"/>
  <c r="N943" i="8" s="1"/>
  <c r="N944" i="8" s="1"/>
  <c r="N945" i="8" s="1"/>
  <c r="N946" i="8" s="1"/>
  <c r="N947" i="8" s="1"/>
  <c r="N948" i="8" s="1"/>
  <c r="N949" i="8" s="1"/>
  <c r="N950" i="8" s="1"/>
  <c r="N951" i="8" s="1"/>
  <c r="N952" i="8" s="1"/>
  <c r="N953" i="8" s="1"/>
  <c r="N954" i="8" s="1"/>
  <c r="N955" i="8" s="1"/>
  <c r="N956" i="8" s="1"/>
  <c r="N957" i="8" s="1"/>
  <c r="N958" i="8" s="1"/>
  <c r="N959" i="8" s="1"/>
  <c r="N960" i="8" s="1"/>
  <c r="N961" i="8" s="1"/>
  <c r="N962" i="8" s="1"/>
  <c r="N963" i="8" s="1"/>
  <c r="N964" i="8" s="1"/>
  <c r="N965" i="8" s="1"/>
  <c r="N966" i="8" s="1"/>
  <c r="N967" i="8" s="1"/>
  <c r="N968" i="8" s="1"/>
  <c r="N969" i="8" s="1"/>
  <c r="N970" i="8" s="1"/>
  <c r="N971" i="8" s="1"/>
  <c r="N972" i="8" s="1"/>
  <c r="N973" i="8" s="1"/>
  <c r="N974" i="8" s="1"/>
  <c r="N975" i="8" s="1"/>
  <c r="N976" i="8" s="1"/>
  <c r="N977" i="8" s="1"/>
  <c r="N978" i="8" s="1"/>
  <c r="N979" i="8" s="1"/>
  <c r="N980" i="8" s="1"/>
  <c r="N981" i="8" s="1"/>
  <c r="N982" i="8" s="1"/>
  <c r="N983" i="8" s="1"/>
  <c r="N984" i="8" s="1"/>
  <c r="N985" i="8" s="1"/>
  <c r="N986" i="8" s="1"/>
  <c r="N987" i="8" s="1"/>
  <c r="N988" i="8" s="1"/>
  <c r="N989" i="8" s="1"/>
  <c r="N990" i="8" s="1"/>
  <c r="N991" i="8" s="1"/>
  <c r="N992" i="8" s="1"/>
  <c r="N993" i="8" s="1"/>
  <c r="N994" i="8" s="1"/>
  <c r="N995" i="8" s="1"/>
  <c r="N996" i="8" s="1"/>
  <c r="N997" i="8" s="1"/>
  <c r="N998" i="8" s="1"/>
  <c r="N999" i="8" s="1"/>
  <c r="N1000" i="8" s="1"/>
  <c r="N1001" i="8" s="1"/>
  <c r="N1002" i="8" s="1"/>
  <c r="N1003" i="8" s="1"/>
  <c r="N1004" i="8" s="1"/>
  <c r="N1005" i="8" s="1"/>
  <c r="N1006" i="8" s="1"/>
  <c r="N1007" i="8" s="1"/>
  <c r="N1008" i="8" s="1"/>
  <c r="N1009" i="8" s="1"/>
  <c r="N1010" i="8" s="1"/>
  <c r="N1011" i="8" s="1"/>
  <c r="N1012" i="8" s="1"/>
  <c r="N1013" i="8" s="1"/>
  <c r="N1014" i="8" s="1"/>
  <c r="N1015" i="8" s="1"/>
  <c r="N1016" i="8" s="1"/>
  <c r="N1017" i="8" s="1"/>
  <c r="N1018" i="8" s="1"/>
  <c r="N1019" i="8" s="1"/>
  <c r="N1020" i="8" s="1"/>
  <c r="N1021" i="8" s="1"/>
  <c r="N1022" i="8" s="1"/>
  <c r="N1023" i="8" s="1"/>
  <c r="N1024" i="8" s="1"/>
  <c r="N1025" i="8" s="1"/>
  <c r="N1026" i="8" s="1"/>
  <c r="N1027" i="8" s="1"/>
  <c r="N1028" i="8" s="1"/>
  <c r="N1029" i="8" s="1"/>
  <c r="N1030" i="8" s="1"/>
  <c r="N1031" i="8" s="1"/>
  <c r="N1032" i="8" s="1"/>
  <c r="N1033" i="8" s="1"/>
  <c r="N1034" i="8" s="1"/>
  <c r="N1035" i="8" s="1"/>
  <c r="N1036" i="8" s="1"/>
  <c r="N1037" i="8" s="1"/>
  <c r="N1038" i="8" s="1"/>
  <c r="N1039" i="8" s="1"/>
  <c r="N1040" i="8" s="1"/>
  <c r="N1041" i="8" s="1"/>
  <c r="N1042" i="8" s="1"/>
  <c r="N1043" i="8" s="1"/>
  <c r="N1044" i="8" s="1"/>
  <c r="N1045" i="8" s="1"/>
  <c r="N1046" i="8" s="1"/>
  <c r="N1047" i="8" s="1"/>
  <c r="N1048" i="8" s="1"/>
  <c r="N1049" i="8" s="1"/>
  <c r="N1050" i="8" s="1"/>
  <c r="N1051" i="8" s="1"/>
  <c r="N1052" i="8" s="1"/>
  <c r="N1053" i="8" s="1"/>
  <c r="N1054" i="8" s="1"/>
  <c r="N1055" i="8" s="1"/>
  <c r="N1056" i="8" s="1"/>
  <c r="N1057" i="8" s="1"/>
  <c r="N1058" i="8" s="1"/>
  <c r="N1059" i="8" s="1"/>
  <c r="N1060" i="8" s="1"/>
  <c r="N1061" i="8" s="1"/>
  <c r="N1062" i="8" s="1"/>
  <c r="N1063" i="8" s="1"/>
  <c r="N1064" i="8" s="1"/>
  <c r="N1065" i="8" s="1"/>
  <c r="N1066" i="8" s="1"/>
  <c r="N1067" i="8" s="1"/>
  <c r="N1068" i="8" s="1"/>
  <c r="N1069" i="8" s="1"/>
  <c r="N1070" i="8" s="1"/>
  <c r="N1071" i="8" s="1"/>
  <c r="N1072" i="8" s="1"/>
  <c r="N1073" i="8" s="1"/>
  <c r="N1074" i="8" s="1"/>
  <c r="N1075" i="8" s="1"/>
  <c r="N1076" i="8" s="1"/>
  <c r="N1077" i="8" s="1"/>
  <c r="N1078" i="8" s="1"/>
  <c r="N1079" i="8" s="1"/>
  <c r="N1080" i="8" s="1"/>
  <c r="N1081" i="8" s="1"/>
  <c r="N1082" i="8" s="1"/>
  <c r="N1083" i="8" s="1"/>
  <c r="N1084" i="8" s="1"/>
  <c r="N1085" i="8" s="1"/>
  <c r="N1086" i="8" s="1"/>
  <c r="N1087" i="8" s="1"/>
  <c r="N1088" i="8" s="1"/>
  <c r="N1089" i="8" s="1"/>
  <c r="N1090" i="8" s="1"/>
  <c r="N1091" i="8" s="1"/>
  <c r="N1092" i="8" s="1"/>
  <c r="N1093" i="8" s="1"/>
  <c r="N1094" i="8" s="1"/>
  <c r="N1095" i="8" s="1"/>
  <c r="N1096" i="8" s="1"/>
  <c r="N1097" i="8" s="1"/>
  <c r="N1098" i="8" s="1"/>
  <c r="N1099" i="8" s="1"/>
  <c r="N1100" i="8" s="1"/>
  <c r="N1101" i="8" s="1"/>
  <c r="N1102" i="8" s="1"/>
  <c r="N1103" i="8" s="1"/>
  <c r="N1104" i="8" s="1"/>
  <c r="N1105" i="8" s="1"/>
  <c r="N1106" i="8" s="1"/>
  <c r="N1107" i="8" s="1"/>
  <c r="N1108" i="8" s="1"/>
  <c r="N1109" i="8" s="1"/>
  <c r="N1110" i="8" s="1"/>
  <c r="N1111" i="8" s="1"/>
  <c r="N1112" i="8" s="1"/>
  <c r="N1113" i="8" s="1"/>
  <c r="N1114" i="8" s="1"/>
  <c r="N1115" i="8" s="1"/>
  <c r="N1116" i="8" s="1"/>
  <c r="N1117" i="8" s="1"/>
  <c r="N1118" i="8" s="1"/>
  <c r="N1119" i="8" s="1"/>
  <c r="N1120" i="8" s="1"/>
  <c r="N1121" i="8" s="1"/>
  <c r="N1122" i="8" s="1"/>
  <c r="N1123" i="8" s="1"/>
  <c r="N1124" i="8" s="1"/>
  <c r="N1125" i="8" s="1"/>
  <c r="N1126" i="8" s="1"/>
  <c r="N1127" i="8" s="1"/>
  <c r="N1128" i="8" s="1"/>
  <c r="N1129" i="8" s="1"/>
  <c r="N1130" i="8" s="1"/>
  <c r="N1131" i="8" s="1"/>
  <c r="N1132" i="8" s="1"/>
  <c r="N1133" i="8" s="1"/>
  <c r="N1134" i="8" s="1"/>
  <c r="N1135" i="8" s="1"/>
  <c r="N1136" i="8" s="1"/>
  <c r="N1137" i="8" s="1"/>
  <c r="N1138" i="8" s="1"/>
  <c r="N1139" i="8" s="1"/>
  <c r="N1140" i="8" s="1"/>
  <c r="N1141" i="8" s="1"/>
  <c r="N1142" i="8" s="1"/>
  <c r="N1143" i="8" s="1"/>
  <c r="N1144" i="8" s="1"/>
  <c r="N1145" i="8" s="1"/>
  <c r="N1146" i="8" s="1"/>
  <c r="N1147" i="8" s="1"/>
  <c r="N1148" i="8" s="1"/>
  <c r="N1149" i="8" s="1"/>
  <c r="N1150" i="8" s="1"/>
  <c r="N1151" i="8" s="1"/>
  <c r="N1152" i="8" s="1"/>
  <c r="N1153" i="8" s="1"/>
  <c r="N1154" i="8" s="1"/>
  <c r="N1155" i="8" s="1"/>
  <c r="N1156" i="8" s="1"/>
  <c r="N1157" i="8" s="1"/>
  <c r="N1158" i="8" s="1"/>
  <c r="N1159" i="8" s="1"/>
  <c r="N1160" i="8" s="1"/>
  <c r="N1161" i="8" s="1"/>
  <c r="N1162" i="8" s="1"/>
  <c r="N1163" i="8" s="1"/>
  <c r="N1164" i="8" s="1"/>
  <c r="N1165" i="8" s="1"/>
  <c r="N1166" i="8" s="1"/>
  <c r="N1167" i="8" s="1"/>
  <c r="N1168" i="8" s="1"/>
  <c r="N1169" i="8" s="1"/>
  <c r="N1170" i="8" s="1"/>
  <c r="N1171" i="8" s="1"/>
  <c r="N1172" i="8" s="1"/>
  <c r="N1173" i="8" s="1"/>
  <c r="N1174" i="8" s="1"/>
  <c r="N1175" i="8" s="1"/>
  <c r="N1176" i="8" s="1"/>
  <c r="N1177" i="8" s="1"/>
  <c r="N1178" i="8" s="1"/>
  <c r="N1179" i="8" s="1"/>
  <c r="N1180" i="8" s="1"/>
  <c r="N1181" i="8" s="1"/>
  <c r="N1182" i="8" s="1"/>
  <c r="N1183" i="8" s="1"/>
  <c r="N1184" i="8" s="1"/>
  <c r="N1185" i="8" s="1"/>
  <c r="N1186" i="8" s="1"/>
  <c r="N1187" i="8" s="1"/>
  <c r="N1188" i="8" s="1"/>
  <c r="N1189" i="8" s="1"/>
  <c r="N1190" i="8" s="1"/>
  <c r="N1191" i="8" s="1"/>
  <c r="N1192" i="8" s="1"/>
  <c r="N1193" i="8" s="1"/>
  <c r="N1194" i="8" s="1"/>
  <c r="N1195" i="8" s="1"/>
  <c r="N1196" i="8" s="1"/>
  <c r="N1197" i="8" s="1"/>
  <c r="N1198" i="8" s="1"/>
  <c r="N1199" i="8" s="1"/>
  <c r="N1200" i="8" s="1"/>
  <c r="N1201" i="8" s="1"/>
  <c r="N1202" i="8" s="1"/>
  <c r="N1203" i="8" s="1"/>
  <c r="N1204" i="8" s="1"/>
  <c r="N1205" i="8" s="1"/>
  <c r="N1206" i="8" s="1"/>
  <c r="N1207" i="8" s="1"/>
  <c r="N1208" i="8" s="1"/>
  <c r="N1209" i="8" s="1"/>
  <c r="N1210" i="8" s="1"/>
  <c r="N1211" i="8" s="1"/>
  <c r="N1212" i="8" s="1"/>
  <c r="N1213" i="8" s="1"/>
  <c r="N1214" i="8" s="1"/>
  <c r="N1215" i="8" s="1"/>
  <c r="N1216" i="8" s="1"/>
  <c r="N1217" i="8" s="1"/>
  <c r="N1218" i="8" s="1"/>
  <c r="N1219" i="8" s="1"/>
  <c r="N1220" i="8" s="1"/>
  <c r="N1221" i="8" s="1"/>
  <c r="N1222" i="8" s="1"/>
  <c r="N1223" i="8" s="1"/>
  <c r="N1224" i="8" s="1"/>
  <c r="N1225" i="8" s="1"/>
  <c r="N1226" i="8" s="1"/>
  <c r="N1227" i="8" s="1"/>
  <c r="N1228" i="8" s="1"/>
  <c r="N1229" i="8" s="1"/>
  <c r="N1230" i="8" s="1"/>
  <c r="N1231" i="8" s="1"/>
  <c r="N1232" i="8" s="1"/>
  <c r="N1233" i="8" s="1"/>
  <c r="N1234" i="8" s="1"/>
  <c r="S26" i="8" s="1"/>
  <c r="T26" i="8" s="1"/>
  <c r="W20" i="10"/>
  <c r="G32" i="2"/>
  <c r="F35" i="2"/>
  <c r="F66" i="2"/>
  <c r="F67" i="2" s="1"/>
  <c r="F38" i="2"/>
  <c r="G39" i="2"/>
  <c r="I43" i="2"/>
  <c r="I50" i="2" s="1"/>
  <c r="F64" i="2"/>
  <c r="G27" i="14"/>
  <c r="E61" i="14"/>
  <c r="F61" i="14"/>
  <c r="F54" i="15"/>
  <c r="F58" i="15"/>
  <c r="N56" i="15"/>
  <c r="N57" i="15" s="1"/>
  <c r="H57" i="15"/>
  <c r="I74" i="8"/>
  <c r="H17" i="16"/>
  <c r="AB11" i="10"/>
  <c r="AF20" i="10"/>
  <c r="AC11" i="10"/>
  <c r="AF14" i="10"/>
  <c r="AF22" i="10" s="1"/>
  <c r="X20" i="10"/>
  <c r="AG20" i="10"/>
  <c r="F21" i="2"/>
  <c r="K31" i="2"/>
  <c r="K60" i="2"/>
  <c r="J32" i="2"/>
  <c r="G35" i="2"/>
  <c r="G64" i="2"/>
  <c r="K31" i="1"/>
  <c r="K34" i="1" s="1"/>
  <c r="H21" i="14"/>
  <c r="E56" i="14"/>
  <c r="N28" i="15"/>
  <c r="G54" i="15"/>
  <c r="C59" i="15"/>
  <c r="C66" i="15"/>
  <c r="E4" i="16"/>
  <c r="H6" i="16"/>
  <c r="H19" i="16"/>
  <c r="D74" i="32"/>
  <c r="D7" i="16"/>
  <c r="AD11" i="10"/>
  <c r="Y20" i="10"/>
  <c r="G21" i="2"/>
  <c r="K32" i="2"/>
  <c r="M32" i="14"/>
  <c r="H53" i="14"/>
  <c r="H55" i="14"/>
  <c r="I106" i="8"/>
  <c r="AE11" i="10"/>
  <c r="Z20" i="10"/>
  <c r="V21" i="10"/>
  <c r="H27" i="32"/>
  <c r="H27" i="2"/>
  <c r="L32" i="2"/>
  <c r="I39" i="2"/>
  <c r="I66" i="2"/>
  <c r="K17" i="1"/>
  <c r="K20" i="1" s="1"/>
  <c r="K15" i="1"/>
  <c r="N27" i="14"/>
  <c r="C27" i="15"/>
  <c r="C21" i="15"/>
  <c r="M28" i="15"/>
  <c r="M33" i="15"/>
  <c r="K37" i="15"/>
  <c r="K34" i="15"/>
  <c r="I58" i="8"/>
  <c r="I58" i="2"/>
  <c r="I69" i="2" s="1"/>
  <c r="L63" i="2"/>
  <c r="F32" i="14"/>
  <c r="F27" i="14"/>
  <c r="P32" i="14"/>
  <c r="P27" i="14"/>
  <c r="O27" i="14"/>
  <c r="C36" i="14"/>
  <c r="N37" i="15"/>
  <c r="N34" i="15"/>
  <c r="F28" i="15"/>
  <c r="F33" i="15"/>
  <c r="O33" i="15"/>
  <c r="E58" i="15"/>
  <c r="E17" i="16"/>
  <c r="E19" i="16"/>
  <c r="E12" i="22"/>
  <c r="E26" i="22" s="1"/>
  <c r="L26" i="14"/>
  <c r="G27" i="15"/>
  <c r="I43" i="8"/>
  <c r="I59" i="8"/>
  <c r="I75" i="8"/>
  <c r="I91" i="8"/>
  <c r="I107" i="8"/>
  <c r="I4" i="8"/>
  <c r="M4" i="8" s="1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M250" i="8" s="1"/>
  <c r="M251" i="8" s="1"/>
  <c r="M252" i="8" s="1"/>
  <c r="M253" i="8" s="1"/>
  <c r="M254" i="8" s="1"/>
  <c r="M255" i="8" s="1"/>
  <c r="M256" i="8" s="1"/>
  <c r="M257" i="8" s="1"/>
  <c r="M258" i="8" s="1"/>
  <c r="M259" i="8" s="1"/>
  <c r="M260" i="8" s="1"/>
  <c r="M261" i="8" s="1"/>
  <c r="M262" i="8" s="1"/>
  <c r="M263" i="8" s="1"/>
  <c r="M264" i="8" s="1"/>
  <c r="M265" i="8" s="1"/>
  <c r="M266" i="8" s="1"/>
  <c r="M267" i="8" s="1"/>
  <c r="M268" i="8" s="1"/>
  <c r="M269" i="8" s="1"/>
  <c r="M270" i="8" s="1"/>
  <c r="M271" i="8" s="1"/>
  <c r="M272" i="8" s="1"/>
  <c r="M273" i="8" s="1"/>
  <c r="M274" i="8" s="1"/>
  <c r="M275" i="8" s="1"/>
  <c r="M276" i="8" s="1"/>
  <c r="M277" i="8" s="1"/>
  <c r="M278" i="8" s="1"/>
  <c r="M279" i="8" s="1"/>
  <c r="M280" i="8" s="1"/>
  <c r="M281" i="8" s="1"/>
  <c r="M282" i="8" s="1"/>
  <c r="M283" i="8" s="1"/>
  <c r="M284" i="8" s="1"/>
  <c r="M285" i="8" s="1"/>
  <c r="M286" i="8" s="1"/>
  <c r="M287" i="8" s="1"/>
  <c r="M288" i="8" s="1"/>
  <c r="M289" i="8" s="1"/>
  <c r="M290" i="8" s="1"/>
  <c r="M291" i="8" s="1"/>
  <c r="M292" i="8" s="1"/>
  <c r="M293" i="8" s="1"/>
  <c r="M294" i="8" s="1"/>
  <c r="M295" i="8" s="1"/>
  <c r="M296" i="8" s="1"/>
  <c r="M297" i="8" s="1"/>
  <c r="M298" i="8" s="1"/>
  <c r="M299" i="8" s="1"/>
  <c r="M300" i="8" s="1"/>
  <c r="M301" i="8" s="1"/>
  <c r="M302" i="8" s="1"/>
  <c r="M303" i="8" s="1"/>
  <c r="M304" i="8" s="1"/>
  <c r="M305" i="8" s="1"/>
  <c r="M306" i="8" s="1"/>
  <c r="M307" i="8" s="1"/>
  <c r="M308" i="8" s="1"/>
  <c r="M309" i="8" s="1"/>
  <c r="M310" i="8" s="1"/>
  <c r="M311" i="8" s="1"/>
  <c r="M312" i="8" s="1"/>
  <c r="M313" i="8" s="1"/>
  <c r="M314" i="8" s="1"/>
  <c r="M315" i="8" s="1"/>
  <c r="M316" i="8" s="1"/>
  <c r="M317" i="8" s="1"/>
  <c r="M318" i="8" s="1"/>
  <c r="M319" i="8" s="1"/>
  <c r="M320" i="8" s="1"/>
  <c r="M321" i="8" s="1"/>
  <c r="M322" i="8" s="1"/>
  <c r="M323" i="8" s="1"/>
  <c r="M324" i="8" s="1"/>
  <c r="M325" i="8" s="1"/>
  <c r="M326" i="8" s="1"/>
  <c r="M327" i="8" s="1"/>
  <c r="M328" i="8" s="1"/>
  <c r="M329" i="8" s="1"/>
  <c r="M330" i="8" s="1"/>
  <c r="M331" i="8" s="1"/>
  <c r="M332" i="8" s="1"/>
  <c r="M333" i="8" s="1"/>
  <c r="M334" i="8" s="1"/>
  <c r="M335" i="8" s="1"/>
  <c r="M336" i="8" s="1"/>
  <c r="M337" i="8" s="1"/>
  <c r="M338" i="8" s="1"/>
  <c r="M339" i="8" s="1"/>
  <c r="M340" i="8" s="1"/>
  <c r="M341" i="8" s="1"/>
  <c r="M342" i="8" s="1"/>
  <c r="M343" i="8" s="1"/>
  <c r="M344" i="8" s="1"/>
  <c r="M345" i="8" s="1"/>
  <c r="M346" i="8" s="1"/>
  <c r="M347" i="8" s="1"/>
  <c r="M348" i="8" s="1"/>
  <c r="M349" i="8" s="1"/>
  <c r="M350" i="8" s="1"/>
  <c r="M351" i="8" s="1"/>
  <c r="M352" i="8" s="1"/>
  <c r="M353" i="8" s="1"/>
  <c r="M354" i="8" s="1"/>
  <c r="M355" i="8" s="1"/>
  <c r="M356" i="8" s="1"/>
  <c r="M357" i="8" s="1"/>
  <c r="M358" i="8" s="1"/>
  <c r="M359" i="8" s="1"/>
  <c r="M360" i="8" s="1"/>
  <c r="M361" i="8" s="1"/>
  <c r="M362" i="8" s="1"/>
  <c r="M363" i="8" s="1"/>
  <c r="M364" i="8" s="1"/>
  <c r="M365" i="8" s="1"/>
  <c r="M366" i="8" s="1"/>
  <c r="M367" i="8" s="1"/>
  <c r="M368" i="8" s="1"/>
  <c r="M369" i="8" s="1"/>
  <c r="M370" i="8" s="1"/>
  <c r="M371" i="8" s="1"/>
  <c r="M372" i="8" s="1"/>
  <c r="M373" i="8" s="1"/>
  <c r="M374" i="8" s="1"/>
  <c r="M375" i="8" s="1"/>
  <c r="M376" i="8" s="1"/>
  <c r="M377" i="8" s="1"/>
  <c r="M378" i="8" s="1"/>
  <c r="M379" i="8" s="1"/>
  <c r="M380" i="8" s="1"/>
  <c r="M381" i="8" s="1"/>
  <c r="M382" i="8" s="1"/>
  <c r="M383" i="8" s="1"/>
  <c r="M384" i="8" s="1"/>
  <c r="M385" i="8" s="1"/>
  <c r="M386" i="8" s="1"/>
  <c r="M387" i="8" s="1"/>
  <c r="M388" i="8" s="1"/>
  <c r="M389" i="8" s="1"/>
  <c r="M390" i="8" s="1"/>
  <c r="M391" i="8" s="1"/>
  <c r="M392" i="8" s="1"/>
  <c r="M393" i="8" s="1"/>
  <c r="M394" i="8" s="1"/>
  <c r="M395" i="8" s="1"/>
  <c r="M396" i="8" s="1"/>
  <c r="M397" i="8" s="1"/>
  <c r="M398" i="8" s="1"/>
  <c r="M399" i="8" s="1"/>
  <c r="M400" i="8" s="1"/>
  <c r="M401" i="8" s="1"/>
  <c r="M402" i="8" s="1"/>
  <c r="M403" i="8" s="1"/>
  <c r="M404" i="8" s="1"/>
  <c r="M405" i="8" s="1"/>
  <c r="M406" i="8" s="1"/>
  <c r="M407" i="8" s="1"/>
  <c r="M408" i="8" s="1"/>
  <c r="M409" i="8" s="1"/>
  <c r="M410" i="8" s="1"/>
  <c r="M411" i="8" s="1"/>
  <c r="M412" i="8" s="1"/>
  <c r="M413" i="8" s="1"/>
  <c r="M414" i="8" s="1"/>
  <c r="M415" i="8" s="1"/>
  <c r="M416" i="8" s="1"/>
  <c r="M417" i="8" s="1"/>
  <c r="M418" i="8" s="1"/>
  <c r="M419" i="8" s="1"/>
  <c r="M420" i="8" s="1"/>
  <c r="M421" i="8" s="1"/>
  <c r="M422" i="8" s="1"/>
  <c r="M423" i="8" s="1"/>
  <c r="M424" i="8" s="1"/>
  <c r="M425" i="8" s="1"/>
  <c r="M426" i="8" s="1"/>
  <c r="M427" i="8" s="1"/>
  <c r="M428" i="8" s="1"/>
  <c r="M429" i="8" s="1"/>
  <c r="M430" i="8" s="1"/>
  <c r="M431" i="8" s="1"/>
  <c r="M432" i="8" s="1"/>
  <c r="M433" i="8" s="1"/>
  <c r="M434" i="8" s="1"/>
  <c r="M435" i="8" s="1"/>
  <c r="M436" i="8" s="1"/>
  <c r="M437" i="8" s="1"/>
  <c r="M438" i="8" s="1"/>
  <c r="M439" i="8" s="1"/>
  <c r="M440" i="8" s="1"/>
  <c r="M441" i="8" s="1"/>
  <c r="M442" i="8" s="1"/>
  <c r="M443" i="8" s="1"/>
  <c r="M444" i="8" s="1"/>
  <c r="M445" i="8" s="1"/>
  <c r="M446" i="8" s="1"/>
  <c r="M447" i="8" s="1"/>
  <c r="M448" i="8" s="1"/>
  <c r="M449" i="8" s="1"/>
  <c r="M450" i="8" s="1"/>
  <c r="M451" i="8" s="1"/>
  <c r="M452" i="8" s="1"/>
  <c r="M453" i="8" s="1"/>
  <c r="M454" i="8" s="1"/>
  <c r="M455" i="8" s="1"/>
  <c r="M456" i="8" s="1"/>
  <c r="M457" i="8" s="1"/>
  <c r="M458" i="8" s="1"/>
  <c r="M459" i="8" s="1"/>
  <c r="M460" i="8" s="1"/>
  <c r="M461" i="8" s="1"/>
  <c r="M462" i="8" s="1"/>
  <c r="M463" i="8" s="1"/>
  <c r="M464" i="8" s="1"/>
  <c r="M465" i="8" s="1"/>
  <c r="M466" i="8" s="1"/>
  <c r="M467" i="8" s="1"/>
  <c r="M468" i="8" s="1"/>
  <c r="M469" i="8" s="1"/>
  <c r="M470" i="8" s="1"/>
  <c r="M471" i="8" s="1"/>
  <c r="M472" i="8" s="1"/>
  <c r="M473" i="8" s="1"/>
  <c r="M474" i="8" s="1"/>
  <c r="M475" i="8" s="1"/>
  <c r="M476" i="8" s="1"/>
  <c r="M477" i="8" s="1"/>
  <c r="M478" i="8" s="1"/>
  <c r="M479" i="8" s="1"/>
  <c r="M480" i="8" s="1"/>
  <c r="M481" i="8" s="1"/>
  <c r="M482" i="8" s="1"/>
  <c r="M483" i="8" s="1"/>
  <c r="M484" i="8" s="1"/>
  <c r="M485" i="8" s="1"/>
  <c r="M486" i="8" s="1"/>
  <c r="M487" i="8" s="1"/>
  <c r="M488" i="8" s="1"/>
  <c r="M489" i="8" s="1"/>
  <c r="M490" i="8" s="1"/>
  <c r="M491" i="8" s="1"/>
  <c r="M492" i="8" s="1"/>
  <c r="M493" i="8" s="1"/>
  <c r="M494" i="8" s="1"/>
  <c r="M495" i="8" s="1"/>
  <c r="M496" i="8" s="1"/>
  <c r="M497" i="8" s="1"/>
  <c r="M498" i="8" s="1"/>
  <c r="M499" i="8" s="1"/>
  <c r="M500" i="8" s="1"/>
  <c r="M501" i="8" s="1"/>
  <c r="M502" i="8" s="1"/>
  <c r="M503" i="8" s="1"/>
  <c r="M504" i="8" s="1"/>
  <c r="M505" i="8" s="1"/>
  <c r="M506" i="8" s="1"/>
  <c r="M507" i="8" s="1"/>
  <c r="M508" i="8" s="1"/>
  <c r="M509" i="8" s="1"/>
  <c r="M510" i="8" s="1"/>
  <c r="M511" i="8" s="1"/>
  <c r="M512" i="8" s="1"/>
  <c r="M513" i="8" s="1"/>
  <c r="M514" i="8" s="1"/>
  <c r="M515" i="8" s="1"/>
  <c r="M516" i="8" s="1"/>
  <c r="M517" i="8" s="1"/>
  <c r="M518" i="8" s="1"/>
  <c r="M519" i="8" s="1"/>
  <c r="M520" i="8" s="1"/>
  <c r="M521" i="8" s="1"/>
  <c r="M522" i="8" s="1"/>
  <c r="M523" i="8" s="1"/>
  <c r="M524" i="8" s="1"/>
  <c r="M525" i="8" s="1"/>
  <c r="M526" i="8" s="1"/>
  <c r="M527" i="8" s="1"/>
  <c r="M528" i="8" s="1"/>
  <c r="M529" i="8" s="1"/>
  <c r="M530" i="8" s="1"/>
  <c r="M531" i="8" s="1"/>
  <c r="M532" i="8" s="1"/>
  <c r="M533" i="8" s="1"/>
  <c r="M534" i="8" s="1"/>
  <c r="M535" i="8" s="1"/>
  <c r="M536" i="8" s="1"/>
  <c r="M537" i="8" s="1"/>
  <c r="M538" i="8" s="1"/>
  <c r="M539" i="8" s="1"/>
  <c r="M540" i="8" s="1"/>
  <c r="M541" i="8" s="1"/>
  <c r="M542" i="8" s="1"/>
  <c r="M543" i="8" s="1"/>
  <c r="M544" i="8" s="1"/>
  <c r="M545" i="8" s="1"/>
  <c r="M546" i="8" s="1"/>
  <c r="M547" i="8" s="1"/>
  <c r="M548" i="8" s="1"/>
  <c r="M549" i="8" s="1"/>
  <c r="M550" i="8" s="1"/>
  <c r="M551" i="8" s="1"/>
  <c r="M552" i="8" s="1"/>
  <c r="M553" i="8" s="1"/>
  <c r="M554" i="8" s="1"/>
  <c r="M555" i="8" s="1"/>
  <c r="M556" i="8" s="1"/>
  <c r="M557" i="8" s="1"/>
  <c r="M558" i="8" s="1"/>
  <c r="M559" i="8" s="1"/>
  <c r="M560" i="8" s="1"/>
  <c r="M561" i="8" s="1"/>
  <c r="M562" i="8" s="1"/>
  <c r="M563" i="8" s="1"/>
  <c r="M564" i="8" s="1"/>
  <c r="M565" i="8" s="1"/>
  <c r="M566" i="8" s="1"/>
  <c r="M567" i="8" s="1"/>
  <c r="M568" i="8" s="1"/>
  <c r="M569" i="8" s="1"/>
  <c r="M570" i="8" s="1"/>
  <c r="M571" i="8" s="1"/>
  <c r="M572" i="8" s="1"/>
  <c r="M573" i="8" s="1"/>
  <c r="M574" i="8" s="1"/>
  <c r="M575" i="8" s="1"/>
  <c r="M576" i="8" s="1"/>
  <c r="M577" i="8" s="1"/>
  <c r="M578" i="8" s="1"/>
  <c r="M579" i="8" s="1"/>
  <c r="M580" i="8" s="1"/>
  <c r="M581" i="8" s="1"/>
  <c r="M582" i="8" s="1"/>
  <c r="M583" i="8" s="1"/>
  <c r="M584" i="8" s="1"/>
  <c r="M585" i="8" s="1"/>
  <c r="M586" i="8" s="1"/>
  <c r="M587" i="8" s="1"/>
  <c r="M588" i="8" s="1"/>
  <c r="M589" i="8" s="1"/>
  <c r="M590" i="8" s="1"/>
  <c r="M591" i="8" s="1"/>
  <c r="M592" i="8" s="1"/>
  <c r="M593" i="8" s="1"/>
  <c r="M594" i="8" s="1"/>
  <c r="M595" i="8" s="1"/>
  <c r="M596" i="8" s="1"/>
  <c r="M597" i="8" s="1"/>
  <c r="M598" i="8" s="1"/>
  <c r="M599" i="8" s="1"/>
  <c r="M600" i="8" s="1"/>
  <c r="M601" i="8" s="1"/>
  <c r="M602" i="8" s="1"/>
  <c r="M603" i="8" s="1"/>
  <c r="M604" i="8" s="1"/>
  <c r="M605" i="8" s="1"/>
  <c r="M606" i="8" s="1"/>
  <c r="M607" i="8" s="1"/>
  <c r="M608" i="8" s="1"/>
  <c r="M609" i="8" s="1"/>
  <c r="M610" i="8" s="1"/>
  <c r="M611" i="8" s="1"/>
  <c r="M612" i="8" s="1"/>
  <c r="M613" i="8" s="1"/>
  <c r="M614" i="8" s="1"/>
  <c r="M615" i="8" s="1"/>
  <c r="M616" i="8" s="1"/>
  <c r="M617" i="8" s="1"/>
  <c r="M618" i="8" s="1"/>
  <c r="M619" i="8" s="1"/>
  <c r="M620" i="8" s="1"/>
  <c r="M621" i="8" s="1"/>
  <c r="M622" i="8" s="1"/>
  <c r="M623" i="8" s="1"/>
  <c r="M624" i="8" s="1"/>
  <c r="M625" i="8" s="1"/>
  <c r="M626" i="8" s="1"/>
  <c r="M627" i="8" s="1"/>
  <c r="M628" i="8" s="1"/>
  <c r="M629" i="8" s="1"/>
  <c r="M630" i="8" s="1"/>
  <c r="M631" i="8" s="1"/>
  <c r="M632" i="8" s="1"/>
  <c r="M633" i="8" s="1"/>
  <c r="M634" i="8" s="1"/>
  <c r="M635" i="8" s="1"/>
  <c r="M636" i="8" s="1"/>
  <c r="M637" i="8" s="1"/>
  <c r="M638" i="8" s="1"/>
  <c r="M639" i="8" s="1"/>
  <c r="M640" i="8" s="1"/>
  <c r="M641" i="8" s="1"/>
  <c r="M642" i="8" s="1"/>
  <c r="M643" i="8" s="1"/>
  <c r="M644" i="8" s="1"/>
  <c r="M645" i="8" s="1"/>
  <c r="M646" i="8" s="1"/>
  <c r="M647" i="8" s="1"/>
  <c r="M648" i="8" s="1"/>
  <c r="M649" i="8" s="1"/>
  <c r="M650" i="8" s="1"/>
  <c r="M651" i="8" s="1"/>
  <c r="M652" i="8" s="1"/>
  <c r="M653" i="8" s="1"/>
  <c r="M654" i="8" s="1"/>
  <c r="M655" i="8" s="1"/>
  <c r="M656" i="8" s="1"/>
  <c r="M657" i="8" s="1"/>
  <c r="M658" i="8" s="1"/>
  <c r="M659" i="8" s="1"/>
  <c r="M660" i="8" s="1"/>
  <c r="M661" i="8" s="1"/>
  <c r="M662" i="8" s="1"/>
  <c r="M663" i="8" s="1"/>
  <c r="M664" i="8" s="1"/>
  <c r="M665" i="8" s="1"/>
  <c r="M666" i="8" s="1"/>
  <c r="M667" i="8" s="1"/>
  <c r="M668" i="8" s="1"/>
  <c r="M669" i="8" s="1"/>
  <c r="M670" i="8" s="1"/>
  <c r="M671" i="8" s="1"/>
  <c r="M672" i="8" s="1"/>
  <c r="M673" i="8" s="1"/>
  <c r="M674" i="8" s="1"/>
  <c r="M675" i="8" s="1"/>
  <c r="M676" i="8" s="1"/>
  <c r="M677" i="8" s="1"/>
  <c r="M678" i="8" s="1"/>
  <c r="M679" i="8" s="1"/>
  <c r="M680" i="8" s="1"/>
  <c r="M681" i="8" s="1"/>
  <c r="M682" i="8" s="1"/>
  <c r="M683" i="8" s="1"/>
  <c r="M684" i="8" s="1"/>
  <c r="M685" i="8" s="1"/>
  <c r="M686" i="8" s="1"/>
  <c r="M687" i="8" s="1"/>
  <c r="M688" i="8" s="1"/>
  <c r="M689" i="8" s="1"/>
  <c r="M690" i="8" s="1"/>
  <c r="M691" i="8" s="1"/>
  <c r="M692" i="8" s="1"/>
  <c r="M693" i="8" s="1"/>
  <c r="M694" i="8" s="1"/>
  <c r="M695" i="8" s="1"/>
  <c r="M696" i="8" s="1"/>
  <c r="M697" i="8" s="1"/>
  <c r="M698" i="8" s="1"/>
  <c r="M699" i="8" s="1"/>
  <c r="M700" i="8" s="1"/>
  <c r="M701" i="8" s="1"/>
  <c r="M702" i="8" s="1"/>
  <c r="M703" i="8" s="1"/>
  <c r="M704" i="8" s="1"/>
  <c r="M705" i="8" s="1"/>
  <c r="M706" i="8" s="1"/>
  <c r="M707" i="8" s="1"/>
  <c r="M708" i="8" s="1"/>
  <c r="M709" i="8" s="1"/>
  <c r="M710" i="8" s="1"/>
  <c r="M711" i="8" s="1"/>
  <c r="M712" i="8" s="1"/>
  <c r="M713" i="8" s="1"/>
  <c r="M714" i="8" s="1"/>
  <c r="M715" i="8" s="1"/>
  <c r="M716" i="8" s="1"/>
  <c r="M717" i="8" s="1"/>
  <c r="M718" i="8" s="1"/>
  <c r="M719" i="8" s="1"/>
  <c r="M720" i="8" s="1"/>
  <c r="M721" i="8" s="1"/>
  <c r="M722" i="8" s="1"/>
  <c r="M723" i="8" s="1"/>
  <c r="M724" i="8" s="1"/>
  <c r="M725" i="8" s="1"/>
  <c r="M726" i="8" s="1"/>
  <c r="M727" i="8" s="1"/>
  <c r="M728" i="8" s="1"/>
  <c r="M729" i="8" s="1"/>
  <c r="M730" i="8" s="1"/>
  <c r="M731" i="8" s="1"/>
  <c r="M732" i="8" s="1"/>
  <c r="M733" i="8" s="1"/>
  <c r="M734" i="8" s="1"/>
  <c r="M735" i="8" s="1"/>
  <c r="M736" i="8" s="1"/>
  <c r="M737" i="8" s="1"/>
  <c r="M738" i="8" s="1"/>
  <c r="M739" i="8" s="1"/>
  <c r="M740" i="8" s="1"/>
  <c r="M741" i="8" s="1"/>
  <c r="M742" i="8" s="1"/>
  <c r="M743" i="8" s="1"/>
  <c r="M744" i="8" s="1"/>
  <c r="M745" i="8" s="1"/>
  <c r="M746" i="8" s="1"/>
  <c r="M747" i="8" s="1"/>
  <c r="M748" i="8" s="1"/>
  <c r="M749" i="8" s="1"/>
  <c r="M750" i="8" s="1"/>
  <c r="M751" i="8" s="1"/>
  <c r="M752" i="8" s="1"/>
  <c r="M753" i="8" s="1"/>
  <c r="M754" i="8" s="1"/>
  <c r="M755" i="8" s="1"/>
  <c r="M756" i="8" s="1"/>
  <c r="M757" i="8" s="1"/>
  <c r="M758" i="8" s="1"/>
  <c r="M759" i="8" s="1"/>
  <c r="M760" i="8" s="1"/>
  <c r="M761" i="8" s="1"/>
  <c r="M762" i="8" s="1"/>
  <c r="M763" i="8" s="1"/>
  <c r="M764" i="8" s="1"/>
  <c r="M765" i="8" s="1"/>
  <c r="M766" i="8" s="1"/>
  <c r="M767" i="8" s="1"/>
  <c r="M768" i="8" s="1"/>
  <c r="M769" i="8" s="1"/>
  <c r="M770" i="8" s="1"/>
  <c r="M771" i="8" s="1"/>
  <c r="M772" i="8" s="1"/>
  <c r="M773" i="8" s="1"/>
  <c r="M774" i="8" s="1"/>
  <c r="M775" i="8" s="1"/>
  <c r="M776" i="8" s="1"/>
  <c r="M777" i="8" s="1"/>
  <c r="M778" i="8" s="1"/>
  <c r="M779" i="8" s="1"/>
  <c r="M780" i="8" s="1"/>
  <c r="M781" i="8" s="1"/>
  <c r="M782" i="8" s="1"/>
  <c r="M783" i="8" s="1"/>
  <c r="M784" i="8" s="1"/>
  <c r="M785" i="8" s="1"/>
  <c r="M786" i="8" s="1"/>
  <c r="M787" i="8" s="1"/>
  <c r="M788" i="8" s="1"/>
  <c r="M789" i="8" s="1"/>
  <c r="M790" i="8" s="1"/>
  <c r="M791" i="8" s="1"/>
  <c r="M792" i="8" s="1"/>
  <c r="M793" i="8" s="1"/>
  <c r="M794" i="8" s="1"/>
  <c r="M795" i="8" s="1"/>
  <c r="M796" i="8" s="1"/>
  <c r="M797" i="8" s="1"/>
  <c r="M798" i="8" s="1"/>
  <c r="M799" i="8" s="1"/>
  <c r="M800" i="8" s="1"/>
  <c r="M801" i="8" s="1"/>
  <c r="M802" i="8" s="1"/>
  <c r="M803" i="8" s="1"/>
  <c r="M804" i="8" s="1"/>
  <c r="M805" i="8" s="1"/>
  <c r="M806" i="8" s="1"/>
  <c r="M807" i="8" s="1"/>
  <c r="M808" i="8" s="1"/>
  <c r="M809" i="8" s="1"/>
  <c r="M810" i="8" s="1"/>
  <c r="M811" i="8" s="1"/>
  <c r="M812" i="8" s="1"/>
  <c r="M813" i="8" s="1"/>
  <c r="M814" i="8" s="1"/>
  <c r="M815" i="8" s="1"/>
  <c r="M816" i="8" s="1"/>
  <c r="M817" i="8" s="1"/>
  <c r="M818" i="8" s="1"/>
  <c r="M819" i="8" s="1"/>
  <c r="M820" i="8" s="1"/>
  <c r="M821" i="8" s="1"/>
  <c r="M822" i="8" s="1"/>
  <c r="M823" i="8" s="1"/>
  <c r="M824" i="8" s="1"/>
  <c r="M825" i="8" s="1"/>
  <c r="M826" i="8" s="1"/>
  <c r="M827" i="8" s="1"/>
  <c r="M828" i="8" s="1"/>
  <c r="M829" i="8" s="1"/>
  <c r="M830" i="8" s="1"/>
  <c r="M831" i="8" s="1"/>
  <c r="M832" i="8" s="1"/>
  <c r="M833" i="8" s="1"/>
  <c r="M834" i="8" s="1"/>
  <c r="M835" i="8" s="1"/>
  <c r="M836" i="8" s="1"/>
  <c r="M837" i="8" s="1"/>
  <c r="M838" i="8" s="1"/>
  <c r="M839" i="8" s="1"/>
  <c r="M840" i="8" s="1"/>
  <c r="M841" i="8" s="1"/>
  <c r="M842" i="8" s="1"/>
  <c r="M843" i="8" s="1"/>
  <c r="M844" i="8" s="1"/>
  <c r="M845" i="8" s="1"/>
  <c r="M846" i="8" s="1"/>
  <c r="M847" i="8" s="1"/>
  <c r="M848" i="8" s="1"/>
  <c r="M849" i="8" s="1"/>
  <c r="M850" i="8" s="1"/>
  <c r="M851" i="8" s="1"/>
  <c r="M852" i="8" s="1"/>
  <c r="M853" i="8" s="1"/>
  <c r="M854" i="8" s="1"/>
  <c r="M855" i="8" s="1"/>
  <c r="M856" i="8" s="1"/>
  <c r="M857" i="8" s="1"/>
  <c r="M858" i="8" s="1"/>
  <c r="M859" i="8" s="1"/>
  <c r="M860" i="8" s="1"/>
  <c r="M861" i="8" s="1"/>
  <c r="M862" i="8" s="1"/>
  <c r="M863" i="8" s="1"/>
  <c r="M864" i="8" s="1"/>
  <c r="M865" i="8" s="1"/>
  <c r="M866" i="8" s="1"/>
  <c r="M867" i="8" s="1"/>
  <c r="M868" i="8" s="1"/>
  <c r="M869" i="8" s="1"/>
  <c r="M870" i="8" s="1"/>
  <c r="M871" i="8" s="1"/>
  <c r="M872" i="8" s="1"/>
  <c r="M873" i="8" s="1"/>
  <c r="M874" i="8" s="1"/>
  <c r="M875" i="8" s="1"/>
  <c r="M876" i="8" s="1"/>
  <c r="M877" i="8" s="1"/>
  <c r="M878" i="8" s="1"/>
  <c r="M879" i="8" s="1"/>
  <c r="M880" i="8" s="1"/>
  <c r="M881" i="8" s="1"/>
  <c r="M882" i="8" s="1"/>
  <c r="M883" i="8" s="1"/>
  <c r="M884" i="8" s="1"/>
  <c r="M885" i="8" s="1"/>
  <c r="M886" i="8" s="1"/>
  <c r="M887" i="8" s="1"/>
  <c r="M888" i="8" s="1"/>
  <c r="M889" i="8" s="1"/>
  <c r="M890" i="8" s="1"/>
  <c r="M891" i="8" s="1"/>
  <c r="M892" i="8" s="1"/>
  <c r="M893" i="8" s="1"/>
  <c r="M894" i="8" s="1"/>
  <c r="M895" i="8" s="1"/>
  <c r="M896" i="8" s="1"/>
  <c r="M897" i="8" s="1"/>
  <c r="M898" i="8" s="1"/>
  <c r="M899" i="8" s="1"/>
  <c r="M900" i="8" s="1"/>
  <c r="M901" i="8" s="1"/>
  <c r="M902" i="8" s="1"/>
  <c r="M903" i="8" s="1"/>
  <c r="M904" i="8" s="1"/>
  <c r="M905" i="8" s="1"/>
  <c r="M906" i="8" s="1"/>
  <c r="M907" i="8" s="1"/>
  <c r="M908" i="8" s="1"/>
  <c r="M909" i="8" s="1"/>
  <c r="M910" i="8" s="1"/>
  <c r="M911" i="8" s="1"/>
  <c r="M912" i="8" s="1"/>
  <c r="M913" i="8" s="1"/>
  <c r="M914" i="8" s="1"/>
  <c r="M915" i="8" s="1"/>
  <c r="M916" i="8" s="1"/>
  <c r="M917" i="8" s="1"/>
  <c r="M918" i="8" s="1"/>
  <c r="M919" i="8" s="1"/>
  <c r="M920" i="8" s="1"/>
  <c r="M921" i="8" s="1"/>
  <c r="M922" i="8" s="1"/>
  <c r="M923" i="8" s="1"/>
  <c r="M924" i="8" s="1"/>
  <c r="M925" i="8" s="1"/>
  <c r="M926" i="8" s="1"/>
  <c r="M927" i="8" s="1"/>
  <c r="M928" i="8" s="1"/>
  <c r="M929" i="8" s="1"/>
  <c r="M930" i="8" s="1"/>
  <c r="M931" i="8" s="1"/>
  <c r="M932" i="8" s="1"/>
  <c r="M933" i="8" s="1"/>
  <c r="M934" i="8" s="1"/>
  <c r="M935" i="8" s="1"/>
  <c r="M936" i="8" s="1"/>
  <c r="M937" i="8" s="1"/>
  <c r="M938" i="8" s="1"/>
  <c r="M939" i="8" s="1"/>
  <c r="M940" i="8" s="1"/>
  <c r="M941" i="8" s="1"/>
  <c r="M942" i="8" s="1"/>
  <c r="M943" i="8" s="1"/>
  <c r="M944" i="8" s="1"/>
  <c r="M945" i="8" s="1"/>
  <c r="M946" i="8" s="1"/>
  <c r="M947" i="8" s="1"/>
  <c r="M948" i="8" s="1"/>
  <c r="M949" i="8" s="1"/>
  <c r="M950" i="8" s="1"/>
  <c r="M951" i="8" s="1"/>
  <c r="M952" i="8" s="1"/>
  <c r="M953" i="8" s="1"/>
  <c r="M954" i="8" s="1"/>
  <c r="M955" i="8" s="1"/>
  <c r="M956" i="8" s="1"/>
  <c r="M957" i="8" s="1"/>
  <c r="M958" i="8" s="1"/>
  <c r="M959" i="8" s="1"/>
  <c r="M960" i="8" s="1"/>
  <c r="M961" i="8" s="1"/>
  <c r="M962" i="8" s="1"/>
  <c r="M963" i="8" s="1"/>
  <c r="M964" i="8" s="1"/>
  <c r="M965" i="8" s="1"/>
  <c r="M966" i="8" s="1"/>
  <c r="M967" i="8" s="1"/>
  <c r="M968" i="8" s="1"/>
  <c r="M969" i="8" s="1"/>
  <c r="M970" i="8" s="1"/>
  <c r="M971" i="8" s="1"/>
  <c r="M972" i="8" s="1"/>
  <c r="M973" i="8" s="1"/>
  <c r="M974" i="8" s="1"/>
  <c r="M975" i="8" s="1"/>
  <c r="M976" i="8" s="1"/>
  <c r="M977" i="8" s="1"/>
  <c r="M978" i="8" s="1"/>
  <c r="M979" i="8" s="1"/>
  <c r="M980" i="8" s="1"/>
  <c r="M981" i="8" s="1"/>
  <c r="M982" i="8" s="1"/>
  <c r="M983" i="8" s="1"/>
  <c r="M984" i="8" s="1"/>
  <c r="M985" i="8" s="1"/>
  <c r="M986" i="8" s="1"/>
  <c r="M987" i="8" s="1"/>
  <c r="M988" i="8" s="1"/>
  <c r="M989" i="8" s="1"/>
  <c r="M990" i="8" s="1"/>
  <c r="M991" i="8" s="1"/>
  <c r="M992" i="8" s="1"/>
  <c r="M993" i="8" s="1"/>
  <c r="M994" i="8" s="1"/>
  <c r="M995" i="8" s="1"/>
  <c r="M996" i="8" s="1"/>
  <c r="M997" i="8" s="1"/>
  <c r="M998" i="8" s="1"/>
  <c r="M999" i="8" s="1"/>
  <c r="M1000" i="8" s="1"/>
  <c r="M1001" i="8" s="1"/>
  <c r="M1002" i="8" s="1"/>
  <c r="M1003" i="8" s="1"/>
  <c r="M1004" i="8" s="1"/>
  <c r="M1005" i="8" s="1"/>
  <c r="M1006" i="8" s="1"/>
  <c r="M1007" i="8" s="1"/>
  <c r="M1008" i="8" s="1"/>
  <c r="M1009" i="8" s="1"/>
  <c r="M1010" i="8" s="1"/>
  <c r="M1011" i="8" s="1"/>
  <c r="M1012" i="8" s="1"/>
  <c r="M1013" i="8" s="1"/>
  <c r="M1014" i="8" s="1"/>
  <c r="M1015" i="8" s="1"/>
  <c r="M1016" i="8" s="1"/>
  <c r="M1017" i="8" s="1"/>
  <c r="M1018" i="8" s="1"/>
  <c r="M1019" i="8" s="1"/>
  <c r="M1020" i="8" s="1"/>
  <c r="M1021" i="8" s="1"/>
  <c r="M1022" i="8" s="1"/>
  <c r="M1023" i="8" s="1"/>
  <c r="M1024" i="8" s="1"/>
  <c r="M1025" i="8" s="1"/>
  <c r="M1026" i="8" s="1"/>
  <c r="M1027" i="8" s="1"/>
  <c r="M1028" i="8" s="1"/>
  <c r="M1029" i="8" s="1"/>
  <c r="M1030" i="8" s="1"/>
  <c r="M1031" i="8" s="1"/>
  <c r="M1032" i="8" s="1"/>
  <c r="M1033" i="8" s="1"/>
  <c r="M1034" i="8" s="1"/>
  <c r="M1035" i="8" s="1"/>
  <c r="M1036" i="8" s="1"/>
  <c r="M1037" i="8" s="1"/>
  <c r="M1038" i="8" s="1"/>
  <c r="M1039" i="8" s="1"/>
  <c r="M1040" i="8" s="1"/>
  <c r="M1041" i="8" s="1"/>
  <c r="M1042" i="8" s="1"/>
  <c r="M1043" i="8" s="1"/>
  <c r="M1044" i="8" s="1"/>
  <c r="M1045" i="8" s="1"/>
  <c r="M1046" i="8" s="1"/>
  <c r="M1047" i="8" s="1"/>
  <c r="M1048" i="8" s="1"/>
  <c r="M1049" i="8" s="1"/>
  <c r="M1050" i="8" s="1"/>
  <c r="M1051" i="8" s="1"/>
  <c r="M1052" i="8" s="1"/>
  <c r="M1053" i="8" s="1"/>
  <c r="M1054" i="8" s="1"/>
  <c r="M1055" i="8" s="1"/>
  <c r="M1056" i="8" s="1"/>
  <c r="M1057" i="8" s="1"/>
  <c r="M1058" i="8" s="1"/>
  <c r="M1059" i="8" s="1"/>
  <c r="M1060" i="8" s="1"/>
  <c r="M1061" i="8" s="1"/>
  <c r="M1062" i="8" s="1"/>
  <c r="M1063" i="8" s="1"/>
  <c r="M1064" i="8" s="1"/>
  <c r="M1065" i="8" s="1"/>
  <c r="M1066" i="8" s="1"/>
  <c r="M1067" i="8" s="1"/>
  <c r="M1068" i="8" s="1"/>
  <c r="M1069" i="8" s="1"/>
  <c r="M1070" i="8" s="1"/>
  <c r="M1071" i="8" s="1"/>
  <c r="M1072" i="8" s="1"/>
  <c r="M1073" i="8" s="1"/>
  <c r="M1074" i="8" s="1"/>
  <c r="M1075" i="8" s="1"/>
  <c r="M1076" i="8" s="1"/>
  <c r="M1077" i="8" s="1"/>
  <c r="M1078" i="8" s="1"/>
  <c r="M1079" i="8" s="1"/>
  <c r="M1080" i="8" s="1"/>
  <c r="M1081" i="8" s="1"/>
  <c r="M1082" i="8" s="1"/>
  <c r="M1083" i="8" s="1"/>
  <c r="M1084" i="8" s="1"/>
  <c r="M1085" i="8" s="1"/>
  <c r="M1086" i="8" s="1"/>
  <c r="M1087" i="8" s="1"/>
  <c r="M1088" i="8" s="1"/>
  <c r="M1089" i="8" s="1"/>
  <c r="M1090" i="8" s="1"/>
  <c r="M1091" i="8" s="1"/>
  <c r="M1092" i="8" s="1"/>
  <c r="M1093" i="8" s="1"/>
  <c r="M1094" i="8" s="1"/>
  <c r="M1095" i="8" s="1"/>
  <c r="M1096" i="8" s="1"/>
  <c r="M1097" i="8" s="1"/>
  <c r="M1098" i="8" s="1"/>
  <c r="M1099" i="8" s="1"/>
  <c r="M1100" i="8" s="1"/>
  <c r="M1101" i="8" s="1"/>
  <c r="M1102" i="8" s="1"/>
  <c r="M1103" i="8" s="1"/>
  <c r="M1104" i="8" s="1"/>
  <c r="M1105" i="8" s="1"/>
  <c r="M1106" i="8" s="1"/>
  <c r="M1107" i="8" s="1"/>
  <c r="M1108" i="8" s="1"/>
  <c r="M1109" i="8" s="1"/>
  <c r="M1110" i="8" s="1"/>
  <c r="M1111" i="8" s="1"/>
  <c r="M1112" i="8" s="1"/>
  <c r="M1113" i="8" s="1"/>
  <c r="M1114" i="8" s="1"/>
  <c r="M1115" i="8" s="1"/>
  <c r="M1116" i="8" s="1"/>
  <c r="M1117" i="8" s="1"/>
  <c r="M1118" i="8" s="1"/>
  <c r="M1119" i="8" s="1"/>
  <c r="M1120" i="8" s="1"/>
  <c r="M1121" i="8" s="1"/>
  <c r="M1122" i="8" s="1"/>
  <c r="M1123" i="8" s="1"/>
  <c r="M1124" i="8" s="1"/>
  <c r="M1125" i="8" s="1"/>
  <c r="M1126" i="8" s="1"/>
  <c r="M1127" i="8" s="1"/>
  <c r="M1128" i="8" s="1"/>
  <c r="M1129" i="8" s="1"/>
  <c r="M1130" i="8" s="1"/>
  <c r="M1131" i="8" s="1"/>
  <c r="M1132" i="8" s="1"/>
  <c r="M1133" i="8" s="1"/>
  <c r="M1134" i="8" s="1"/>
  <c r="M1135" i="8" s="1"/>
  <c r="M1136" i="8" s="1"/>
  <c r="M1137" i="8" s="1"/>
  <c r="M1138" i="8" s="1"/>
  <c r="M1139" i="8" s="1"/>
  <c r="M1140" i="8" s="1"/>
  <c r="M1141" i="8" s="1"/>
  <c r="M1142" i="8" s="1"/>
  <c r="M1143" i="8" s="1"/>
  <c r="M1144" i="8" s="1"/>
  <c r="M1145" i="8" s="1"/>
  <c r="M1146" i="8" s="1"/>
  <c r="M1147" i="8" s="1"/>
  <c r="M1148" i="8" s="1"/>
  <c r="M1149" i="8" s="1"/>
  <c r="M1150" i="8" s="1"/>
  <c r="M1151" i="8" s="1"/>
  <c r="M1152" i="8" s="1"/>
  <c r="M1153" i="8" s="1"/>
  <c r="M1154" i="8" s="1"/>
  <c r="M1155" i="8" s="1"/>
  <c r="M1156" i="8" s="1"/>
  <c r="M1157" i="8" s="1"/>
  <c r="M1158" i="8" s="1"/>
  <c r="M1159" i="8" s="1"/>
  <c r="M1160" i="8" s="1"/>
  <c r="M1161" i="8" s="1"/>
  <c r="M1162" i="8" s="1"/>
  <c r="M1163" i="8" s="1"/>
  <c r="M1164" i="8" s="1"/>
  <c r="M1165" i="8" s="1"/>
  <c r="M1166" i="8" s="1"/>
  <c r="M1167" i="8" s="1"/>
  <c r="M1168" i="8" s="1"/>
  <c r="M1169" i="8" s="1"/>
  <c r="M1170" i="8" s="1"/>
  <c r="M1171" i="8" s="1"/>
  <c r="M1172" i="8" s="1"/>
  <c r="M1173" i="8" s="1"/>
  <c r="M1174" i="8" s="1"/>
  <c r="M1175" i="8" s="1"/>
  <c r="M1176" i="8" s="1"/>
  <c r="M1177" i="8" s="1"/>
  <c r="M1178" i="8" s="1"/>
  <c r="M1179" i="8" s="1"/>
  <c r="M1180" i="8" s="1"/>
  <c r="M1181" i="8" s="1"/>
  <c r="M1182" i="8" s="1"/>
  <c r="M1183" i="8" s="1"/>
  <c r="M1184" i="8" s="1"/>
  <c r="M1185" i="8" s="1"/>
  <c r="M1186" i="8" s="1"/>
  <c r="M1187" i="8" s="1"/>
  <c r="M1188" i="8" s="1"/>
  <c r="M1189" i="8" s="1"/>
  <c r="M1190" i="8" s="1"/>
  <c r="M1191" i="8" s="1"/>
  <c r="M1192" i="8" s="1"/>
  <c r="M1193" i="8" s="1"/>
  <c r="M1194" i="8" s="1"/>
  <c r="M1195" i="8" s="1"/>
  <c r="M1196" i="8" s="1"/>
  <c r="M1197" i="8" s="1"/>
  <c r="M1198" i="8" s="1"/>
  <c r="M1199" i="8" s="1"/>
  <c r="M1200" i="8" s="1"/>
  <c r="M1201" i="8" s="1"/>
  <c r="M1202" i="8" s="1"/>
  <c r="M1203" i="8" s="1"/>
  <c r="M1204" i="8" s="1"/>
  <c r="M1205" i="8" s="1"/>
  <c r="M1206" i="8" s="1"/>
  <c r="M1207" i="8" s="1"/>
  <c r="M1208" i="8" s="1"/>
  <c r="M1209" i="8" s="1"/>
  <c r="M1210" i="8" s="1"/>
  <c r="M1211" i="8" s="1"/>
  <c r="M1212" i="8" s="1"/>
  <c r="M1213" i="8" s="1"/>
  <c r="M1214" i="8" s="1"/>
  <c r="M1215" i="8" s="1"/>
  <c r="M1216" i="8" s="1"/>
  <c r="M1217" i="8" s="1"/>
  <c r="M1218" i="8" s="1"/>
  <c r="M1219" i="8" s="1"/>
  <c r="M1220" i="8" s="1"/>
  <c r="M1221" i="8" s="1"/>
  <c r="M1222" i="8" s="1"/>
  <c r="M1223" i="8" s="1"/>
  <c r="M1224" i="8" s="1"/>
  <c r="M1225" i="8" s="1"/>
  <c r="M1226" i="8" s="1"/>
  <c r="M1227" i="8" s="1"/>
  <c r="M1228" i="8" s="1"/>
  <c r="M1229" i="8" s="1"/>
  <c r="M1230" i="8" s="1"/>
  <c r="M1231" i="8" s="1"/>
  <c r="M1232" i="8" s="1"/>
  <c r="M1233" i="8" s="1"/>
  <c r="M1234" i="8" s="1"/>
  <c r="S25" i="8" s="1"/>
  <c r="T25" i="8" s="1"/>
  <c r="I12" i="8"/>
  <c r="I20" i="8"/>
  <c r="I26" i="8"/>
  <c r="I224" i="8"/>
  <c r="I387" i="8"/>
  <c r="I190" i="8"/>
  <c r="I215" i="8"/>
  <c r="I231" i="8"/>
  <c r="H28" i="15"/>
  <c r="D6" i="16"/>
  <c r="D41" i="16"/>
  <c r="I33" i="8"/>
  <c r="I49" i="8"/>
  <c r="I65" i="8"/>
  <c r="I81" i="8"/>
  <c r="I97" i="8"/>
  <c r="I104" i="8"/>
  <c r="I113" i="8"/>
  <c r="I128" i="8"/>
  <c r="I222" i="8"/>
  <c r="I511" i="8"/>
  <c r="I510" i="8"/>
  <c r="F63" i="15"/>
  <c r="I35" i="8"/>
  <c r="I51" i="8"/>
  <c r="I67" i="8"/>
  <c r="I83" i="8"/>
  <c r="I99" i="8"/>
  <c r="I115" i="8"/>
  <c r="I117" i="8"/>
  <c r="D27" i="15"/>
  <c r="L28" i="15"/>
  <c r="D58" i="15"/>
  <c r="D54" i="15"/>
  <c r="D57" i="15"/>
  <c r="J62" i="15" s="1"/>
  <c r="J63" i="15" s="1"/>
  <c r="D12" i="16"/>
  <c r="G17" i="16"/>
  <c r="G19" i="16" s="1"/>
  <c r="I8" i="8"/>
  <c r="I16" i="8"/>
  <c r="I24" i="8"/>
  <c r="I28" i="8"/>
  <c r="I37" i="8"/>
  <c r="I44" i="8"/>
  <c r="I53" i="8"/>
  <c r="I60" i="8"/>
  <c r="I69" i="8"/>
  <c r="I76" i="8"/>
  <c r="I85" i="8"/>
  <c r="I92" i="8"/>
  <c r="I101" i="8"/>
  <c r="I108" i="8"/>
  <c r="I119" i="8"/>
  <c r="I121" i="8"/>
  <c r="I256" i="8"/>
  <c r="L45" i="15"/>
  <c r="L42" i="15"/>
  <c r="D16" i="16"/>
  <c r="S33" i="16"/>
  <c r="S38" i="16" s="1"/>
  <c r="N46" i="16"/>
  <c r="I5" i="8"/>
  <c r="I13" i="8"/>
  <c r="I21" i="8"/>
  <c r="I30" i="8"/>
  <c r="I39" i="8"/>
  <c r="I46" i="8"/>
  <c r="I125" i="8"/>
  <c r="J21" i="17"/>
  <c r="K21" i="17" s="1"/>
  <c r="L11" i="17" s="1"/>
  <c r="K46" i="17" s="1"/>
  <c r="K44" i="17" s="1"/>
  <c r="I46" i="17"/>
  <c r="I210" i="8"/>
  <c r="I226" i="8"/>
  <c r="I242" i="8"/>
  <c r="I258" i="8"/>
  <c r="I274" i="8"/>
  <c r="I290" i="8"/>
  <c r="I306" i="8"/>
  <c r="I322" i="8"/>
  <c r="I338" i="8"/>
  <c r="I345" i="8"/>
  <c r="I354" i="8"/>
  <c r="I361" i="8"/>
  <c r="I370" i="8"/>
  <c r="I377" i="8"/>
  <c r="I390" i="8"/>
  <c r="I392" i="8"/>
  <c r="I452" i="8"/>
  <c r="I460" i="8"/>
  <c r="I212" i="8"/>
  <c r="I228" i="8"/>
  <c r="I244" i="8"/>
  <c r="I251" i="8"/>
  <c r="I260" i="8"/>
  <c r="I267" i="8"/>
  <c r="I430" i="8"/>
  <c r="I342" i="8"/>
  <c r="I374" i="8"/>
  <c r="I383" i="8"/>
  <c r="I398" i="8"/>
  <c r="I414" i="8"/>
  <c r="I420" i="8"/>
  <c r="I216" i="8"/>
  <c r="I232" i="8"/>
  <c r="I248" i="8"/>
  <c r="I264" i="8"/>
  <c r="I280" i="8"/>
  <c r="I296" i="8"/>
  <c r="I312" i="8"/>
  <c r="I328" i="8"/>
  <c r="I344" i="8"/>
  <c r="I360" i="8"/>
  <c r="I376" i="8"/>
  <c r="I402" i="8"/>
  <c r="I404" i="8"/>
  <c r="I406" i="8"/>
  <c r="I408" i="8"/>
  <c r="I410" i="8"/>
  <c r="I412" i="8"/>
  <c r="I453" i="8"/>
  <c r="I454" i="8"/>
  <c r="I463" i="8"/>
  <c r="I193" i="8"/>
  <c r="I201" i="8"/>
  <c r="I209" i="8"/>
  <c r="I218" i="8"/>
  <c r="I225" i="8"/>
  <c r="I241" i="8"/>
  <c r="I257" i="8"/>
  <c r="I273" i="8"/>
  <c r="I289" i="8"/>
  <c r="I305" i="8"/>
  <c r="I321" i="8"/>
  <c r="I337" i="8"/>
  <c r="I353" i="8"/>
  <c r="I369" i="8"/>
  <c r="I437" i="8"/>
  <c r="I438" i="8"/>
  <c r="I447" i="8"/>
  <c r="I479" i="8"/>
  <c r="I220" i="8"/>
  <c r="I236" i="8"/>
  <c r="I252" i="8"/>
  <c r="I268" i="8"/>
  <c r="I284" i="8"/>
  <c r="I300" i="8"/>
  <c r="I316" i="8"/>
  <c r="I332" i="8"/>
  <c r="I348" i="8"/>
  <c r="I421" i="8"/>
  <c r="I422" i="8"/>
  <c r="I431" i="8"/>
  <c r="I468" i="8"/>
  <c r="I543" i="8"/>
  <c r="I542" i="8"/>
  <c r="I238" i="8"/>
  <c r="I254" i="8"/>
  <c r="I270" i="8"/>
  <c r="I286" i="8"/>
  <c r="I302" i="8"/>
  <c r="I318" i="8"/>
  <c r="I334" i="8"/>
  <c r="I350" i="8"/>
  <c r="I366" i="8"/>
  <c r="I527" i="8"/>
  <c r="I526" i="8"/>
  <c r="I417" i="8"/>
  <c r="I433" i="8"/>
  <c r="I449" i="8"/>
  <c r="I465" i="8"/>
  <c r="I481" i="8"/>
  <c r="I497" i="8"/>
  <c r="I513" i="8"/>
  <c r="I529" i="8"/>
  <c r="I545" i="8"/>
  <c r="I553" i="8"/>
  <c r="I561" i="8"/>
  <c r="I577" i="8"/>
  <c r="I583" i="8"/>
  <c r="I671" i="8"/>
  <c r="I672" i="8"/>
  <c r="I723" i="8"/>
  <c r="I724" i="8"/>
  <c r="I747" i="8"/>
  <c r="I748" i="8"/>
  <c r="I763" i="8"/>
  <c r="I764" i="8"/>
  <c r="I703" i="8"/>
  <c r="I704" i="8"/>
  <c r="I731" i="8"/>
  <c r="I732" i="8"/>
  <c r="I567" i="8"/>
  <c r="I600" i="8"/>
  <c r="I616" i="8"/>
  <c r="I632" i="8"/>
  <c r="I648" i="8"/>
  <c r="I425" i="8"/>
  <c r="I441" i="8"/>
  <c r="I457" i="8"/>
  <c r="I470" i="8"/>
  <c r="I473" i="8"/>
  <c r="I486" i="8"/>
  <c r="I489" i="8"/>
  <c r="I502" i="8"/>
  <c r="I505" i="8"/>
  <c r="I518" i="8"/>
  <c r="I521" i="8"/>
  <c r="I534" i="8"/>
  <c r="I537" i="8"/>
  <c r="I549" i="8"/>
  <c r="I557" i="8"/>
  <c r="I569" i="8"/>
  <c r="I584" i="8"/>
  <c r="I606" i="8"/>
  <c r="I605" i="8"/>
  <c r="I755" i="8"/>
  <c r="I756" i="8"/>
  <c r="I771" i="8"/>
  <c r="I772" i="8"/>
  <c r="I571" i="8"/>
  <c r="I590" i="8"/>
  <c r="I589" i="8"/>
  <c r="I622" i="8"/>
  <c r="I621" i="8"/>
  <c r="I638" i="8"/>
  <c r="I637" i="8"/>
  <c r="I654" i="8"/>
  <c r="I653" i="8"/>
  <c r="I666" i="8"/>
  <c r="I665" i="8"/>
  <c r="I739" i="8"/>
  <c r="I740" i="8"/>
  <c r="I698" i="8"/>
  <c r="I697" i="8"/>
  <c r="I825" i="8"/>
  <c r="I826" i="8"/>
  <c r="I659" i="8"/>
  <c r="I668" i="8"/>
  <c r="I691" i="8"/>
  <c r="I700" i="8"/>
  <c r="I782" i="8"/>
  <c r="I784" i="8"/>
  <c r="I624" i="8"/>
  <c r="I627" i="8"/>
  <c r="I640" i="8"/>
  <c r="I643" i="8"/>
  <c r="I656" i="8"/>
  <c r="I662" i="8"/>
  <c r="I679" i="8"/>
  <c r="I694" i="8"/>
  <c r="I711" i="8"/>
  <c r="I728" i="8"/>
  <c r="I736" i="8"/>
  <c r="I744" i="8"/>
  <c r="I780" i="8"/>
  <c r="I793" i="8"/>
  <c r="I794" i="8"/>
  <c r="I809" i="8"/>
  <c r="I810" i="8"/>
  <c r="I833" i="8"/>
  <c r="I834" i="8"/>
  <c r="I838" i="8"/>
  <c r="I881" i="8"/>
  <c r="I800" i="8"/>
  <c r="I814" i="8"/>
  <c r="I821" i="8"/>
  <c r="I687" i="8"/>
  <c r="I719" i="8"/>
  <c r="I722" i="8"/>
  <c r="I730" i="8"/>
  <c r="I738" i="8"/>
  <c r="I746" i="8"/>
  <c r="I754" i="8"/>
  <c r="I762" i="8"/>
  <c r="I770" i="8"/>
  <c r="I798" i="8"/>
  <c r="I841" i="8"/>
  <c r="I842" i="8"/>
  <c r="I846" i="8"/>
  <c r="I675" i="8"/>
  <c r="I684" i="8"/>
  <c r="I707" i="8"/>
  <c r="I716" i="8"/>
  <c r="I781" i="8"/>
  <c r="I785" i="8"/>
  <c r="I796" i="8"/>
  <c r="I812" i="8"/>
  <c r="I817" i="8"/>
  <c r="I818" i="8"/>
  <c r="I829" i="8"/>
  <c r="I587" i="8"/>
  <c r="I603" i="8"/>
  <c r="I619" i="8"/>
  <c r="I635" i="8"/>
  <c r="I651" i="8"/>
  <c r="I663" i="8"/>
  <c r="I695" i="8"/>
  <c r="I777" i="8"/>
  <c r="I801" i="8"/>
  <c r="I802" i="8"/>
  <c r="I822" i="8"/>
  <c r="I849" i="8"/>
  <c r="I862" i="8"/>
  <c r="I892" i="8"/>
  <c r="I903" i="8"/>
  <c r="I905" i="8"/>
  <c r="I907" i="8"/>
  <c r="I911" i="8"/>
  <c r="I915" i="8"/>
  <c r="I919" i="8"/>
  <c r="I923" i="8"/>
  <c r="I927" i="8"/>
  <c r="I931" i="8"/>
  <c r="I935" i="8"/>
  <c r="I939" i="8"/>
  <c r="I943" i="8"/>
  <c r="I947" i="8"/>
  <c r="I951" i="8"/>
  <c r="I955" i="8"/>
  <c r="I959" i="8"/>
  <c r="I963" i="8"/>
  <c r="I967" i="8"/>
  <c r="I971" i="8"/>
  <c r="I975" i="8"/>
  <c r="I979" i="8"/>
  <c r="I983" i="8"/>
  <c r="I850" i="8"/>
  <c r="I858" i="8"/>
  <c r="I866" i="8"/>
  <c r="I874" i="8"/>
  <c r="I882" i="8"/>
  <c r="I887" i="8"/>
  <c r="I894" i="8"/>
  <c r="I1141" i="8"/>
  <c r="I1142" i="8"/>
  <c r="I1204" i="8"/>
  <c r="I1203" i="8"/>
  <c r="I889" i="8"/>
  <c r="I1024" i="8"/>
  <c r="I900" i="8"/>
  <c r="I908" i="8"/>
  <c r="I909" i="8"/>
  <c r="I912" i="8"/>
  <c r="I913" i="8"/>
  <c r="I916" i="8"/>
  <c r="I917" i="8"/>
  <c r="I920" i="8"/>
  <c r="I921" i="8"/>
  <c r="I924" i="8"/>
  <c r="I925" i="8"/>
  <c r="I928" i="8"/>
  <c r="I929" i="8"/>
  <c r="I932" i="8"/>
  <c r="I933" i="8"/>
  <c r="I936" i="8"/>
  <c r="I937" i="8"/>
  <c r="I940" i="8"/>
  <c r="I941" i="8"/>
  <c r="I944" i="8"/>
  <c r="I945" i="8"/>
  <c r="I948" i="8"/>
  <c r="I949" i="8"/>
  <c r="I952" i="8"/>
  <c r="I953" i="8"/>
  <c r="I956" i="8"/>
  <c r="I957" i="8"/>
  <c r="I960" i="8"/>
  <c r="I961" i="8"/>
  <c r="I964" i="8"/>
  <c r="I965" i="8"/>
  <c r="I968" i="8"/>
  <c r="I969" i="8"/>
  <c r="I972" i="8"/>
  <c r="I973" i="8"/>
  <c r="I976" i="8"/>
  <c r="I977" i="8"/>
  <c r="I980" i="8"/>
  <c r="I981" i="8"/>
  <c r="I984" i="8"/>
  <c r="I985" i="8"/>
  <c r="I986" i="8"/>
  <c r="I988" i="8"/>
  <c r="I989" i="8"/>
  <c r="I990" i="8"/>
  <c r="I992" i="8"/>
  <c r="I993" i="8"/>
  <c r="I994" i="8"/>
  <c r="I996" i="8"/>
  <c r="I997" i="8"/>
  <c r="I998" i="8"/>
  <c r="I1000" i="8"/>
  <c r="I1001" i="8"/>
  <c r="I1002" i="8"/>
  <c r="I1004" i="8"/>
  <c r="I1005" i="8"/>
  <c r="I1006" i="8"/>
  <c r="I1008" i="8"/>
  <c r="I1009" i="8"/>
  <c r="I895" i="8"/>
  <c r="I1025" i="8"/>
  <c r="I1164" i="8"/>
  <c r="I1163" i="8"/>
  <c r="I1156" i="8"/>
  <c r="I1155" i="8"/>
  <c r="I1148" i="8"/>
  <c r="I1147" i="8"/>
  <c r="I1150" i="8"/>
  <c r="I1196" i="8"/>
  <c r="I1195" i="8"/>
  <c r="I1198" i="8"/>
  <c r="M24" i="17"/>
  <c r="M25" i="17" s="1"/>
  <c r="M26" i="17" s="1"/>
  <c r="G24" i="17"/>
  <c r="I1140" i="8"/>
  <c r="I1139" i="8"/>
  <c r="I1188" i="8"/>
  <c r="I1187" i="8"/>
  <c r="I1220" i="8"/>
  <c r="I1219" i="8"/>
  <c r="I1014" i="8"/>
  <c r="I1227" i="8"/>
  <c r="I1226" i="8"/>
  <c r="I1022" i="8"/>
  <c r="I1030" i="8"/>
  <c r="I1038" i="8"/>
  <c r="I1046" i="8"/>
  <c r="I1054" i="8"/>
  <c r="I1062" i="8"/>
  <c r="I1070" i="8"/>
  <c r="I1078" i="8"/>
  <c r="I1088" i="8"/>
  <c r="I1180" i="8"/>
  <c r="I1179" i="8"/>
  <c r="I1182" i="8"/>
  <c r="I1212" i="8"/>
  <c r="I1211" i="8"/>
  <c r="I1214" i="8"/>
  <c r="I1092" i="8"/>
  <c r="I1172" i="8"/>
  <c r="I1171" i="8"/>
  <c r="H14" i="17"/>
  <c r="P14" i="17"/>
  <c r="D27" i="32"/>
  <c r="S36" i="32"/>
  <c r="T36" i="32" s="1"/>
  <c r="S42" i="32"/>
  <c r="I1222" i="8"/>
  <c r="G42" i="17"/>
  <c r="H29" i="17"/>
  <c r="C92" i="32"/>
  <c r="C87" i="32"/>
  <c r="E38" i="17"/>
  <c r="E66" i="17"/>
  <c r="E67" i="17" s="1"/>
  <c r="F69" i="17"/>
  <c r="K52" i="32"/>
  <c r="K49" i="32"/>
  <c r="F27" i="17"/>
  <c r="F35" i="17"/>
  <c r="F39" i="17"/>
  <c r="H46" i="17"/>
  <c r="L24" i="32"/>
  <c r="L27" i="32" s="1"/>
  <c r="L52" i="32"/>
  <c r="F53" i="32"/>
  <c r="F62" i="32"/>
  <c r="D75" i="32"/>
  <c r="C99" i="32"/>
  <c r="E32" i="17"/>
  <c r="E49" i="17"/>
  <c r="E56" i="17" s="1"/>
  <c r="F50" i="17"/>
  <c r="K43" i="32"/>
  <c r="C48" i="32"/>
  <c r="O49" i="32"/>
  <c r="G53" i="32"/>
  <c r="E59" i="32"/>
  <c r="G62" i="32"/>
  <c r="P65" i="32"/>
  <c r="D99" i="32"/>
  <c r="M14" i="31"/>
  <c r="M15" i="31" s="1"/>
  <c r="N15" i="31" s="1"/>
  <c r="G66" i="32"/>
  <c r="G69" i="32"/>
  <c r="E31" i="17"/>
  <c r="E23" i="31"/>
  <c r="M7" i="31" s="1"/>
  <c r="D43" i="32"/>
  <c r="D48" i="32"/>
  <c r="N43" i="32"/>
  <c r="N48" i="32"/>
  <c r="T61" i="32"/>
  <c r="F44" i="17"/>
  <c r="F66" i="17"/>
  <c r="F67" i="17" s="1"/>
  <c r="F36" i="32"/>
  <c r="H42" i="32"/>
  <c r="E49" i="32"/>
  <c r="E99" i="32"/>
  <c r="G60" i="32"/>
  <c r="O62" i="32"/>
  <c r="F65" i="32"/>
  <c r="L7" i="32"/>
  <c r="L13" i="32" s="1"/>
  <c r="Z38" i="32"/>
  <c r="Z39" i="32" s="1"/>
  <c r="F49" i="32"/>
  <c r="P53" i="32"/>
  <c r="F99" i="32"/>
  <c r="P62" i="32"/>
  <c r="G26" i="17"/>
  <c r="F42" i="17"/>
  <c r="E63" i="17"/>
  <c r="E64" i="17" s="1"/>
  <c r="J67" i="17"/>
  <c r="E76" i="17"/>
  <c r="M16" i="31"/>
  <c r="F43" i="32"/>
  <c r="V46" i="32"/>
  <c r="M48" i="32"/>
  <c r="G49" i="32"/>
  <c r="U55" i="32"/>
  <c r="G99" i="32"/>
  <c r="O59" i="32"/>
  <c r="H75" i="32"/>
  <c r="E62" i="32"/>
  <c r="G66" i="17" l="1"/>
  <c r="G64" i="17"/>
  <c r="L6" i="32"/>
  <c r="M15" i="22"/>
  <c r="L3" i="26"/>
  <c r="L5" i="26" s="1"/>
  <c r="I4" i="26"/>
  <c r="I5" i="26" s="1"/>
  <c r="D6" i="26" s="1"/>
  <c r="R22" i="22"/>
  <c r="M16" i="22"/>
  <c r="L37" i="22"/>
  <c r="O20" i="22"/>
  <c r="M22" i="22" s="1"/>
  <c r="M23" i="22" s="1"/>
  <c r="M25" i="22" s="1"/>
  <c r="M14" i="22"/>
  <c r="L4" i="26" s="1"/>
  <c r="C93" i="32"/>
  <c r="C96" i="32"/>
  <c r="L43" i="15"/>
  <c r="L48" i="15"/>
  <c r="L49" i="15" s="1"/>
  <c r="D59" i="15"/>
  <c r="D66" i="15"/>
  <c r="K45" i="15"/>
  <c r="K38" i="15"/>
  <c r="K42" i="15"/>
  <c r="L100" i="32"/>
  <c r="K100" i="32"/>
  <c r="N100" i="32"/>
  <c r="M100" i="32"/>
  <c r="O100" i="32"/>
  <c r="E60" i="32"/>
  <c r="E65" i="32"/>
  <c r="K73" i="32"/>
  <c r="K74" i="32"/>
  <c r="K77" i="32" s="1"/>
  <c r="D45" i="16"/>
  <c r="N42" i="15"/>
  <c r="N38" i="15"/>
  <c r="N45" i="15"/>
  <c r="M37" i="15"/>
  <c r="M34" i="15"/>
  <c r="I67" i="2"/>
  <c r="J67" i="2" s="1"/>
  <c r="C67" i="15"/>
  <c r="C72" i="15"/>
  <c r="E67" i="14"/>
  <c r="E62" i="14"/>
  <c r="H23" i="26"/>
  <c r="G24" i="26"/>
  <c r="H69" i="2"/>
  <c r="G62" i="14"/>
  <c r="G67" i="14"/>
  <c r="W46" i="32"/>
  <c r="M90" i="32"/>
  <c r="H74" i="32"/>
  <c r="H7" i="16"/>
  <c r="K27" i="14"/>
  <c r="K32" i="14"/>
  <c r="M49" i="32"/>
  <c r="M52" i="32"/>
  <c r="G55" i="17"/>
  <c r="H26" i="17"/>
  <c r="F66" i="32"/>
  <c r="F69" i="32"/>
  <c r="J20" i="17"/>
  <c r="K20" i="17" s="1"/>
  <c r="I44" i="17"/>
  <c r="I47" i="17"/>
  <c r="I45" i="17"/>
  <c r="D28" i="15"/>
  <c r="D33" i="15"/>
  <c r="E84" i="32"/>
  <c r="E34" i="16"/>
  <c r="C37" i="14"/>
  <c r="C41" i="14"/>
  <c r="C44" i="14"/>
  <c r="AF21" i="10"/>
  <c r="P34" i="15"/>
  <c r="P37" i="15"/>
  <c r="M33" i="1"/>
  <c r="M34" i="1" s="1"/>
  <c r="M29" i="1"/>
  <c r="AE14" i="10"/>
  <c r="AC14" i="10"/>
  <c r="AB14" i="10"/>
  <c r="AD14" i="10"/>
  <c r="H45" i="15"/>
  <c r="H38" i="15"/>
  <c r="H42" i="15"/>
  <c r="O41" i="14"/>
  <c r="O37" i="14"/>
  <c r="O44" i="14"/>
  <c r="E50" i="2"/>
  <c r="E64" i="2"/>
  <c r="S48" i="32"/>
  <c r="S52" i="32" s="1"/>
  <c r="S43" i="32"/>
  <c r="H61" i="14"/>
  <c r="H56" i="14"/>
  <c r="K62" i="32"/>
  <c r="K53" i="32"/>
  <c r="K59" i="32"/>
  <c r="D13" i="16"/>
  <c r="G33" i="15"/>
  <c r="G28" i="15"/>
  <c r="E66" i="15"/>
  <c r="E59" i="15"/>
  <c r="C33" i="15"/>
  <c r="C28" i="15"/>
  <c r="D77" i="32"/>
  <c r="L7" i="16"/>
  <c r="N62" i="15"/>
  <c r="N63" i="15" s="1"/>
  <c r="J64" i="15" s="1"/>
  <c r="J72" i="15" s="1"/>
  <c r="H58" i="15"/>
  <c r="O43" i="2"/>
  <c r="I44" i="2"/>
  <c r="J43" i="2"/>
  <c r="F49" i="16"/>
  <c r="F48" i="16"/>
  <c r="E33" i="15"/>
  <c r="E28" i="15"/>
  <c r="E44" i="14"/>
  <c r="E41" i="14"/>
  <c r="E37" i="14"/>
  <c r="I64" i="2"/>
  <c r="D36" i="14"/>
  <c r="D33" i="14"/>
  <c r="J42" i="2"/>
  <c r="K29" i="2"/>
  <c r="F41" i="10"/>
  <c r="T41" i="10" s="1"/>
  <c r="X41" i="10" s="1"/>
  <c r="L29" i="1"/>
  <c r="O60" i="32"/>
  <c r="O65" i="32"/>
  <c r="L62" i="32"/>
  <c r="L53" i="32"/>
  <c r="L59" i="32"/>
  <c r="I29" i="17"/>
  <c r="H42" i="17"/>
  <c r="L27" i="14"/>
  <c r="L32" i="14"/>
  <c r="P36" i="14"/>
  <c r="P33" i="14"/>
  <c r="D78" i="32"/>
  <c r="D49" i="32"/>
  <c r="D52" i="32"/>
  <c r="S37" i="16"/>
  <c r="F34" i="15"/>
  <c r="F37" i="15"/>
  <c r="F59" i="15"/>
  <c r="F66" i="15"/>
  <c r="H12" i="16"/>
  <c r="G47" i="14"/>
  <c r="G48" i="14" s="1"/>
  <c r="G42" i="14"/>
  <c r="N31" i="16"/>
  <c r="N42" i="16"/>
  <c r="N36" i="16" s="1"/>
  <c r="I61" i="2"/>
  <c r="AE18" i="10"/>
  <c r="AD18" i="10"/>
  <c r="AC18" i="10"/>
  <c r="AB18" i="10"/>
  <c r="N41" i="14"/>
  <c r="N37" i="14"/>
  <c r="N44" i="14"/>
  <c r="H33" i="14"/>
  <c r="H36" i="14"/>
  <c r="F58" i="2"/>
  <c r="F69" i="2" s="1"/>
  <c r="U61" i="32"/>
  <c r="N47" i="16"/>
  <c r="N59" i="16"/>
  <c r="N52" i="16" s="1"/>
  <c r="N49" i="32"/>
  <c r="N52" i="32"/>
  <c r="T35" i="32"/>
  <c r="T34" i="32" s="1"/>
  <c r="K76" i="32" s="1"/>
  <c r="U36" i="32"/>
  <c r="N16" i="31"/>
  <c r="F7" i="32"/>
  <c r="G7" i="32" s="1"/>
  <c r="O34" i="15"/>
  <c r="O37" i="15"/>
  <c r="M33" i="14"/>
  <c r="M36" i="14"/>
  <c r="K67" i="17"/>
  <c r="H48" i="32"/>
  <c r="H43" i="32"/>
  <c r="P66" i="32"/>
  <c r="P69" i="32"/>
  <c r="E58" i="17"/>
  <c r="E69" i="17" s="1"/>
  <c r="E50" i="17"/>
  <c r="H44" i="17"/>
  <c r="H43" i="17" s="1"/>
  <c r="H47" i="17"/>
  <c r="H45" i="17"/>
  <c r="N24" i="17"/>
  <c r="N25" i="17" s="1"/>
  <c r="N26" i="17" s="1"/>
  <c r="G52" i="17"/>
  <c r="H24" i="17"/>
  <c r="G23" i="17"/>
  <c r="G27" i="17" s="1"/>
  <c r="D17" i="16"/>
  <c r="F36" i="14"/>
  <c r="F33" i="14"/>
  <c r="H45" i="16"/>
  <c r="H84" i="32"/>
  <c r="H34" i="16"/>
  <c r="D61" i="14"/>
  <c r="D56" i="14"/>
  <c r="G76" i="15"/>
  <c r="G73" i="15"/>
  <c r="T77" i="2"/>
  <c r="T90" i="2" s="1"/>
  <c r="E67" i="2"/>
  <c r="AE16" i="10"/>
  <c r="AD16" i="10"/>
  <c r="AC16" i="10"/>
  <c r="AB16" i="10"/>
  <c r="G84" i="32"/>
  <c r="G34" i="16"/>
  <c r="C49" i="32"/>
  <c r="C52" i="32"/>
  <c r="U57" i="32"/>
  <c r="L99" i="32" s="1"/>
  <c r="V55" i="32"/>
  <c r="E5" i="16"/>
  <c r="F4" i="16"/>
  <c r="F62" i="14"/>
  <c r="F67" i="14"/>
  <c r="AE17" i="10"/>
  <c r="AD17" i="10"/>
  <c r="AC17" i="10"/>
  <c r="AB17" i="10"/>
  <c r="J53" i="2"/>
  <c r="J50" i="2"/>
  <c r="J51" i="2"/>
  <c r="C67" i="14"/>
  <c r="C62" i="14"/>
  <c r="J49" i="2" l="1"/>
  <c r="J56" i="2" s="1"/>
  <c r="K67" i="2"/>
  <c r="J66" i="2"/>
  <c r="M62" i="32"/>
  <c r="M53" i="32"/>
  <c r="M59" i="32"/>
  <c r="H13" i="16"/>
  <c r="H21" i="16"/>
  <c r="H26" i="16" s="1"/>
  <c r="H25" i="16" s="1"/>
  <c r="L60" i="32"/>
  <c r="L65" i="32"/>
  <c r="E34" i="15"/>
  <c r="E37" i="15"/>
  <c r="E72" i="15"/>
  <c r="E67" i="15"/>
  <c r="O42" i="14"/>
  <c r="O47" i="14"/>
  <c r="O48" i="14" s="1"/>
  <c r="E41" i="10"/>
  <c r="K41" i="10" s="1"/>
  <c r="S41" i="10" s="1"/>
  <c r="W41" i="10" s="1"/>
  <c r="AE22" i="10"/>
  <c r="E43" i="10" s="1"/>
  <c r="K43" i="10" s="1"/>
  <c r="S43" i="10" s="1"/>
  <c r="W43" i="10" s="1"/>
  <c r="AE23" i="10"/>
  <c r="AE21" i="10"/>
  <c r="E42" i="10" s="1"/>
  <c r="K42" i="10" s="1"/>
  <c r="S42" i="10" s="1"/>
  <c r="W42" i="10" s="1"/>
  <c r="E44" i="10"/>
  <c r="K44" i="10" s="1"/>
  <c r="S44" i="10" s="1"/>
  <c r="W44" i="10" s="1"/>
  <c r="AE20" i="10"/>
  <c r="C73" i="15"/>
  <c r="C76" i="15"/>
  <c r="K42" i="2"/>
  <c r="L29" i="2"/>
  <c r="N43" i="15"/>
  <c r="N48" i="15"/>
  <c r="N49" i="15" s="1"/>
  <c r="H67" i="14"/>
  <c r="H62" i="14"/>
  <c r="E49" i="16"/>
  <c r="E48" i="16"/>
  <c r="K34" i="17"/>
  <c r="K23" i="17"/>
  <c r="K30" i="17"/>
  <c r="K32" i="17" s="1"/>
  <c r="K33" i="14"/>
  <c r="K36" i="14"/>
  <c r="F6" i="32"/>
  <c r="G6" i="32" s="1"/>
  <c r="N16" i="22"/>
  <c r="C47" i="14"/>
  <c r="C48" i="14" s="1"/>
  <c r="C42" i="14"/>
  <c r="E71" i="14"/>
  <c r="E68" i="14"/>
  <c r="H43" i="15"/>
  <c r="H48" i="15"/>
  <c r="H49" i="15" s="1"/>
  <c r="C97" i="32"/>
  <c r="R23" i="22"/>
  <c r="R25" i="22"/>
  <c r="D84" i="32"/>
  <c r="D34" i="16"/>
  <c r="J29" i="17"/>
  <c r="I42" i="17"/>
  <c r="H41" i="14"/>
  <c r="H44" i="14"/>
  <c r="H37" i="14"/>
  <c r="F68" i="14"/>
  <c r="F71" i="14"/>
  <c r="F38" i="15"/>
  <c r="F42" i="15"/>
  <c r="F45" i="15"/>
  <c r="P44" i="14"/>
  <c r="P41" i="14"/>
  <c r="P37" i="14"/>
  <c r="O66" i="32"/>
  <c r="O69" i="32"/>
  <c r="S59" i="32"/>
  <c r="S62" i="32"/>
  <c r="P38" i="15"/>
  <c r="P42" i="15"/>
  <c r="P45" i="15"/>
  <c r="D34" i="15"/>
  <c r="D37" i="15"/>
  <c r="H77" i="32"/>
  <c r="P7" i="16"/>
  <c r="K78" i="32"/>
  <c r="K43" i="15"/>
  <c r="K48" i="15"/>
  <c r="K49" i="15" s="1"/>
  <c r="D17" i="26"/>
  <c r="D18" i="26" s="1"/>
  <c r="E18" i="26" s="1"/>
  <c r="M28" i="22"/>
  <c r="F6" i="26"/>
  <c r="D23" i="26"/>
  <c r="D24" i="26" s="1"/>
  <c r="D7" i="26"/>
  <c r="H66" i="17"/>
  <c r="U32" i="32"/>
  <c r="U35" i="32" s="1"/>
  <c r="I43" i="17"/>
  <c r="D53" i="32"/>
  <c r="D62" i="32"/>
  <c r="D59" i="32"/>
  <c r="V57" i="32"/>
  <c r="M99" i="32" s="1"/>
  <c r="W55" i="32"/>
  <c r="M37" i="14"/>
  <c r="M41" i="14"/>
  <c r="M44" i="14"/>
  <c r="O24" i="17"/>
  <c r="O25" i="17" s="1"/>
  <c r="H52" i="17"/>
  <c r="O26" i="17"/>
  <c r="I24" i="17"/>
  <c r="H23" i="17"/>
  <c r="D79" i="32"/>
  <c r="D86" i="32"/>
  <c r="D41" i="14"/>
  <c r="D37" i="14"/>
  <c r="D44" i="14"/>
  <c r="E76" i="2"/>
  <c r="L14" i="2"/>
  <c r="G51" i="17"/>
  <c r="G50" i="17"/>
  <c r="G49" i="17" s="1"/>
  <c r="G56" i="17" s="1"/>
  <c r="G53" i="17"/>
  <c r="G49" i="16"/>
  <c r="G48" i="16"/>
  <c r="F44" i="14"/>
  <c r="F41" i="14"/>
  <c r="F37" i="14"/>
  <c r="L33" i="14"/>
  <c r="L36" i="14"/>
  <c r="K43" i="2"/>
  <c r="N11" i="10"/>
  <c r="V11" i="10" s="1"/>
  <c r="J64" i="2"/>
  <c r="J61" i="2"/>
  <c r="H78" i="32"/>
  <c r="M38" i="15"/>
  <c r="M45" i="15"/>
  <c r="M42" i="15"/>
  <c r="E66" i="32"/>
  <c r="E69" i="32"/>
  <c r="D27" i="26"/>
  <c r="D5" i="26"/>
  <c r="F5" i="26" s="1"/>
  <c r="D67" i="14"/>
  <c r="D62" i="14"/>
  <c r="H66" i="15"/>
  <c r="H59" i="15"/>
  <c r="AC22" i="10"/>
  <c r="AC20" i="10"/>
  <c r="D41" i="10"/>
  <c r="J41" i="10" s="1"/>
  <c r="R41" i="10" s="1"/>
  <c r="V41" i="10" s="1"/>
  <c r="D44" i="10"/>
  <c r="J44" i="10" s="1"/>
  <c r="R44" i="10" s="1"/>
  <c r="V44" i="10" s="1"/>
  <c r="AC23" i="10"/>
  <c r="AC21" i="10"/>
  <c r="D42" i="10" s="1"/>
  <c r="J42" i="10" s="1"/>
  <c r="R42" i="10" s="1"/>
  <c r="V42" i="10" s="1"/>
  <c r="G68" i="14"/>
  <c r="G71" i="14"/>
  <c r="C71" i="14"/>
  <c r="C68" i="14"/>
  <c r="O42" i="15"/>
  <c r="O45" i="15"/>
  <c r="O38" i="15"/>
  <c r="G37" i="15"/>
  <c r="G34" i="15"/>
  <c r="G81" i="15"/>
  <c r="G77" i="15"/>
  <c r="G84" i="15"/>
  <c r="N42" i="14"/>
  <c r="N47" i="14"/>
  <c r="N48" i="14" s="1"/>
  <c r="N44" i="16"/>
  <c r="N55" i="16"/>
  <c r="N56" i="16" s="1"/>
  <c r="N53" i="16" s="1"/>
  <c r="N61" i="16" s="1"/>
  <c r="E42" i="14"/>
  <c r="E47" i="14"/>
  <c r="E48" i="14" s="1"/>
  <c r="K65" i="32"/>
  <c r="K60" i="32"/>
  <c r="AD23" i="10"/>
  <c r="AD21" i="10"/>
  <c r="AD22" i="10"/>
  <c r="AD20" i="10"/>
  <c r="H27" i="17"/>
  <c r="H55" i="17"/>
  <c r="I26" i="17"/>
  <c r="I23" i="26"/>
  <c r="H49" i="16"/>
  <c r="H48" i="16"/>
  <c r="V36" i="32"/>
  <c r="F67" i="15"/>
  <c r="F72" i="15"/>
  <c r="C62" i="32"/>
  <c r="C53" i="32"/>
  <c r="C59" i="32"/>
  <c r="N53" i="32"/>
  <c r="N59" i="32"/>
  <c r="N62" i="32"/>
  <c r="G4" i="16"/>
  <c r="G5" i="16" s="1"/>
  <c r="D32" i="16" s="1" a="1"/>
  <c r="F5" i="16"/>
  <c r="H49" i="32"/>
  <c r="H52" i="32"/>
  <c r="E74" i="32"/>
  <c r="E7" i="16"/>
  <c r="D19" i="16"/>
  <c r="D21" i="16" s="1"/>
  <c r="D26" i="16" s="1"/>
  <c r="D25" i="16" s="1"/>
  <c r="V61" i="32"/>
  <c r="C37" i="15"/>
  <c r="C34" i="15"/>
  <c r="AB23" i="10"/>
  <c r="AB20" i="10"/>
  <c r="AB21" i="10"/>
  <c r="AB22" i="10"/>
  <c r="N90" i="32"/>
  <c r="X46" i="32"/>
  <c r="O90" i="32" s="1"/>
  <c r="D67" i="15"/>
  <c r="D72" i="15"/>
  <c r="L10" i="32"/>
  <c r="C113" i="32" s="1"/>
  <c r="D113" i="32" s="1"/>
  <c r="E113" i="32" s="1"/>
  <c r="F113" i="32" s="1"/>
  <c r="G113" i="32" s="1"/>
  <c r="H113" i="32" s="1"/>
  <c r="L9" i="32"/>
  <c r="L8" i="32"/>
  <c r="J58" i="2" l="1"/>
  <c r="J69" i="2" s="1"/>
  <c r="J70" i="2" s="1"/>
  <c r="F38" i="16"/>
  <c r="E38" i="16"/>
  <c r="G38" i="16"/>
  <c r="H38" i="16"/>
  <c r="H42" i="16"/>
  <c r="F36" i="16"/>
  <c r="D32" i="16"/>
  <c r="F42" i="16"/>
  <c r="H36" i="16"/>
  <c r="G36" i="16"/>
  <c r="E36" i="16"/>
  <c r="G42" i="16"/>
  <c r="E42" i="16"/>
  <c r="C77" i="15"/>
  <c r="C81" i="15"/>
  <c r="C84" i="15"/>
  <c r="C100" i="32"/>
  <c r="C103" i="32" s="1"/>
  <c r="H100" i="32"/>
  <c r="G100" i="32"/>
  <c r="F100" i="32"/>
  <c r="E100" i="32"/>
  <c r="D100" i="32"/>
  <c r="F74" i="32"/>
  <c r="F7" i="16"/>
  <c r="F12" i="16"/>
  <c r="W57" i="32"/>
  <c r="N99" i="32" s="1"/>
  <c r="X55" i="32"/>
  <c r="X57" i="32" s="1"/>
  <c r="O99" i="32" s="1"/>
  <c r="S65" i="32"/>
  <c r="S60" i="32"/>
  <c r="D38" i="16"/>
  <c r="D49" i="16"/>
  <c r="D48" i="16"/>
  <c r="K37" i="14"/>
  <c r="K44" i="14"/>
  <c r="K41" i="14"/>
  <c r="K79" i="32"/>
  <c r="G101" i="32"/>
  <c r="F101" i="32"/>
  <c r="E101" i="32"/>
  <c r="H101" i="32"/>
  <c r="D101" i="32"/>
  <c r="C101" i="32"/>
  <c r="D68" i="14"/>
  <c r="D71" i="14"/>
  <c r="H79" i="32"/>
  <c r="H86" i="32"/>
  <c r="F47" i="14"/>
  <c r="F48" i="14" s="1"/>
  <c r="F42" i="14"/>
  <c r="P14" i="2"/>
  <c r="H14" i="2"/>
  <c r="P24" i="17"/>
  <c r="P25" i="17" s="1"/>
  <c r="P26" i="17" s="1"/>
  <c r="I52" i="17"/>
  <c r="J24" i="17"/>
  <c r="J23" i="17" s="1"/>
  <c r="I23" i="17"/>
  <c r="I27" i="17" s="1"/>
  <c r="F72" i="14"/>
  <c r="F79" i="14"/>
  <c r="F76" i="14"/>
  <c r="E76" i="14"/>
  <c r="E72" i="14"/>
  <c r="E79" i="14"/>
  <c r="H71" i="14"/>
  <c r="H68" i="14"/>
  <c r="M65" i="32"/>
  <c r="M60" i="32"/>
  <c r="D60" i="32"/>
  <c r="D65" i="32"/>
  <c r="D42" i="15"/>
  <c r="D45" i="15"/>
  <c r="D38" i="15"/>
  <c r="E76" i="15"/>
  <c r="E73" i="15"/>
  <c r="G45" i="15"/>
  <c r="G38" i="15"/>
  <c r="G42" i="15"/>
  <c r="F76" i="15"/>
  <c r="F73" i="15"/>
  <c r="O48" i="15"/>
  <c r="O49" i="15" s="1"/>
  <c r="O43" i="15"/>
  <c r="E77" i="32"/>
  <c r="M7" i="16"/>
  <c r="E45" i="16"/>
  <c r="I55" i="17"/>
  <c r="J26" i="17"/>
  <c r="K69" i="32"/>
  <c r="K66" i="32"/>
  <c r="C27" i="26"/>
  <c r="D29" i="26"/>
  <c r="D31" i="26" s="1"/>
  <c r="I22" i="26"/>
  <c r="I24" i="26" s="1"/>
  <c r="H50" i="17"/>
  <c r="H49" i="17" s="1"/>
  <c r="H53" i="17"/>
  <c r="H51" i="17"/>
  <c r="E42" i="15"/>
  <c r="E38" i="15"/>
  <c r="E45" i="15"/>
  <c r="G58" i="17"/>
  <c r="T48" i="32"/>
  <c r="E12" i="16"/>
  <c r="C76" i="14"/>
  <c r="C72" i="14"/>
  <c r="C79" i="14"/>
  <c r="P47" i="14"/>
  <c r="P48" i="14" s="1"/>
  <c r="P42" i="14"/>
  <c r="L42" i="2"/>
  <c r="M29" i="2"/>
  <c r="W61" i="32"/>
  <c r="H72" i="15"/>
  <c r="H67" i="15"/>
  <c r="F48" i="15"/>
  <c r="F49" i="15" s="1"/>
  <c r="F43" i="15"/>
  <c r="G74" i="32"/>
  <c r="G7" i="16"/>
  <c r="D33" i="16" s="1" a="1"/>
  <c r="D73" i="15"/>
  <c r="D76" i="15"/>
  <c r="E78" i="32"/>
  <c r="N60" i="32"/>
  <c r="N65" i="32"/>
  <c r="W36" i="32"/>
  <c r="G82" i="15"/>
  <c r="G87" i="15"/>
  <c r="G88" i="15" s="1"/>
  <c r="AM27" i="10"/>
  <c r="D43" i="10"/>
  <c r="J43" i="10" s="1"/>
  <c r="R43" i="10" s="1"/>
  <c r="V43" i="10" s="1"/>
  <c r="C26" i="10"/>
  <c r="C27" i="10" s="1"/>
  <c r="L43" i="2"/>
  <c r="K64" i="2"/>
  <c r="K49" i="2"/>
  <c r="K61" i="2"/>
  <c r="D42" i="14"/>
  <c r="D47" i="14"/>
  <c r="D48" i="14" s="1"/>
  <c r="V32" i="32"/>
  <c r="V35" i="32" s="1"/>
  <c r="I66" i="17"/>
  <c r="P48" i="15"/>
  <c r="P49" i="15" s="1"/>
  <c r="P43" i="15"/>
  <c r="H42" i="14"/>
  <c r="H47" i="14"/>
  <c r="H48" i="14" s="1"/>
  <c r="L69" i="32"/>
  <c r="L66" i="32"/>
  <c r="C60" i="32"/>
  <c r="C65" i="32"/>
  <c r="K29" i="17"/>
  <c r="J42" i="17"/>
  <c r="C42" i="15"/>
  <c r="C38" i="15"/>
  <c r="C45" i="15"/>
  <c r="H59" i="32"/>
  <c r="H62" i="32"/>
  <c r="H53" i="32"/>
  <c r="G79" i="14"/>
  <c r="G76" i="14"/>
  <c r="G72" i="14"/>
  <c r="M43" i="15"/>
  <c r="M48" i="15"/>
  <c r="M49" i="15" s="1"/>
  <c r="L37" i="14"/>
  <c r="L44" i="14"/>
  <c r="L41" i="14"/>
  <c r="D92" i="32"/>
  <c r="D87" i="32"/>
  <c r="M47" i="14"/>
  <c r="M48" i="14" s="1"/>
  <c r="M42" i="14"/>
  <c r="L74" i="32"/>
  <c r="L77" i="32" s="1"/>
  <c r="U34" i="32"/>
  <c r="L76" i="32" s="1"/>
  <c r="L73" i="32"/>
  <c r="L67" i="2"/>
  <c r="K66" i="2"/>
  <c r="F37" i="16" l="1"/>
  <c r="H46" i="16"/>
  <c r="G46" i="16"/>
  <c r="F46" i="16"/>
  <c r="H37" i="16"/>
  <c r="D33" i="16"/>
  <c r="E46" i="16"/>
  <c r="G37" i="16"/>
  <c r="E37" i="16"/>
  <c r="G77" i="14"/>
  <c r="G82" i="14"/>
  <c r="G83" i="14" s="1"/>
  <c r="X36" i="32"/>
  <c r="H58" i="17"/>
  <c r="U48" i="32"/>
  <c r="H92" i="32"/>
  <c r="H87" i="32"/>
  <c r="F77" i="32"/>
  <c r="N7" i="16"/>
  <c r="F45" i="16"/>
  <c r="L66" i="2"/>
  <c r="M67" i="2"/>
  <c r="L47" i="14"/>
  <c r="L48" i="14" s="1"/>
  <c r="L42" i="14"/>
  <c r="C69" i="32"/>
  <c r="C66" i="32"/>
  <c r="L61" i="2"/>
  <c r="L49" i="2"/>
  <c r="L64" i="2"/>
  <c r="N69" i="32"/>
  <c r="N66" i="32"/>
  <c r="T52" i="32"/>
  <c r="F81" i="15"/>
  <c r="F77" i="15"/>
  <c r="F84" i="15"/>
  <c r="D48" i="15"/>
  <c r="D49" i="15" s="1"/>
  <c r="D43" i="15"/>
  <c r="I50" i="17"/>
  <c r="I49" i="17" s="1"/>
  <c r="I56" i="17" s="1"/>
  <c r="J56" i="17" s="1"/>
  <c r="I53" i="17"/>
  <c r="I51" i="17"/>
  <c r="F78" i="32"/>
  <c r="C87" i="15"/>
  <c r="C88" i="15" s="1"/>
  <c r="C82" i="15"/>
  <c r="D36" i="16"/>
  <c r="I36" i="16" s="1"/>
  <c r="D42" i="16"/>
  <c r="K58" i="2"/>
  <c r="K69" i="2" s="1"/>
  <c r="K70" i="2" s="1"/>
  <c r="K56" i="2"/>
  <c r="C105" i="32"/>
  <c r="C106" i="32" s="1"/>
  <c r="C104" i="32"/>
  <c r="K42" i="17"/>
  <c r="H35" i="17"/>
  <c r="G31" i="17"/>
  <c r="G48" i="15"/>
  <c r="G49" i="15" s="1"/>
  <c r="G43" i="15"/>
  <c r="D66" i="32"/>
  <c r="D69" i="32"/>
  <c r="E77" i="14"/>
  <c r="E82" i="14"/>
  <c r="E83" i="14" s="1"/>
  <c r="D72" i="14"/>
  <c r="D76" i="14"/>
  <c r="D79" i="14"/>
  <c r="I38" i="16"/>
  <c r="D96" i="32"/>
  <c r="D93" i="32"/>
  <c r="L78" i="32"/>
  <c r="L75" i="32"/>
  <c r="C5" i="22"/>
  <c r="C30" i="10"/>
  <c r="C32" i="10" s="1"/>
  <c r="C33" i="10" s="1"/>
  <c r="H22" i="26"/>
  <c r="H24" i="26" s="1"/>
  <c r="C29" i="26"/>
  <c r="C31" i="26" s="1"/>
  <c r="AN27" i="10"/>
  <c r="AL27" i="10"/>
  <c r="AL28" i="10" s="1"/>
  <c r="AL29" i="10" s="1"/>
  <c r="AL30" i="10" s="1"/>
  <c r="AM28" i="10"/>
  <c r="AM29" i="10" s="1"/>
  <c r="AM30" i="10" s="1"/>
  <c r="H76" i="15"/>
  <c r="H73" i="15"/>
  <c r="S66" i="32"/>
  <c r="S69" i="32"/>
  <c r="G77" i="32"/>
  <c r="G78" i="32" s="1"/>
  <c r="O7" i="16"/>
  <c r="G45" i="16"/>
  <c r="F13" i="16"/>
  <c r="F21" i="16"/>
  <c r="F26" i="16" s="1"/>
  <c r="F25" i="16" s="1"/>
  <c r="M74" i="32"/>
  <c r="M77" i="32" s="1"/>
  <c r="M73" i="32"/>
  <c r="V34" i="32"/>
  <c r="M76" i="32" s="1"/>
  <c r="D81" i="15"/>
  <c r="D84" i="15"/>
  <c r="D77" i="15"/>
  <c r="X61" i="32"/>
  <c r="C77" i="14"/>
  <c r="C82" i="14"/>
  <c r="C83" i="14" s="1"/>
  <c r="E48" i="15"/>
  <c r="E49" i="15" s="1"/>
  <c r="E43" i="15"/>
  <c r="M69" i="32"/>
  <c r="M66" i="32"/>
  <c r="K47" i="14"/>
  <c r="K48" i="14" s="1"/>
  <c r="K42" i="14"/>
  <c r="M42" i="2"/>
  <c r="N29" i="2"/>
  <c r="N42" i="2" s="1"/>
  <c r="H76" i="14"/>
  <c r="H72" i="14"/>
  <c r="H79" i="14"/>
  <c r="E21" i="16"/>
  <c r="E26" i="16" s="1"/>
  <c r="E25" i="16" s="1"/>
  <c r="E13" i="16"/>
  <c r="H65" i="32"/>
  <c r="H60" i="32"/>
  <c r="E79" i="32"/>
  <c r="E86" i="32"/>
  <c r="F82" i="14"/>
  <c r="F83" i="14" s="1"/>
  <c r="F77" i="14"/>
  <c r="C43" i="15"/>
  <c r="C48" i="15"/>
  <c r="C49" i="15" s="1"/>
  <c r="G12" i="16"/>
  <c r="H56" i="17"/>
  <c r="J27" i="17"/>
  <c r="K26" i="17"/>
  <c r="K27" i="17" s="1"/>
  <c r="E81" i="15"/>
  <c r="E84" i="15"/>
  <c r="E77" i="15"/>
  <c r="G79" i="32" l="1"/>
  <c r="G86" i="32"/>
  <c r="H96" i="32"/>
  <c r="H93" i="32"/>
  <c r="U52" i="32"/>
  <c r="E87" i="15"/>
  <c r="E88" i="15" s="1"/>
  <c r="E82" i="15"/>
  <c r="D87" i="15"/>
  <c r="D88" i="15" s="1"/>
  <c r="D82" i="15"/>
  <c r="AN28" i="10"/>
  <c r="AN29" i="10" s="1"/>
  <c r="AN30" i="10" s="1"/>
  <c r="AO27" i="10"/>
  <c r="AO28" i="10" s="1"/>
  <c r="AO29" i="10" s="1"/>
  <c r="AO30" i="10" s="1"/>
  <c r="F9" i="5" s="1"/>
  <c r="E9" i="5" s="1"/>
  <c r="M64" i="2"/>
  <c r="N67" i="2"/>
  <c r="E92" i="32"/>
  <c r="E87" i="32"/>
  <c r="C109" i="32"/>
  <c r="F79" i="32"/>
  <c r="F86" i="32"/>
  <c r="L58" i="2"/>
  <c r="L69" i="2" s="1"/>
  <c r="L70" i="2" s="1"/>
  <c r="L56" i="2"/>
  <c r="M56" i="2" s="1"/>
  <c r="D37" i="16"/>
  <c r="I37" i="16" s="1"/>
  <c r="D46" i="16"/>
  <c r="J46" i="17"/>
  <c r="J44" i="17" s="1"/>
  <c r="J43" i="17" s="1"/>
  <c r="J47" i="17"/>
  <c r="J45" i="17"/>
  <c r="M61" i="2"/>
  <c r="J53" i="17"/>
  <c r="H34" i="17"/>
  <c r="H63" i="17" s="1"/>
  <c r="H64" i="17" s="1"/>
  <c r="I35" i="17"/>
  <c r="H82" i="14"/>
  <c r="H83" i="14" s="1"/>
  <c r="H77" i="14"/>
  <c r="G21" i="16"/>
  <c r="G26" i="16" s="1"/>
  <c r="G25" i="16" s="1"/>
  <c r="G13" i="16"/>
  <c r="I58" i="17"/>
  <c r="V48" i="32"/>
  <c r="L79" i="32"/>
  <c r="M52" i="2"/>
  <c r="M50" i="2" s="1"/>
  <c r="M45" i="2"/>
  <c r="M46" i="2"/>
  <c r="M44" i="2" s="1"/>
  <c r="M43" i="2" s="1"/>
  <c r="N43" i="2" s="1"/>
  <c r="M47" i="2"/>
  <c r="M53" i="2"/>
  <c r="M51" i="2"/>
  <c r="M78" i="32"/>
  <c r="M75" i="32"/>
  <c r="D103" i="32"/>
  <c r="D97" i="32"/>
  <c r="J51" i="17"/>
  <c r="F87" i="15"/>
  <c r="F88" i="15" s="1"/>
  <c r="F82" i="15"/>
  <c r="H69" i="32"/>
  <c r="H66" i="32"/>
  <c r="H81" i="15"/>
  <c r="H77" i="15"/>
  <c r="H84" i="15"/>
  <c r="C6" i="22"/>
  <c r="D77" i="14"/>
  <c r="D82" i="14"/>
  <c r="D83" i="14" s="1"/>
  <c r="H31" i="17"/>
  <c r="G30" i="17"/>
  <c r="J52" i="17"/>
  <c r="J50" i="17" s="1"/>
  <c r="T59" i="32"/>
  <c r="T65" i="32" s="1"/>
  <c r="T62" i="32"/>
  <c r="M49" i="2" l="1"/>
  <c r="M55" i="2" s="1"/>
  <c r="M58" i="2" s="1"/>
  <c r="M60" i="2"/>
  <c r="J49" i="17"/>
  <c r="W48" i="32" s="1"/>
  <c r="M66" i="2"/>
  <c r="M63" i="2"/>
  <c r="T69" i="32"/>
  <c r="T66" i="32"/>
  <c r="D104" i="32"/>
  <c r="D105" i="32"/>
  <c r="D106" i="32" s="1"/>
  <c r="U59" i="32"/>
  <c r="U65" i="32" s="1"/>
  <c r="U62" i="32"/>
  <c r="G60" i="17"/>
  <c r="G32" i="17"/>
  <c r="H82" i="15"/>
  <c r="H87" i="15"/>
  <c r="H88" i="15" s="1"/>
  <c r="W32" i="32"/>
  <c r="K43" i="17"/>
  <c r="J66" i="17"/>
  <c r="C114" i="32"/>
  <c r="C110" i="32"/>
  <c r="H103" i="32"/>
  <c r="H97" i="32"/>
  <c r="I34" i="17"/>
  <c r="I63" i="17" s="1"/>
  <c r="I64" i="17" s="1"/>
  <c r="J64" i="17" s="1"/>
  <c r="J63" i="17" s="1"/>
  <c r="J35" i="17"/>
  <c r="J34" i="17" s="1"/>
  <c r="V52" i="32"/>
  <c r="E96" i="32"/>
  <c r="E93" i="32"/>
  <c r="I39" i="16"/>
  <c r="J37" i="16" s="1"/>
  <c r="I31" i="17"/>
  <c r="H30" i="17"/>
  <c r="G87" i="32"/>
  <c r="G92" i="32"/>
  <c r="F92" i="32"/>
  <c r="F87" i="32"/>
  <c r="M79" i="32"/>
  <c r="N49" i="2"/>
  <c r="N63" i="2"/>
  <c r="P43" i="2"/>
  <c r="N60" i="2"/>
  <c r="N66" i="2"/>
  <c r="J55" i="17" l="1"/>
  <c r="J58" i="17" s="1"/>
  <c r="M69" i="2"/>
  <c r="M70" i="2" s="1"/>
  <c r="J41" i="16"/>
  <c r="V59" i="32"/>
  <c r="V65" i="32" s="1"/>
  <c r="V62" i="32"/>
  <c r="J31" i="17"/>
  <c r="J30" i="17" s="1"/>
  <c r="J32" i="17" s="1"/>
  <c r="I30" i="17"/>
  <c r="U69" i="32"/>
  <c r="U66" i="32"/>
  <c r="G61" i="17"/>
  <c r="T45" i="32"/>
  <c r="G69" i="17"/>
  <c r="G70" i="17" s="1"/>
  <c r="H60" i="17"/>
  <c r="H32" i="17"/>
  <c r="D109" i="32"/>
  <c r="F96" i="32"/>
  <c r="F93" i="32"/>
  <c r="W52" i="32"/>
  <c r="G96" i="32"/>
  <c r="G93" i="32"/>
  <c r="E23" i="22"/>
  <c r="M7" i="22" s="1"/>
  <c r="J38" i="16"/>
  <c r="J42" i="16" s="1"/>
  <c r="J36" i="16"/>
  <c r="X32" i="32"/>
  <c r="K60" i="17"/>
  <c r="X45" i="32" s="1"/>
  <c r="O89" i="32" s="1"/>
  <c r="K63" i="17"/>
  <c r="L43" i="17"/>
  <c r="K49" i="17"/>
  <c r="K66" i="17"/>
  <c r="N74" i="32"/>
  <c r="N77" i="32" s="1"/>
  <c r="N73" i="32"/>
  <c r="W35" i="32"/>
  <c r="W34" i="32" s="1"/>
  <c r="N76" i="32" s="1"/>
  <c r="E103" i="32"/>
  <c r="E97" i="32"/>
  <c r="N55" i="2"/>
  <c r="N58" i="2" s="1"/>
  <c r="N69" i="2" s="1"/>
  <c r="H105" i="32"/>
  <c r="H106" i="32" s="1"/>
  <c r="H104" i="32"/>
  <c r="H109" i="32"/>
  <c r="N72" i="2" l="1"/>
  <c r="N73" i="2" s="1"/>
  <c r="N70" i="2"/>
  <c r="W59" i="32"/>
  <c r="W65" i="32" s="1"/>
  <c r="W62" i="32"/>
  <c r="N75" i="32"/>
  <c r="N78" i="32"/>
  <c r="F103" i="32"/>
  <c r="F97" i="32"/>
  <c r="O73" i="32"/>
  <c r="O74" i="32"/>
  <c r="O77" i="32" s="1"/>
  <c r="X35" i="32"/>
  <c r="X34" i="32" s="1"/>
  <c r="O76" i="32" s="1"/>
  <c r="X48" i="32"/>
  <c r="K55" i="17"/>
  <c r="K58" i="17" s="1"/>
  <c r="K69" i="17" s="1"/>
  <c r="H61" i="17"/>
  <c r="U45" i="32"/>
  <c r="H69" i="17"/>
  <c r="H70" i="17" s="1"/>
  <c r="H114" i="32"/>
  <c r="H125" i="32" s="1"/>
  <c r="H126" i="32" s="1"/>
  <c r="H110" i="32"/>
  <c r="I60" i="17"/>
  <c r="I32" i="17"/>
  <c r="V66" i="32"/>
  <c r="V69" i="32"/>
  <c r="D114" i="32"/>
  <c r="D110" i="32"/>
  <c r="G103" i="32"/>
  <c r="G97" i="32"/>
  <c r="E104" i="32"/>
  <c r="E109" i="32"/>
  <c r="E105" i="32"/>
  <c r="E106" i="32" s="1"/>
  <c r="K89" i="32"/>
  <c r="T42" i="32"/>
  <c r="E75" i="2" l="1"/>
  <c r="D5" i="22" s="1"/>
  <c r="X42" i="32"/>
  <c r="X43" i="32" s="1"/>
  <c r="X52" i="32"/>
  <c r="F104" i="32"/>
  <c r="F105" i="32"/>
  <c r="F106" i="32" s="1"/>
  <c r="K70" i="17"/>
  <c r="K72" i="17"/>
  <c r="K73" i="17" s="1"/>
  <c r="I61" i="17"/>
  <c r="J61" i="17" s="1"/>
  <c r="J60" i="17" s="1"/>
  <c r="V45" i="32"/>
  <c r="I69" i="17"/>
  <c r="I70" i="17" s="1"/>
  <c r="G105" i="32"/>
  <c r="G106" i="32" s="1"/>
  <c r="G104" i="32"/>
  <c r="W66" i="32"/>
  <c r="W69" i="32"/>
  <c r="N79" i="32"/>
  <c r="L89" i="32"/>
  <c r="U42" i="32"/>
  <c r="O75" i="32"/>
  <c r="O78" i="32"/>
  <c r="E110" i="32"/>
  <c r="E114" i="32"/>
  <c r="T43" i="32"/>
  <c r="T40" i="32"/>
  <c r="E79" i="2" l="1"/>
  <c r="E81" i="2" s="1"/>
  <c r="B95" i="2" s="1"/>
  <c r="B86" i="2"/>
  <c r="X40" i="32"/>
  <c r="X39" i="32" s="1"/>
  <c r="O82" i="32" s="1"/>
  <c r="O79" i="32"/>
  <c r="U43" i="32"/>
  <c r="U40" i="32"/>
  <c r="W45" i="32"/>
  <c r="J69" i="17"/>
  <c r="J70" i="17" s="1"/>
  <c r="E75" i="17" s="1"/>
  <c r="F109" i="32"/>
  <c r="X59" i="32"/>
  <c r="X65" i="32" s="1"/>
  <c r="X62" i="32"/>
  <c r="D6" i="22"/>
  <c r="E6" i="22" s="1"/>
  <c r="E11" i="22" s="1"/>
  <c r="E5" i="22"/>
  <c r="T38" i="32"/>
  <c r="K81" i="32" s="1"/>
  <c r="T39" i="32"/>
  <c r="K82" i="32" s="1"/>
  <c r="L84" i="32"/>
  <c r="G109" i="32"/>
  <c r="M89" i="32"/>
  <c r="V42" i="32"/>
  <c r="X38" i="32" l="1"/>
  <c r="O81" i="32" s="1"/>
  <c r="O83" i="32" s="1"/>
  <c r="G4" i="2"/>
  <c r="K5" i="2" s="1"/>
  <c r="F114" i="32"/>
  <c r="F110" i="32"/>
  <c r="K83" i="32"/>
  <c r="K86" i="32" s="1"/>
  <c r="V43" i="32"/>
  <c r="V40" i="32"/>
  <c r="E22" i="22"/>
  <c r="E13" i="22"/>
  <c r="N89" i="32"/>
  <c r="W42" i="32"/>
  <c r="D5" i="31"/>
  <c r="E79" i="17"/>
  <c r="E81" i="17" s="1"/>
  <c r="B86" i="17"/>
  <c r="G114" i="32"/>
  <c r="G110" i="32"/>
  <c r="U38" i="32"/>
  <c r="L81" i="32" s="1"/>
  <c r="M84" i="32"/>
  <c r="U39" i="32"/>
  <c r="L82" i="32" s="1"/>
  <c r="X69" i="32"/>
  <c r="X66" i="32"/>
  <c r="H5" i="2" l="1"/>
  <c r="E24" i="22"/>
  <c r="E27" i="22" s="1"/>
  <c r="P16" i="22" s="1"/>
  <c r="E21" i="22"/>
  <c r="M6" i="22"/>
  <c r="M11" i="22" s="1"/>
  <c r="V38" i="32"/>
  <c r="M81" i="32" s="1"/>
  <c r="N84" i="32"/>
  <c r="V39" i="32"/>
  <c r="M82" i="32" s="1"/>
  <c r="E16" i="22"/>
  <c r="O16" i="22"/>
  <c r="K92" i="32"/>
  <c r="K87" i="32"/>
  <c r="B96" i="17"/>
  <c r="G4" i="17"/>
  <c r="E5" i="31"/>
  <c r="D6" i="31"/>
  <c r="E6" i="31" s="1"/>
  <c r="E11" i="31" s="1"/>
  <c r="W43" i="32"/>
  <c r="W40" i="32"/>
  <c r="L83" i="32"/>
  <c r="L86" i="32" s="1"/>
  <c r="E22" i="31" l="1"/>
  <c r="E13" i="31"/>
  <c r="K5" i="17"/>
  <c r="G2" i="17"/>
  <c r="L92" i="32"/>
  <c r="L87" i="32"/>
  <c r="M83" i="32"/>
  <c r="M86" i="32" s="1"/>
  <c r="O84" i="32"/>
  <c r="O86" i="32" s="1"/>
  <c r="W39" i="32"/>
  <c r="N82" i="32" s="1"/>
  <c r="W38" i="32"/>
  <c r="N81" i="32" s="1"/>
  <c r="K93" i="32"/>
  <c r="K96" i="32"/>
  <c r="G27" i="22"/>
  <c r="F27" i="22"/>
  <c r="N83" i="32" l="1"/>
  <c r="N86" i="32" s="1"/>
  <c r="N92" i="32" s="1"/>
  <c r="O92" i="32"/>
  <c r="O87" i="32"/>
  <c r="M87" i="32"/>
  <c r="M92" i="32"/>
  <c r="K103" i="32"/>
  <c r="K97" i="32"/>
  <c r="K106" i="32"/>
  <c r="L93" i="32"/>
  <c r="L96" i="32"/>
  <c r="E16" i="31"/>
  <c r="O16" i="31"/>
  <c r="E24" i="31"/>
  <c r="E27" i="31" s="1"/>
  <c r="M6" i="31"/>
  <c r="M11" i="31" s="1"/>
  <c r="E21" i="31"/>
  <c r="N87" i="32" l="1"/>
  <c r="K104" i="32"/>
  <c r="K109" i="32"/>
  <c r="G27" i="31"/>
  <c r="F27" i="31"/>
  <c r="P16" i="31"/>
  <c r="M93" i="32"/>
  <c r="M96" i="32"/>
  <c r="N96" i="32"/>
  <c r="N93" i="32"/>
  <c r="L97" i="32"/>
  <c r="L106" i="32"/>
  <c r="L103" i="32"/>
  <c r="O96" i="32"/>
  <c r="O93" i="32"/>
  <c r="M97" i="32" l="1"/>
  <c r="M106" i="32"/>
  <c r="M103" i="32"/>
  <c r="N97" i="32"/>
  <c r="N103" i="32"/>
  <c r="N106" i="32"/>
  <c r="O97" i="32"/>
  <c r="O103" i="32"/>
  <c r="O106" i="32"/>
  <c r="L109" i="32"/>
  <c r="L104" i="32"/>
  <c r="K110" i="32"/>
  <c r="K114" i="32"/>
  <c r="M109" i="32" l="1"/>
  <c r="M104" i="32"/>
  <c r="O104" i="32"/>
  <c r="O109" i="32"/>
  <c r="N109" i="32"/>
  <c r="N104" i="32"/>
  <c r="L110" i="32"/>
  <c r="L114" i="32"/>
  <c r="O114" i="32" l="1"/>
  <c r="O110" i="32"/>
  <c r="N114" i="32"/>
  <c r="N110" i="32"/>
  <c r="M114" i="32"/>
  <c r="M110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tc={DCC9FB8E-1406-4A0B-B747-63E7FF1A08CC}</author>
  </authors>
  <commentList>
    <comment ref="N18" authorId="0" shapeId="0" xr:uid="{DCC9FB8E-1406-4A0B-B747-63E7FF1A08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100 from 424, based on historical trends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<sst xmlns="http://schemas.openxmlformats.org/spreadsheetml/2006/main" count="2603" uniqueCount="1478">
  <si>
    <t>DCF</t>
  </si>
  <si>
    <t>Revenue</t>
  </si>
  <si>
    <t>% growth</t>
  </si>
  <si>
    <t>Services</t>
  </si>
  <si>
    <t>Offshore</t>
  </si>
  <si>
    <t>Vestas DCF</t>
  </si>
  <si>
    <t>x</t>
  </si>
  <si>
    <t>Ticker</t>
  </si>
  <si>
    <t>VWS</t>
  </si>
  <si>
    <t>Implied Share Price</t>
  </si>
  <si>
    <t>Date</t>
  </si>
  <si>
    <t>Today's Share Price</t>
  </si>
  <si>
    <t>Upside (Downside)</t>
  </si>
  <si>
    <t>Assumptions</t>
  </si>
  <si>
    <t>Switches</t>
  </si>
  <si>
    <t>Conservative Case</t>
  </si>
  <si>
    <t>State / Base</t>
  </si>
  <si>
    <t>Optimistic</t>
  </si>
  <si>
    <t>Revenue 2024-25</t>
  </si>
  <si>
    <t>EBIT</t>
  </si>
  <si>
    <t>Revenue 2027</t>
  </si>
  <si>
    <t>WACC</t>
  </si>
  <si>
    <t>EBIT 2024-25</t>
  </si>
  <si>
    <t>TGR</t>
  </si>
  <si>
    <t>EBIT 2027</t>
  </si>
  <si>
    <t>Covid</t>
  </si>
  <si>
    <t>Ukraine War</t>
  </si>
  <si>
    <t>Income Statement</t>
  </si>
  <si>
    <t>% of sales</t>
  </si>
  <si>
    <t>Taxes</t>
  </si>
  <si>
    <t>% of EBIT</t>
  </si>
  <si>
    <t>Cash Flow Items</t>
  </si>
  <si>
    <t>D&amp;A</t>
  </si>
  <si>
    <t>% of Capex</t>
  </si>
  <si>
    <t>CapEx</t>
  </si>
  <si>
    <t>Change in NWC</t>
  </si>
  <si>
    <t>% of change in sales</t>
  </si>
  <si>
    <t>Base Case (Street Case)</t>
  </si>
  <si>
    <t>Optimistic Case</t>
  </si>
  <si>
    <t>% margin</t>
  </si>
  <si>
    <t>EBIAT</t>
  </si>
  <si>
    <t>Unlevered FCF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</si>
  <si>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</si>
  <si>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</si>
  <si>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</si>
  <si>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</si>
  <si>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</si>
  <si>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</si>
  <si>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</si>
  <si>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</si>
  <si>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</si>
  <si>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</si>
  <si>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</si>
  <si>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</si>
  <si>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</si>
  <si>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</si>
  <si>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</si>
  <si>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</si>
  <si>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</si>
  <si>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CAGR ('18-'22)</t>
  </si>
  <si>
    <t>CAGR ('23-'27)</t>
  </si>
  <si>
    <t>Power Solutions</t>
  </si>
  <si>
    <t>Europe, Middle East &amp; Africa</t>
  </si>
  <si>
    <t>Americas</t>
  </si>
  <si>
    <t>APAC</t>
  </si>
  <si>
    <t>Terminal Growth Rate</t>
  </si>
  <si>
    <t>Market Value of Debt</t>
  </si>
  <si>
    <t>Market Capital</t>
  </si>
  <si>
    <t>$ mm</t>
  </si>
  <si>
    <t>Low</t>
  </si>
  <si>
    <t>Difference</t>
  </si>
  <si>
    <t>High</t>
  </si>
  <si>
    <t>conservative</t>
  </si>
  <si>
    <t>Street case</t>
  </si>
  <si>
    <t>52 week share 
price movement</t>
  </si>
  <si>
    <t>OMXC25</t>
  </si>
  <si>
    <t>Vestas</t>
  </si>
  <si>
    <t>H4sIAAAAAAAEAM2QQUvDMBTHu1Wxoh8id0toa+fcoRerKLjDpMXLGDMNDxuWJjVJhe5j+IU1KZ0ePHj1BfJeAv/f+/P3Jp7nfdpy3dX51F5PK2ZofSPlDpV9CxotWaWI6kP0DEozKbIkShKc4hhHIco7bjoFmYDOKMJDtOoqzugj9KXcgchEx/mx4xff2O2A3Y5YXIBihLM9qTjkhNbw++eilO0S3oEPr1tGjbVhtb7lnoyuglw2LVGgggei64LtwfO94GNS9NpAg3PJOQw6je9B2A300O/eOrvN9AfAS7xej6rCKCZeQ9RoKhVn1U8GKY7c+TuAaj4nMzq7iheXKUTXi80mmI5xn/rjcOSG/2jVmTv7At67jZonAgAA</t>
  </si>
  <si>
    <t>Comps Tables</t>
  </si>
  <si>
    <t>Currency</t>
  </si>
  <si>
    <t>USD</t>
  </si>
  <si>
    <t>Trading Multiples</t>
  </si>
  <si>
    <t>Current</t>
  </si>
  <si>
    <t>Share</t>
  </si>
  <si>
    <t>NCI</t>
  </si>
  <si>
    <t>Total</t>
  </si>
  <si>
    <t>Market</t>
  </si>
  <si>
    <t>Enterprise</t>
  </si>
  <si>
    <t>EBITDA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</si>
  <si>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</si>
  <si>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</si>
  <si>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</si>
  <si>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</si>
  <si>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</si>
  <si>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</si>
  <si>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</si>
  <si>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</si>
  <si>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Price</t>
  </si>
  <si>
    <t>Count</t>
  </si>
  <si>
    <t>MI</t>
  </si>
  <si>
    <t>Debt</t>
  </si>
  <si>
    <t>Cash</t>
  </si>
  <si>
    <t>Cap</t>
  </si>
  <si>
    <t>Value</t>
  </si>
  <si>
    <t>'21</t>
  </si>
  <si>
    <t>'22</t>
  </si>
  <si>
    <t>'23</t>
  </si>
  <si>
    <t>LTM</t>
  </si>
  <si>
    <t>'21-'22</t>
  </si>
  <si>
    <t>'22-'23</t>
  </si>
  <si>
    <t>CSE:VWS</t>
  </si>
  <si>
    <t>Vestas Wind Systems</t>
  </si>
  <si>
    <t>MAD:SGRE</t>
  </si>
  <si>
    <t>Siemens Gamesa</t>
  </si>
  <si>
    <t>SHE:002202</t>
  </si>
  <si>
    <t>Xinjiang Goldwind Science &amp; Technology</t>
  </si>
  <si>
    <t>SHG:601615</t>
  </si>
  <si>
    <t>MingYang Smart Energy Group</t>
  </si>
  <si>
    <t>ETR:NDX1</t>
  </si>
  <si>
    <t>Nordex (Hamburg)</t>
  </si>
  <si>
    <t>BOM:532667</t>
  </si>
  <si>
    <t>Suzlon Energy</t>
  </si>
  <si>
    <t>BOM:539083</t>
  </si>
  <si>
    <t>INOX Wind</t>
  </si>
  <si>
    <t>Miminum</t>
  </si>
  <si>
    <t>Mean</t>
  </si>
  <si>
    <t>Median</t>
  </si>
  <si>
    <t>Maximum</t>
  </si>
  <si>
    <t>Revenue, LTM</t>
  </si>
  <si>
    <t>Sensitivity Analysis</t>
  </si>
  <si>
    <t>EV / Revenue Multiple</t>
  </si>
  <si>
    <t>2023 Trading Multiple</t>
  </si>
  <si>
    <t>2023 Financial Metric</t>
  </si>
  <si>
    <t>Calculating Implied Share Price</t>
  </si>
  <si>
    <t>P/E</t>
  </si>
  <si>
    <t>EPS</t>
  </si>
  <si>
    <t>Minimum</t>
  </si>
  <si>
    <t>--</t>
  </si>
  <si>
    <t xml:space="preserve">Expensive </t>
  </si>
  <si>
    <t>Cheap</t>
  </si>
  <si>
    <t>HIGH growth rates + margins but LOW multiples</t>
  </si>
  <si>
    <t>Normal</t>
  </si>
  <si>
    <t>LOW/HIGH growth rates + margins and LOW/HIGH multiples</t>
  </si>
  <si>
    <t>Analyst Inputs</t>
  </si>
  <si>
    <t>Active Scenario:</t>
  </si>
  <si>
    <t>Base Case</t>
  </si>
  <si>
    <t>Vestas Wind Systems (VWS)</t>
  </si>
  <si>
    <t>Navigation:</t>
  </si>
  <si>
    <t>Other Adj.</t>
  </si>
  <si>
    <t>Multiples</t>
  </si>
  <si>
    <t>ROIC</t>
  </si>
  <si>
    <t>Ratios</t>
  </si>
  <si>
    <t>Inc. Stmt.</t>
  </si>
  <si>
    <t>Bal. Sheet</t>
  </si>
  <si>
    <t>Cash Flow</t>
  </si>
  <si>
    <t>General</t>
  </si>
  <si>
    <t>Reporting Currency: EUR Millions</t>
  </si>
  <si>
    <t>3-Yr Historical</t>
  </si>
  <si>
    <t>5-Yr Projected</t>
  </si>
  <si>
    <t>Fiscal Year Ends: December</t>
  </si>
  <si>
    <t>CAGR/Avg.</t>
  </si>
  <si>
    <t>Key Valuation Considerations:</t>
  </si>
  <si>
    <t>Current Stock Price</t>
  </si>
  <si>
    <t>&lt;&lt; Update regularly</t>
  </si>
  <si>
    <t>Stage II-III Methodology</t>
  </si>
  <si>
    <t>Standard</t>
  </si>
  <si>
    <t>&lt;&lt; Non-standard methods require approval of AD/Director</t>
  </si>
  <si>
    <t xml:space="preserve">COGS, GM, R&amp;D, SG&amp;A do not include Depreciation &amp; Amortisation (different than in Annual Report) </t>
  </si>
  <si>
    <t>Market Cap</t>
  </si>
  <si>
    <t>DKK 206 billion</t>
  </si>
  <si>
    <t>&lt;&lt; Include units, e.g. $20 billion</t>
  </si>
  <si>
    <t>Standard Methodology Inputs</t>
  </si>
  <si>
    <t>5-Yr Historical Avg.</t>
  </si>
  <si>
    <t>10-Yr Projected Avg.</t>
  </si>
  <si>
    <t>FX/ADR Adjustments</t>
  </si>
  <si>
    <t>Stage II RONIC</t>
  </si>
  <si>
    <t>Income from equity investment is now consolidated</t>
  </si>
  <si>
    <t>Foreign Exchange Rate (Reporting/Trading)</t>
  </si>
  <si>
    <t>Stage II EBI Growth Rate</t>
  </si>
  <si>
    <t>i.e. there are 0.134277 EUR per one DKK</t>
  </si>
  <si>
    <t xml:space="preserve">   Implied Stage II Investment Rate</t>
  </si>
  <si>
    <t>ADR Conversion Rate (Local Shares/ADR)</t>
  </si>
  <si>
    <t>Length of Stage II</t>
  </si>
  <si>
    <t>Stock split in April 2021 of 1:5</t>
  </si>
  <si>
    <t/>
  </si>
  <si>
    <t>Scenarios</t>
  </si>
  <si>
    <t>Fair Value Estimate</t>
  </si>
  <si>
    <t>Scenario #</t>
  </si>
  <si>
    <t>Probability</t>
  </si>
  <si>
    <t>Alternative Stage II-III Methodology Inputs</t>
  </si>
  <si>
    <t>Implied Terminal Multiple</t>
  </si>
  <si>
    <t>Bull Case</t>
  </si>
  <si>
    <t>EV / Sales</t>
  </si>
  <si>
    <t>EV / EBI</t>
  </si>
  <si>
    <t>Bear Case</t>
  </si>
  <si>
    <t>Uncertainty</t>
  </si>
  <si>
    <t>Stages II-III Total Value (as of year-end 2032)</t>
  </si>
  <si>
    <t>Cash Balance Warning:</t>
  </si>
  <si>
    <t>NONE</t>
  </si>
  <si>
    <t xml:space="preserve"> Income Statement</t>
  </si>
  <si>
    <t xml:space="preserve">   Revenue Growth %</t>
  </si>
  <si>
    <t>Cost of Goods Sold</t>
  </si>
  <si>
    <t xml:space="preserve">   COGS as % Sales</t>
  </si>
  <si>
    <t>Gross Profit</t>
  </si>
  <si>
    <t xml:space="preserve">   Gross Margin %</t>
  </si>
  <si>
    <t>Selling, General, and Administrative Expenses</t>
  </si>
  <si>
    <t xml:space="preserve">   SG&amp;A as % Sales</t>
  </si>
  <si>
    <t xml:space="preserve">   SG&amp;A % Growth</t>
  </si>
  <si>
    <t>Research &amp; Development</t>
  </si>
  <si>
    <t xml:space="preserve">   as % Sales</t>
  </si>
  <si>
    <t>Income from Equity Investments</t>
  </si>
  <si>
    <t>Depreciation &amp; Amortization</t>
  </si>
  <si>
    <t xml:space="preserve">   D&amp;A as % Sales</t>
  </si>
  <si>
    <t>Operating Income (ex charges)</t>
  </si>
  <si>
    <t xml:space="preserve">   Operating Margin %</t>
  </si>
  <si>
    <t xml:space="preserve">   Operating Income Growth %</t>
  </si>
  <si>
    <t>NM</t>
  </si>
  <si>
    <t>Restructuring &amp; Other Cash Charges</t>
  </si>
  <si>
    <t>Impairment Charges</t>
  </si>
  <si>
    <t>Other Non-Cash (Income) / Charges</t>
  </si>
  <si>
    <t>Operating Income (incl charges)</t>
  </si>
  <si>
    <t>Interest Expense</t>
  </si>
  <si>
    <t xml:space="preserve">   Interest Expense as % Average Debt</t>
  </si>
  <si>
    <t>Interest Income</t>
  </si>
  <si>
    <t xml:space="preserve">   Interest Income as % Average Cash and Investments</t>
  </si>
  <si>
    <t>Pre-Tax Income</t>
  </si>
  <si>
    <t xml:space="preserve">   Pre-Tax Margin %</t>
  </si>
  <si>
    <t>Income Tax Expense</t>
  </si>
  <si>
    <t xml:space="preserve">   Income Tax as % Pre-Tax Income</t>
  </si>
  <si>
    <t>Other After-Tax Cash Gains (Losses)</t>
  </si>
  <si>
    <t>Other After-Tax Non-Cash Gains (Losses)</t>
  </si>
  <si>
    <t>(Minority Interest)</t>
  </si>
  <si>
    <t>(Preferred Dividends)</t>
  </si>
  <si>
    <t xml:space="preserve">   Net Income Margin %</t>
  </si>
  <si>
    <t>Weighted Average Diluted Shares Outstanding</t>
  </si>
  <si>
    <t>Year-End Diluted Shares Outstanding</t>
  </si>
  <si>
    <t>Diluted Earnings Per Share (GAAP)</t>
  </si>
  <si>
    <t xml:space="preserve">   EPS Growth %</t>
  </si>
  <si>
    <t>Adjustments to Net Income</t>
  </si>
  <si>
    <t>Adjusted Net Income</t>
  </si>
  <si>
    <t>Diluted Earnings Per Share (Adjusted)</t>
  </si>
  <si>
    <t xml:space="preserve">   Adjusted EPS Growth %</t>
  </si>
  <si>
    <t>Diluted EPS (Adjusted for FX/ADR)</t>
  </si>
  <si>
    <t>Adjusted Diluted EPS (Adjusted for FX/ADR)</t>
  </si>
  <si>
    <t xml:space="preserve">   Adjusted Diluted EPS (Adjusted for FX/ADR) Growth %</t>
  </si>
  <si>
    <t>Dividends</t>
  </si>
  <si>
    <t>Regular Dividends Per Share</t>
  </si>
  <si>
    <t xml:space="preserve">   Dividend Payout Ratio %</t>
  </si>
  <si>
    <t>Special Dividends Per Share</t>
  </si>
  <si>
    <t>(Total Common Dividends)</t>
  </si>
  <si>
    <t>Total Dividends Per Share</t>
  </si>
  <si>
    <t xml:space="preserve">   Dividend Per Share Growth %</t>
  </si>
  <si>
    <t>Total Dividends Per Share (Adjusted for FX/ADR)</t>
  </si>
  <si>
    <t xml:space="preserve">   Total Div. Per Share (Adjusted for FX/ADR) Growth %</t>
  </si>
  <si>
    <t>Adjustments to EBITDA</t>
  </si>
  <si>
    <t xml:space="preserve">   Adjustments to EBITDA</t>
  </si>
  <si>
    <t>Adjusted EBITDA</t>
  </si>
  <si>
    <t>Summary Tab Display</t>
  </si>
  <si>
    <t>Note: Default number format displays one decimal place. For different format, enter ="...", e.g. ="5%"</t>
  </si>
  <si>
    <t>Company-Specific Metrics</t>
  </si>
  <si>
    <t>Display Years</t>
  </si>
  <si>
    <t>and &gt;&gt;&gt;</t>
  </si>
  <si>
    <t>^^ Specify units if different from ''EUR Millions''</t>
  </si>
  <si>
    <t>CAGR/AVG</t>
  </si>
  <si>
    <t>Free Cash Flow before financial investments</t>
  </si>
  <si>
    <t>Other Metrics</t>
  </si>
  <si>
    <t xml:space="preserve"> Balance Sheet</t>
  </si>
  <si>
    <t>Cash and Equivalents</t>
  </si>
  <si>
    <t>Investments</t>
  </si>
  <si>
    <t>Accounts Receivable</t>
  </si>
  <si>
    <t xml:space="preserve">   Receivable Days (End of Year)</t>
  </si>
  <si>
    <t>Inventory</t>
  </si>
  <si>
    <t xml:space="preserve">   Inventory Days (End of Year)</t>
  </si>
  <si>
    <t>Deferred Tax Assets (Current)</t>
  </si>
  <si>
    <t>Other Short-Term Assets</t>
  </si>
  <si>
    <t>Current Assets</t>
  </si>
  <si>
    <t>Net Property, Plant, and Equipment</t>
  </si>
  <si>
    <t>Goodwill</t>
  </si>
  <si>
    <t>Other Intangibles</t>
  </si>
  <si>
    <t>Deferred Tax Assets (Long-Term)</t>
  </si>
  <si>
    <t>Other Long-Term Operating Assets</t>
  </si>
  <si>
    <t>Long-Term Non-Operating Assets</t>
  </si>
  <si>
    <t>Total Assets</t>
  </si>
  <si>
    <t>Accounts Payable</t>
  </si>
  <si>
    <t xml:space="preserve">   Payable Days (End of Year)</t>
  </si>
  <si>
    <t>Short-Term Debt</t>
  </si>
  <si>
    <t>Deferred Tax Liabilities (Current)</t>
  </si>
  <si>
    <t>Other Short-Term Liabilities</t>
  </si>
  <si>
    <t>Current Liabilities</t>
  </si>
  <si>
    <t>Long-Term Debt</t>
  </si>
  <si>
    <t>Deferred Tax Liabilities (Long-Term)</t>
  </si>
  <si>
    <t>Other Long-Term Operating Liabilities</t>
  </si>
  <si>
    <t>Long-Term Non-Operating Liabilities</t>
  </si>
  <si>
    <t>Total Liabilities</t>
  </si>
  <si>
    <t>Preferred Stock</t>
  </si>
  <si>
    <t>Common Stock</t>
  </si>
  <si>
    <t>Additional Paid-In Capital</t>
  </si>
  <si>
    <t>Retained Earnings (Deficit)</t>
  </si>
  <si>
    <t>(Treasury Stock)</t>
  </si>
  <si>
    <t>Other Equity</t>
  </si>
  <si>
    <t>Shareholder's Equity</t>
  </si>
  <si>
    <t>Minority Interest</t>
  </si>
  <si>
    <t>Total Equity</t>
  </si>
  <si>
    <t>Check: Assets - Liabilities - Equity</t>
  </si>
  <si>
    <t xml:space="preserve"> Cash Flow Statement</t>
  </si>
  <si>
    <t>Depreciation</t>
  </si>
  <si>
    <t xml:space="preserve">   Depreciation as % Sales</t>
  </si>
  <si>
    <t xml:space="preserve">   Remaining Useful Life of PP&amp;E, in Years</t>
  </si>
  <si>
    <t>Amortization</t>
  </si>
  <si>
    <t>Stock-Based Compensation</t>
  </si>
  <si>
    <t xml:space="preserve">   as % SG&amp;A</t>
  </si>
  <si>
    <t>Impairment of Goodwill</t>
  </si>
  <si>
    <t>Impairment of Other Intangibles</t>
  </si>
  <si>
    <t>Deferred Taxes</t>
  </si>
  <si>
    <t>Other Non-Cash Adjustments</t>
  </si>
  <si>
    <t>(Increase) Decrease in Accounts Receivable</t>
  </si>
  <si>
    <t>(Increase) Decrease in Inventory</t>
  </si>
  <si>
    <t>Change in Other Short-Term Assets</t>
  </si>
  <si>
    <t>Increase (Decrease) in Accounts Payable</t>
  </si>
  <si>
    <t>Change in Other Short-Term Liabilities</t>
  </si>
  <si>
    <t>Cash From Operations</t>
  </si>
  <si>
    <t xml:space="preserve">   CFO as % Net Income</t>
  </si>
  <si>
    <t>(Capital Expenditures)</t>
  </si>
  <si>
    <t xml:space="preserve">   Capex as % Sales</t>
  </si>
  <si>
    <t xml:space="preserve">   Time to Replace PP&amp;E, in Years</t>
  </si>
  <si>
    <t>Net (Acquisitions), Asset Sales, and Disposals</t>
  </si>
  <si>
    <t xml:space="preserve">     % of Acquisition/Disposal Price Allocated to:</t>
  </si>
  <si>
    <t xml:space="preserve">     Net Property, Plant, and Equipment</t>
  </si>
  <si>
    <t xml:space="preserve">     Intangibles</t>
  </si>
  <si>
    <t xml:space="preserve">     Net Working Capital</t>
  </si>
  <si>
    <t xml:space="preserve">     Goodwill</t>
  </si>
  <si>
    <t xml:space="preserve">     Acquired (Divested) PP&amp;E</t>
  </si>
  <si>
    <t xml:space="preserve">     Acquired (Divested) Intangibles</t>
  </si>
  <si>
    <t xml:space="preserve">     Acquired (Divested) Net Working Capital</t>
  </si>
  <si>
    <t xml:space="preserve">     Change in Goodwill</t>
  </si>
  <si>
    <t>Net (Purchases) Sales of Investments</t>
  </si>
  <si>
    <t>Other Investing Cash Flow</t>
  </si>
  <si>
    <t>Cash From Investing</t>
  </si>
  <si>
    <t>Common Stock Issuance or (Repurchase)</t>
  </si>
  <si>
    <t xml:space="preserve">   Issuance/Repurchase Price Per Share</t>
  </si>
  <si>
    <t xml:space="preserve">   Shares Issued/(Repurchased)</t>
  </si>
  <si>
    <t>Common Stock (Dividends)</t>
  </si>
  <si>
    <t>Short-Term Debt Issuance (Retirement)</t>
  </si>
  <si>
    <t>Long-Term Debt Issuance (Retirement)</t>
  </si>
  <si>
    <t>Other Financing Cash Flows</t>
  </si>
  <si>
    <t>Cash From Financing</t>
  </si>
  <si>
    <t>Exchange Rates, Discontinued Ops, etc. (net)</t>
  </si>
  <si>
    <t>Net Change in Cash</t>
  </si>
  <si>
    <t>Check: Change in Cash on Balance Sheet</t>
  </si>
  <si>
    <t xml:space="preserve"> Fair Value Estimate</t>
  </si>
  <si>
    <t>% of EV</t>
  </si>
  <si>
    <t>Present Value of Stage I</t>
  </si>
  <si>
    <t>Present Value of Stage II</t>
  </si>
  <si>
    <t>Present Value of Stage III</t>
  </si>
  <si>
    <t>EBI</t>
  </si>
  <si>
    <t>NNI</t>
  </si>
  <si>
    <t>FCFF</t>
  </si>
  <si>
    <t>Cash and Investments</t>
  </si>
  <si>
    <t>Other Adjustments</t>
  </si>
  <si>
    <t>Total Equity Value</t>
  </si>
  <si>
    <t>Projected Diluted Shares Outstanding</t>
  </si>
  <si>
    <t>Fair Value Estimate (Beginning of Year)</t>
  </si>
  <si>
    <t xml:space="preserve"> Discounted Cash Flows</t>
  </si>
  <si>
    <t>Stage I</t>
  </si>
  <si>
    <t>Operating Income</t>
  </si>
  <si>
    <t xml:space="preserve">  + Amortization</t>
  </si>
  <si>
    <t xml:space="preserve">  + Other Non-Cash Charges</t>
  </si>
  <si>
    <t xml:space="preserve"> - Restructuring &amp; Other Cash Charges</t>
  </si>
  <si>
    <t xml:space="preserve">  + After-Tax Operating Adjustments</t>
  </si>
  <si>
    <t xml:space="preserve">  - Cash Taxes</t>
  </si>
  <si>
    <t xml:space="preserve">     Taxes from Income Statement</t>
  </si>
  <si>
    <t xml:space="preserve">     Net Interest Tax Shield</t>
  </si>
  <si>
    <t xml:space="preserve">     Changes in Deferred Taxes</t>
  </si>
  <si>
    <t xml:space="preserve">  + Pension Adjustment</t>
  </si>
  <si>
    <t>Earnings Before Interest (EBI)</t>
  </si>
  <si>
    <t xml:space="preserve">   EBI Growth %</t>
  </si>
  <si>
    <t>(Net Investment in Working Capital)</t>
  </si>
  <si>
    <t>(Net Change in Other Operating Assets/Liabilities)</t>
  </si>
  <si>
    <t>(Net Acquisitions) / Asset Sales</t>
  </si>
  <si>
    <t>Net New Investment (NNI)</t>
  </si>
  <si>
    <t xml:space="preserve">   Investment Rate</t>
  </si>
  <si>
    <t xml:space="preserve">   RONIC (Growth/IR)</t>
  </si>
  <si>
    <t>Free Cash Flow to the Firm (FCFF)</t>
  </si>
  <si>
    <t>Discounted FCFF</t>
  </si>
  <si>
    <t>Stage II-III Value (Standard Methodology)</t>
  </si>
  <si>
    <t>Standard Methodology Formulas</t>
  </si>
  <si>
    <t>Normalized Terminal FCFF</t>
  </si>
  <si>
    <t>G = Growth</t>
  </si>
  <si>
    <t>RONIC = Return on New Invested Capital</t>
  </si>
  <si>
    <t>Stage II Total Value</t>
  </si>
  <si>
    <t>T = Length of Stage I</t>
  </si>
  <si>
    <t>L = Length of Stage II</t>
  </si>
  <si>
    <t>Present Value</t>
  </si>
  <si>
    <t>IR = Investment Rate = G / RONIC</t>
  </si>
  <si>
    <t>Stage III Total Value</t>
  </si>
  <si>
    <t>Stage II Value:</t>
  </si>
  <si>
    <t>Stage II-III Value (Alternative Methodology)</t>
  </si>
  <si>
    <t>EV/Sales</t>
  </si>
  <si>
    <t>EV/EBI</t>
  </si>
  <si>
    <t>EV/EBITDA</t>
  </si>
  <si>
    <t>Stage III Value:</t>
  </si>
  <si>
    <t>Total Value</t>
  </si>
  <si>
    <t xml:space="preserve"> Return on Invested Capital</t>
  </si>
  <si>
    <t>Adjustments to ROIC</t>
  </si>
  <si>
    <t>Adjusted EBI</t>
  </si>
  <si>
    <t>Invested Capital</t>
  </si>
  <si>
    <t>Invested Capital excluding Goodwill</t>
  </si>
  <si>
    <t xml:space="preserve">   Capitalized Lease Expense</t>
  </si>
  <si>
    <t xml:space="preserve">   Other Adjustments to Invested Capital</t>
  </si>
  <si>
    <t>Operating Lease Expense</t>
  </si>
  <si>
    <t>Estimated Average Life of Leased Assets, in years</t>
  </si>
  <si>
    <t>Pre-Tax Cost of Secured Debt</t>
  </si>
  <si>
    <t>Operating Lease Multiplier</t>
  </si>
  <si>
    <t>ROIC and RONIC</t>
  </si>
  <si>
    <t>ROIC, Excl. Goodwill</t>
  </si>
  <si>
    <t>Adjusted Return on Invested Capital</t>
  </si>
  <si>
    <t>Adjusted Return on New Invested Capital</t>
  </si>
  <si>
    <t>Adj. ROIC</t>
  </si>
  <si>
    <t>Adj. RONIC</t>
  </si>
  <si>
    <t>Moat Valuation - Method 1</t>
  </si>
  <si>
    <t>as % EV</t>
  </si>
  <si>
    <t>Valuation If Perpetuity Reached in Year 5</t>
  </si>
  <si>
    <t>Moat Value</t>
  </si>
  <si>
    <t>Moat Valuation - Method 2</t>
  </si>
  <si>
    <t>Invested Capital (Book Value)</t>
  </si>
  <si>
    <t>COE Impact</t>
  </si>
  <si>
    <t>Fair Value Estimate if COE = 10% + Country Premium</t>
  </si>
  <si>
    <t>Impact of COE Choice on Fair Value Estimate</t>
  </si>
  <si>
    <t xml:space="preserve"> Ratios</t>
  </si>
  <si>
    <t>Growth</t>
  </si>
  <si>
    <t>Operating Income Growth</t>
  </si>
  <si>
    <t>Net Income Growth</t>
  </si>
  <si>
    <t>Adjusted Net Income Growth</t>
  </si>
  <si>
    <t>EPS Growth</t>
  </si>
  <si>
    <t>Adjusted EPS Growth</t>
  </si>
  <si>
    <t>EBI Growth</t>
  </si>
  <si>
    <t>FCFF Growth</t>
  </si>
  <si>
    <t>Adjusted EBITDA Growth</t>
  </si>
  <si>
    <t>Profitability</t>
  </si>
  <si>
    <t>Gross Margin</t>
  </si>
  <si>
    <t>Operating Margin</t>
  </si>
  <si>
    <t>Net Margin</t>
  </si>
  <si>
    <t>Adjusted Net Income / Sales</t>
  </si>
  <si>
    <t>EBITDA / Sales</t>
  </si>
  <si>
    <t>Adjusted EBITDA / Sales</t>
  </si>
  <si>
    <t>FCFF / Sales</t>
  </si>
  <si>
    <t>FCFE / Sales (CFO-Capex)</t>
  </si>
  <si>
    <t>Return on Equity</t>
  </si>
  <si>
    <t>Return on Assets</t>
  </si>
  <si>
    <t>Efficiency</t>
  </si>
  <si>
    <t>Receivable Days (Average Balances)</t>
  </si>
  <si>
    <t>Inventory Days (Average Balances)</t>
  </si>
  <si>
    <t>Payable Days (Average Balances)</t>
  </si>
  <si>
    <t>Cash Conversion Cycle</t>
  </si>
  <si>
    <t>Asset Turnover</t>
  </si>
  <si>
    <t>Liquidity</t>
  </si>
  <si>
    <t>Current Ratio</t>
  </si>
  <si>
    <t>Quick Ratio</t>
  </si>
  <si>
    <t>Cash / Short-Term Debt</t>
  </si>
  <si>
    <t>Leverage</t>
  </si>
  <si>
    <t>Debt / Capital</t>
  </si>
  <si>
    <t>Debt / Equity</t>
  </si>
  <si>
    <t>Debt / EBITDA</t>
  </si>
  <si>
    <t>Debt / Adjusted EBITDA</t>
  </si>
  <si>
    <t>Net Debt / Net Capital</t>
  </si>
  <si>
    <t>Net Debt / Equity</t>
  </si>
  <si>
    <t>Net Debt / EBITDA</t>
  </si>
  <si>
    <t>Net Debt / Adjusted EBITDA</t>
  </si>
  <si>
    <t>Debt / FCFE (CFO-Capex)</t>
  </si>
  <si>
    <t>Total Assets / Equity</t>
  </si>
  <si>
    <t>Interest Coverage</t>
  </si>
  <si>
    <t>EBIT / Interest Expense</t>
  </si>
  <si>
    <t>EBIT / Net Interest Expense</t>
  </si>
  <si>
    <t>EBITDA / Interest Expense</t>
  </si>
  <si>
    <t>Adjusted EBITDA / Interest Expense</t>
  </si>
  <si>
    <t>Custom Ratios</t>
  </si>
  <si>
    <t xml:space="preserve"> Multiples</t>
  </si>
  <si>
    <t>Rolling Enterprise Value</t>
  </si>
  <si>
    <t>Rolling Fair Value Estimate</t>
  </si>
  <si>
    <t>Historical Year-End Stock Price</t>
  </si>
  <si>
    <t>&lt;&lt; Enter stock price in reporting currency units</t>
  </si>
  <si>
    <t>Historical Enterprise Value</t>
  </si>
  <si>
    <t>Justified Multiples Tool</t>
  </si>
  <si>
    <t>Valuation</t>
  </si>
  <si>
    <t xml:space="preserve">&lt;&lt;&lt;&lt;&lt;Historical Multiples  </t>
  </si>
  <si>
    <t xml:space="preserve">  Implied Multiples &gt;&gt;&gt;&gt;&gt;</t>
  </si>
  <si>
    <t>3-yr Historical Avg.</t>
  </si>
  <si>
    <t>5-yr Projected Avg.</t>
  </si>
  <si>
    <t>P/E or EV/EBI Multiple</t>
  </si>
  <si>
    <t>Price/Sales Multiple</t>
  </si>
  <si>
    <t>Price / Earnings</t>
  </si>
  <si>
    <t>Sustainable Long-Run FCFE or FCFF Growth Rate</t>
  </si>
  <si>
    <t>P/E Multiple</t>
  </si>
  <si>
    <t>Price / Adjusted Earnings</t>
  </si>
  <si>
    <t>Long-Run Return on New Invested Capital</t>
  </si>
  <si>
    <t>Normalized Net Margin</t>
  </si>
  <si>
    <t>Cost of Equity or WACC</t>
  </si>
  <si>
    <t>Justified P/S Multiple</t>
  </si>
  <si>
    <t>EV / Adjusted EBITDA</t>
  </si>
  <si>
    <t>FCFE/Earnings or FCFF/EBI</t>
  </si>
  <si>
    <t>Justified P/E or EV/EBI Multiple</t>
  </si>
  <si>
    <t>Price/Book Multiple</t>
  </si>
  <si>
    <t>EV / FCFF</t>
  </si>
  <si>
    <t>Sustainable Long-Run FCFE Growth Rate</t>
  </si>
  <si>
    <t>Price / FCFE (CFO-Capex)</t>
  </si>
  <si>
    <t>P/E with Unusual Near-Term Growth</t>
  </si>
  <si>
    <t>Terminal P/E Multiple</t>
  </si>
  <si>
    <t>Price / Book</t>
  </si>
  <si>
    <t>Near-Term EPS Growth Rate</t>
  </si>
  <si>
    <t>Justified P/B Multiple</t>
  </si>
  <si>
    <t>How Long Will This Growth Last? (in years)</t>
  </si>
  <si>
    <t>Earnings Yield</t>
  </si>
  <si>
    <t>Adjusted Earnings Yield</t>
  </si>
  <si>
    <t>Justified P/E</t>
  </si>
  <si>
    <t>FCF Yield (CFO - Capex)</t>
  </si>
  <si>
    <t>Dividend Yield</t>
  </si>
  <si>
    <t xml:space="preserve"> Other Adjustments to EV</t>
  </si>
  <si>
    <t>Stock Options Already Outstanding</t>
  </si>
  <si>
    <t>Tranche 2</t>
  </si>
  <si>
    <t>Tranche 3</t>
  </si>
  <si>
    <t>Tranche 4</t>
  </si>
  <si>
    <t>Tranche 5</t>
  </si>
  <si>
    <t>Tranche 6</t>
  </si>
  <si>
    <t>Tranche 7</t>
  </si>
  <si>
    <t>Tranche 8</t>
  </si>
  <si>
    <t>Year-End Options Outstanding</t>
  </si>
  <si>
    <t>Options Already Counted As Dilutive</t>
  </si>
  <si>
    <t>&lt;&lt; total options counted as dilutive</t>
  </si>
  <si>
    <t>Weighted Average Exercise Price</t>
  </si>
  <si>
    <t>Weighted Average Remaining Life (Years)</t>
  </si>
  <si>
    <t>Estimated Fair Value in Expiration Year</t>
  </si>
  <si>
    <t>Implied Volatility</t>
  </si>
  <si>
    <t>Weight</t>
  </si>
  <si>
    <t>Estimated Present Value of Options Outstanding</t>
  </si>
  <si>
    <t>Weighted Average</t>
  </si>
  <si>
    <t>Pension and Other Post-Retirement Liabilities</t>
  </si>
  <si>
    <t>Funded Status of Pension (Tax-Adjusted)</t>
  </si>
  <si>
    <t>&lt;&lt; enter as negative number for underfunded plans</t>
  </si>
  <si>
    <t>Funded Status of OPEB (Tax Adjusted)</t>
  </si>
  <si>
    <t>Suggested Uncertainty</t>
  </si>
  <si>
    <t>Interest Cost</t>
  </si>
  <si>
    <t>(Expected Long-Run Return on Plan Assets)</t>
  </si>
  <si>
    <t>Amortization of Past Investment Returns and Other</t>
  </si>
  <si>
    <t>Net Effect of Assets/Liabilities on Pension/OPEB Cost</t>
  </si>
  <si>
    <t>Service Cost</t>
  </si>
  <si>
    <t>Net Pension/OPEB Expense</t>
  </si>
  <si>
    <t>Other Adjustment to Enterprise Value</t>
  </si>
  <si>
    <t>as % equity value</t>
  </si>
  <si>
    <t>PV of Franking Credits</t>
  </si>
  <si>
    <t xml:space="preserve"> Australia</t>
  </si>
  <si>
    <t>International</t>
  </si>
  <si>
    <t>Dividend Franking %</t>
  </si>
  <si>
    <t>EPS (cents)</t>
  </si>
  <si>
    <t>Adjusted EPS (cents)</t>
  </si>
  <si>
    <t>Net Tangible Assets Per Share</t>
  </si>
  <si>
    <t>Pro-forma Cash Flow Statement</t>
  </si>
  <si>
    <t>Receipts from Customers</t>
  </si>
  <si>
    <t>Payments to Suppliers</t>
  </si>
  <si>
    <t>Net Interest Paid</t>
  </si>
  <si>
    <t>Income Taxes Paid</t>
  </si>
  <si>
    <t>Other Operating Cash Flow</t>
  </si>
  <si>
    <t>Net Operating Cash Flow</t>
  </si>
  <si>
    <t>Net Payments for PP&amp;E</t>
  </si>
  <si>
    <t>Acquisitions &amp; Divestitures</t>
  </si>
  <si>
    <t>Net Purchases/Sales of Investments</t>
  </si>
  <si>
    <t>Net Investing Cash Flow</t>
  </si>
  <si>
    <t>Proceeds from Issues</t>
  </si>
  <si>
    <t>Proceeds from Borrowings</t>
  </si>
  <si>
    <t>Dividends Paid</t>
  </si>
  <si>
    <t>Other Financing Cash Flow</t>
  </si>
  <si>
    <t>Net Financing Cash Flow</t>
  </si>
  <si>
    <t>Exchange Rate or Other Adjustment</t>
  </si>
  <si>
    <t>Historical Exchange Rate</t>
  </si>
  <si>
    <t xml:space="preserve"> Long-Run FCF Progression</t>
  </si>
  <si>
    <t>Perpetuity Growth Rate</t>
  </si>
  <si>
    <t>&lt;&lt; Does not affect fair value estimate since RONIC=WACC in Stage III</t>
  </si>
  <si>
    <t>Historical</t>
  </si>
  <si>
    <t>Stage II</t>
  </si>
  <si>
    <t>Stage III</t>
  </si>
  <si>
    <t>Earnings Before Interest - EBI</t>
  </si>
  <si>
    <t>(Net New Investment) - NNI</t>
  </si>
  <si>
    <t>Free Cash Flow to the Firm - FCFF</t>
  </si>
  <si>
    <t xml:space="preserve"> General Information</t>
  </si>
  <si>
    <t>ShareClassID</t>
  </si>
  <si>
    <t>0P0000a5q5</t>
  </si>
  <si>
    <t>Entered shareclassID corresponds to:</t>
  </si>
  <si>
    <t>Vestas Wind Systems A/S (DNK)</t>
  </si>
  <si>
    <t>Analyst Name</t>
  </si>
  <si>
    <t>Matthew Donen</t>
  </si>
  <si>
    <t>Phone Number</t>
  </si>
  <si>
    <t xml:space="preserve">+31 20 797 00 12 </t>
  </si>
  <si>
    <t>Email</t>
  </si>
  <si>
    <t>matthew.donen@morningstar.com</t>
  </si>
  <si>
    <t>Last Fiscal Year End Date</t>
  </si>
  <si>
    <t>Fiscal Year End Month</t>
  </si>
  <si>
    <t>December</t>
  </si>
  <si>
    <t>Reporting Currency (e.g. USD)</t>
  </si>
  <si>
    <t>EUR</t>
  </si>
  <si>
    <t>Trading Currency (e.g. EUR)</t>
  </si>
  <si>
    <t>DKK</t>
  </si>
  <si>
    <t>&lt;&lt; Leave blank if reporting currency = trading currency</t>
  </si>
  <si>
    <t>Financial Statement Units</t>
  </si>
  <si>
    <t>Millions</t>
  </si>
  <si>
    <t xml:space="preserve">  e.g. 2022 revenue was </t>
  </si>
  <si>
    <t>Sector</t>
  </si>
  <si>
    <t>Industrials</t>
  </si>
  <si>
    <t>Industry</t>
  </si>
  <si>
    <t>Diversified Industrials</t>
  </si>
  <si>
    <t>Stewardship</t>
  </si>
  <si>
    <t>Economic Moat</t>
  </si>
  <si>
    <t>None</t>
  </si>
  <si>
    <t>Moat Trend</t>
  </si>
  <si>
    <t>Stable</t>
  </si>
  <si>
    <t>Length of Stage I (Years)</t>
  </si>
  <si>
    <t>Display Fair Value Estimate</t>
  </si>
  <si>
    <t>Discounted Cash Flows</t>
  </si>
  <si>
    <t>Five-Star price</t>
  </si>
  <si>
    <t>Four-Star price</t>
  </si>
  <si>
    <t>&lt;&lt; FVE Before Rounding</t>
  </si>
  <si>
    <t>Two-Star price</t>
  </si>
  <si>
    <t>One-Star price</t>
  </si>
  <si>
    <t>Systematic Risk Bucket Assignment Tool</t>
  </si>
  <si>
    <t>Analyst Note (for institutional report)</t>
  </si>
  <si>
    <t>Character Count: 0 / 157</t>
  </si>
  <si>
    <t>If the economy entered a recession next year with a 2%-3% drop in real GDP,</t>
  </si>
  <si>
    <t>% of Cash/Investments Added to FVE</t>
  </si>
  <si>
    <t>by how much would you expect this company's total revenue to decline?</t>
  </si>
  <si>
    <t>Cash/Investments in Fair Value Estimate</t>
  </si>
  <si>
    <t>Between 2.5% and 10%</t>
  </si>
  <si>
    <t>Revenue Cyclicality:</t>
  </si>
  <si>
    <t>Medium</t>
  </si>
  <si>
    <t>Cost of Capital</t>
  </si>
  <si>
    <t>Credit Risk Spread</t>
  </si>
  <si>
    <t>Systematic Risk to Equity (Cyclicality)</t>
  </si>
  <si>
    <t>Average</t>
  </si>
  <si>
    <t>Extremely Low</t>
  </si>
  <si>
    <t>b) What is a normalized/"mid-cycle" operating margin for this company?</t>
  </si>
  <si>
    <t>Country Risk Premium and Inflation Adjustment for COE</t>
  </si>
  <si>
    <t>Very Low</t>
  </si>
  <si>
    <t>Estimated Cost of Equity</t>
  </si>
  <si>
    <t>Credit Risk (see "Debt" tab for Credit Risk tool)</t>
  </si>
  <si>
    <t>Moderate</t>
  </si>
  <si>
    <t>Estimated Pre-Tax Cost of Debt</t>
  </si>
  <si>
    <t>Above average</t>
  </si>
  <si>
    <t xml:space="preserve">c) What percentage of costs (including COGS and SG&amp;A) would you estimate are </t>
  </si>
  <si>
    <t>Estimated Cost of Preferred</t>
  </si>
  <si>
    <t xml:space="preserve">    fixed in the short run?</t>
  </si>
  <si>
    <t>Reporting Currency Expected Inflation Premium for COD</t>
  </si>
  <si>
    <t>Suggested Weighting</t>
  </si>
  <si>
    <t>Capital</t>
  </si>
  <si>
    <t>Very High</t>
  </si>
  <si>
    <t>Operating Leverage:</t>
  </si>
  <si>
    <t>Weighting of Equity in WACC</t>
  </si>
  <si>
    <t>Operating Leverage Score:</t>
  </si>
  <si>
    <t>Weighting of Debt in WACC</t>
  </si>
  <si>
    <t>Weighting of Preferred in WACC</t>
  </si>
  <si>
    <t>d) What is the ratio of Enterprise Value to the Fair Value of Equity?</t>
  </si>
  <si>
    <t>Financial Leverage:</t>
  </si>
  <si>
    <t>Long-Run Tax Rate</t>
  </si>
  <si>
    <t>Suggested Systematic Risk Rating:</t>
  </si>
  <si>
    <t>Financial Non-Cash (Gains)/Losses</t>
  </si>
  <si>
    <t>Irregular Cash (Gains)/Losses</t>
  </si>
  <si>
    <t>Net Interest Expense</t>
  </si>
  <si>
    <t>After-tax items</t>
  </si>
  <si>
    <t>Working Capital</t>
  </si>
  <si>
    <t>Net New (Investment), Organic</t>
  </si>
  <si>
    <t>Net New (Investment), Total</t>
  </si>
  <si>
    <t>(Purchases)/Sales of Companies &amp; Assets</t>
  </si>
  <si>
    <t>Non-Cash Items, From Cash Flows</t>
  </si>
  <si>
    <t>Change in Working Capital</t>
  </si>
  <si>
    <t>Other Operating Assets</t>
  </si>
  <si>
    <t>Non-Operating Assets</t>
  </si>
  <si>
    <t>Other Operating Liabilities</t>
  </si>
  <si>
    <t>Non-Operating Liabilities</t>
  </si>
  <si>
    <t>Free Cash Flow (CFO-capex)</t>
  </si>
  <si>
    <t>Net Debt_OTHER</t>
  </si>
  <si>
    <t>Cash per share</t>
  </si>
  <si>
    <t>Total Expenses</t>
  </si>
  <si>
    <t>CFO per share</t>
  </si>
  <si>
    <t>FCFE (CFO - capex) per share</t>
  </si>
  <si>
    <t>Advertising Agencies</t>
  </si>
  <si>
    <t>Other Operating Expense (Income)</t>
  </si>
  <si>
    <t>Perpetuity Year</t>
  </si>
  <si>
    <t>Per Share Values</t>
  </si>
  <si>
    <t>Aerospace &amp; Defense</t>
  </si>
  <si>
    <t>AED</t>
  </si>
  <si>
    <t>Agricultural Inputs</t>
  </si>
  <si>
    <t>AFN</t>
  </si>
  <si>
    <t>Advertising &amp; Marketing</t>
  </si>
  <si>
    <t>Airlines</t>
  </si>
  <si>
    <t>ALL</t>
  </si>
  <si>
    <t>Employee Compensation &amp; Benefits</t>
  </si>
  <si>
    <t>Airports &amp; Air Services</t>
  </si>
  <si>
    <t>AMD</t>
  </si>
  <si>
    <t>Distribution &amp; Servicing Costs</t>
  </si>
  <si>
    <t>Firm Value</t>
  </si>
  <si>
    <t>Aluminum</t>
  </si>
  <si>
    <t>ANG</t>
  </si>
  <si>
    <t>Exploration Expense</t>
  </si>
  <si>
    <t>Apparel Manufacturing</t>
  </si>
  <si>
    <t>AOA</t>
  </si>
  <si>
    <t>Apparel Stores</t>
  </si>
  <si>
    <t>ARS</t>
  </si>
  <si>
    <t>Preferred</t>
  </si>
  <si>
    <t>Asset Management</t>
  </si>
  <si>
    <t>AUD</t>
  </si>
  <si>
    <t>Auto &amp; Truck Dealerships</t>
  </si>
  <si>
    <t>AWG</t>
  </si>
  <si>
    <t>Auto Manufacturers</t>
  </si>
  <si>
    <t>AZN</t>
  </si>
  <si>
    <t>Auto Parts</t>
  </si>
  <si>
    <t>BAM</t>
  </si>
  <si>
    <t>Banks - Global</t>
  </si>
  <si>
    <t>BBD</t>
  </si>
  <si>
    <t>Banks - Regional - Africa</t>
  </si>
  <si>
    <t>BDT</t>
  </si>
  <si>
    <t>Banks - Regional - Asia</t>
  </si>
  <si>
    <t>BGN</t>
  </si>
  <si>
    <t>Banks - Regional - Australia</t>
  </si>
  <si>
    <t>BHD</t>
  </si>
  <si>
    <t>Banks - Regional - Canada</t>
  </si>
  <si>
    <t>BIF</t>
  </si>
  <si>
    <t>Banks - Regional - Europe</t>
  </si>
  <si>
    <t>BMD</t>
  </si>
  <si>
    <t>Banks - Regional - Latin America</t>
  </si>
  <si>
    <t>BND</t>
  </si>
  <si>
    <t>Banks - Regional - US</t>
  </si>
  <si>
    <t>BOB</t>
  </si>
  <si>
    <t>Beverages - Brewers</t>
  </si>
  <si>
    <t>BRL</t>
  </si>
  <si>
    <t>Beverages - Soft Drinks</t>
  </si>
  <si>
    <t>BSD</t>
  </si>
  <si>
    <t>Beverages - Wineries &amp; Distilleries</t>
  </si>
  <si>
    <t>BTN</t>
  </si>
  <si>
    <t>Biotechnology</t>
  </si>
  <si>
    <t>BWP</t>
  </si>
  <si>
    <t>Broadcasting - Radio</t>
  </si>
  <si>
    <t>BYR</t>
  </si>
  <si>
    <t>Broadcasting - TV</t>
  </si>
  <si>
    <t>BZD</t>
  </si>
  <si>
    <t>Building Materials</t>
  </si>
  <si>
    <t>CAD</t>
  </si>
  <si>
    <t>Business Equipment</t>
  </si>
  <si>
    <t>CDF</t>
  </si>
  <si>
    <t>Business Services</t>
  </si>
  <si>
    <t>CHF</t>
  </si>
  <si>
    <t>Capital Markets</t>
  </si>
  <si>
    <t>CLP</t>
  </si>
  <si>
    <t>Chemicals</t>
  </si>
  <si>
    <t>CNY</t>
  </si>
  <si>
    <t>Coal</t>
  </si>
  <si>
    <t>COP</t>
  </si>
  <si>
    <t>Communication Equipment</t>
  </si>
  <si>
    <t>CRC</t>
  </si>
  <si>
    <t>Computer Distribution</t>
  </si>
  <si>
    <t>CUP</t>
  </si>
  <si>
    <t>Computer Systems</t>
  </si>
  <si>
    <t>CVE</t>
  </si>
  <si>
    <t>Confectioners</t>
  </si>
  <si>
    <t>CYP</t>
  </si>
  <si>
    <t>Conglomerates</t>
  </si>
  <si>
    <t>CZK</t>
  </si>
  <si>
    <t>Consumer Electronics</t>
  </si>
  <si>
    <t>DJF</t>
  </si>
  <si>
    <t>Contract Manufacturers</t>
  </si>
  <si>
    <t>Copper</t>
  </si>
  <si>
    <t>DOP</t>
  </si>
  <si>
    <t>Credit Services</t>
  </si>
  <si>
    <t>DZD</t>
  </si>
  <si>
    <t>Data Storage</t>
  </si>
  <si>
    <t>EEK</t>
  </si>
  <si>
    <t>Department Stores</t>
  </si>
  <si>
    <t>EGP</t>
  </si>
  <si>
    <t>Diagnostics &amp; Research</t>
  </si>
  <si>
    <t>ERN</t>
  </si>
  <si>
    <t>Discount Stores</t>
  </si>
  <si>
    <t>ETB</t>
  </si>
  <si>
    <t>Drug Manufacturers - Major</t>
  </si>
  <si>
    <t>FJD</t>
  </si>
  <si>
    <t>Drug Manufacturers - Specialty &amp; Generic</t>
  </si>
  <si>
    <t>FKP</t>
  </si>
  <si>
    <t>Education &amp; Training Services</t>
  </si>
  <si>
    <t>GBP</t>
  </si>
  <si>
    <t>Electronic Components</t>
  </si>
  <si>
    <t>GBX</t>
  </si>
  <si>
    <t>Electronic Gaming &amp; Multimedia</t>
  </si>
  <si>
    <t>GEL</t>
  </si>
  <si>
    <t>Electronics Distribution</t>
  </si>
  <si>
    <t>GGP</t>
  </si>
  <si>
    <t>Engineering &amp; Construction</t>
  </si>
  <si>
    <t>GHS</t>
  </si>
  <si>
    <t>Farm &amp; Construction Equipment</t>
  </si>
  <si>
    <t>GIP</t>
  </si>
  <si>
    <t>Farm Products</t>
  </si>
  <si>
    <t>GMD</t>
  </si>
  <si>
    <t>Financial Exchanges</t>
  </si>
  <si>
    <t>GNF</t>
  </si>
  <si>
    <t>Food Distribution</t>
  </si>
  <si>
    <t>GTQ</t>
  </si>
  <si>
    <t>Footwear &amp; Accessories</t>
  </si>
  <si>
    <t>GYD</t>
  </si>
  <si>
    <t>Gambling</t>
  </si>
  <si>
    <t>HKD</t>
  </si>
  <si>
    <t>Gold</t>
  </si>
  <si>
    <t>HNL</t>
  </si>
  <si>
    <t>Grocery Stores</t>
  </si>
  <si>
    <t>HRK</t>
  </si>
  <si>
    <t>Health Care Plans</t>
  </si>
  <si>
    <t>HTG</t>
  </si>
  <si>
    <t>Health Information Services</t>
  </si>
  <si>
    <t>HUF</t>
  </si>
  <si>
    <t>Home Furnishings &amp; Fixtures</t>
  </si>
  <si>
    <t>IDR</t>
  </si>
  <si>
    <t>Home Improvement Stores</t>
  </si>
  <si>
    <t>ILS</t>
  </si>
  <si>
    <t>Household &amp; Personal Products</t>
  </si>
  <si>
    <t>IMP</t>
  </si>
  <si>
    <t>Industrial Distribution</t>
  </si>
  <si>
    <t>INR</t>
  </si>
  <si>
    <t>Industrial Metals &amp; Minerals</t>
  </si>
  <si>
    <t>IQD</t>
  </si>
  <si>
    <t>Information Technology Services</t>
  </si>
  <si>
    <t>IRR</t>
  </si>
  <si>
    <t>Infrastructure Operations</t>
  </si>
  <si>
    <t>ISK</t>
  </si>
  <si>
    <t>Insurance - Diversified</t>
  </si>
  <si>
    <t>JEP</t>
  </si>
  <si>
    <t>Insurance - Life</t>
  </si>
  <si>
    <t>JMD</t>
  </si>
  <si>
    <t>Insurance - Property &amp; Casualty</t>
  </si>
  <si>
    <t>JOD</t>
  </si>
  <si>
    <t>Insurance - Reinsurance</t>
  </si>
  <si>
    <t>JPY</t>
  </si>
  <si>
    <t>Insurance - Specialty</t>
  </si>
  <si>
    <t>KES</t>
  </si>
  <si>
    <t>Insurance Brokers</t>
  </si>
  <si>
    <t>KGS</t>
  </si>
  <si>
    <t>Integrated Shipping &amp; Logistics</t>
  </si>
  <si>
    <t>KHR</t>
  </si>
  <si>
    <t>Internet Content &amp; Information</t>
  </si>
  <si>
    <t>KMF</t>
  </si>
  <si>
    <t>Leisure</t>
  </si>
  <si>
    <t>KPW</t>
  </si>
  <si>
    <t>Lodging</t>
  </si>
  <si>
    <t>KRW</t>
  </si>
  <si>
    <t>Long-Term Care Facilities</t>
  </si>
  <si>
    <t>KWD</t>
  </si>
  <si>
    <t>Lumber &amp; Wood Production</t>
  </si>
  <si>
    <t>KYD</t>
  </si>
  <si>
    <t>Luxury Goods</t>
  </si>
  <si>
    <t>KZT</t>
  </si>
  <si>
    <t>Marketing Services</t>
  </si>
  <si>
    <t>LAK</t>
  </si>
  <si>
    <t>Media - Diversified</t>
  </si>
  <si>
    <t>LBP</t>
  </si>
  <si>
    <t>Medical Care</t>
  </si>
  <si>
    <t>LKR</t>
  </si>
  <si>
    <t>Medical Devices</t>
  </si>
  <si>
    <t>LRD</t>
  </si>
  <si>
    <t>Medical Distribution</t>
  </si>
  <si>
    <t>LSL</t>
  </si>
  <si>
    <t>Medical Instruments &amp; Supplies</t>
  </si>
  <si>
    <t>LTL</t>
  </si>
  <si>
    <t>Metal Fabrication</t>
  </si>
  <si>
    <t>LVL</t>
  </si>
  <si>
    <t>Oil &amp; Gas Drilling</t>
  </si>
  <si>
    <t>LYD</t>
  </si>
  <si>
    <t>Oil &amp; Gas E&amp;P</t>
  </si>
  <si>
    <t>MAD</t>
  </si>
  <si>
    <t>Oil &amp; Gas Equipment &amp; Services</t>
  </si>
  <si>
    <t>MDL</t>
  </si>
  <si>
    <t>Oil &amp; Gas Integrated</t>
  </si>
  <si>
    <t>MGA</t>
  </si>
  <si>
    <t>Oil &amp; Gas Midstream</t>
  </si>
  <si>
    <t>MKD</t>
  </si>
  <si>
    <t>Oil &amp; Gas Refining &amp; Marketing</t>
  </si>
  <si>
    <t>MMK</t>
  </si>
  <si>
    <t>Packaged Foods</t>
  </si>
  <si>
    <t>MNT</t>
  </si>
  <si>
    <t>Packaging &amp; Containers</t>
  </si>
  <si>
    <t>MOP</t>
  </si>
  <si>
    <t>Paper &amp; Paper Products</t>
  </si>
  <si>
    <t>MRO</t>
  </si>
  <si>
    <t>Pay TV</t>
  </si>
  <si>
    <t>MTL</t>
  </si>
  <si>
    <t>Personal Services</t>
  </si>
  <si>
    <t>MUR</t>
  </si>
  <si>
    <t>Pharmaceutical Retailers</t>
  </si>
  <si>
    <t>MVR</t>
  </si>
  <si>
    <t>Pollution &amp; Treatment Controls</t>
  </si>
  <si>
    <t>MWK</t>
  </si>
  <si>
    <t>Publishing</t>
  </si>
  <si>
    <t>MXN</t>
  </si>
  <si>
    <t>Railroads</t>
  </si>
  <si>
    <t>MYR</t>
  </si>
  <si>
    <t>Real Estate - General</t>
  </si>
  <si>
    <t>MZN</t>
  </si>
  <si>
    <t>Real Estate Services</t>
  </si>
  <si>
    <t>NAD</t>
  </si>
  <si>
    <t>Recreational Vehicles</t>
  </si>
  <si>
    <t>NGN</t>
  </si>
  <si>
    <t>REIT - Diversified</t>
  </si>
  <si>
    <t>NIO</t>
  </si>
  <si>
    <t>REIT - Healthcare Facilities</t>
  </si>
  <si>
    <t>NOK</t>
  </si>
  <si>
    <t>REIT - Hotel &amp; Motel</t>
  </si>
  <si>
    <t>NPR</t>
  </si>
  <si>
    <t>REIT - Industrial</t>
  </si>
  <si>
    <t>NZD</t>
  </si>
  <si>
    <t>REIT - Office</t>
  </si>
  <si>
    <t>OMR</t>
  </si>
  <si>
    <t>REIT - Residential</t>
  </si>
  <si>
    <t>PAB</t>
  </si>
  <si>
    <t>REIT - Retail</t>
  </si>
  <si>
    <t>PEN</t>
  </si>
  <si>
    <t>Rental &amp; Leasing Services</t>
  </si>
  <si>
    <t>PGK</t>
  </si>
  <si>
    <t>Residential Construction</t>
  </si>
  <si>
    <t>PHP</t>
  </si>
  <si>
    <t>Resorts &amp; Casinos</t>
  </si>
  <si>
    <t>PKR</t>
  </si>
  <si>
    <t>Restaurants</t>
  </si>
  <si>
    <t>PLN</t>
  </si>
  <si>
    <t>Rubber &amp; Plastics</t>
  </si>
  <si>
    <t>PYG</t>
  </si>
  <si>
    <t>Savings &amp; Cooperative Banks</t>
  </si>
  <si>
    <t>QAR</t>
  </si>
  <si>
    <t>Scientific &amp; Technical Instruments</t>
  </si>
  <si>
    <t>RON</t>
  </si>
  <si>
    <t>Security &amp; Protection Services</t>
  </si>
  <si>
    <t>RSD</t>
  </si>
  <si>
    <t>Semiconductor Equipment &amp; Materials</t>
  </si>
  <si>
    <t>RUB</t>
  </si>
  <si>
    <t>Semiconductor Memory</t>
  </si>
  <si>
    <t>RWF</t>
  </si>
  <si>
    <t>Semiconductors</t>
  </si>
  <si>
    <t>SAR</t>
  </si>
  <si>
    <t>Shipping &amp; Ports</t>
  </si>
  <si>
    <t>SBD</t>
  </si>
  <si>
    <t>Silver</t>
  </si>
  <si>
    <t>SCR</t>
  </si>
  <si>
    <t>Software - Application</t>
  </si>
  <si>
    <t>SDG</t>
  </si>
  <si>
    <t>Software - Infrastructure</t>
  </si>
  <si>
    <t>SEK</t>
  </si>
  <si>
    <t>Solar</t>
  </si>
  <si>
    <t>SGD</t>
  </si>
  <si>
    <t>Specialty Chemicals</t>
  </si>
  <si>
    <t>SHP</t>
  </si>
  <si>
    <t>Specialty Finance</t>
  </si>
  <si>
    <t>SLL</t>
  </si>
  <si>
    <t>Specialty Retail</t>
  </si>
  <si>
    <t>SOS</t>
  </si>
  <si>
    <t>Staffing &amp; Outsourcing Services</t>
  </si>
  <si>
    <t>SPL</t>
  </si>
  <si>
    <t>Steel</t>
  </si>
  <si>
    <t>SRD</t>
  </si>
  <si>
    <t>Telecom Services</t>
  </si>
  <si>
    <t>STD</t>
  </si>
  <si>
    <t>Textile Manufacturing</t>
  </si>
  <si>
    <t>SVC</t>
  </si>
  <si>
    <t>Tobacco</t>
  </si>
  <si>
    <t>SYP</t>
  </si>
  <si>
    <t>Tools &amp; Accessories</t>
  </si>
  <si>
    <t>SZL</t>
  </si>
  <si>
    <t>Truck Manufacturing</t>
  </si>
  <si>
    <t>THB</t>
  </si>
  <si>
    <t>Trucking</t>
  </si>
  <si>
    <t>TJS</t>
  </si>
  <si>
    <t>Utilities - Diversified</t>
  </si>
  <si>
    <t>TMM</t>
  </si>
  <si>
    <t>Utilities - Independent Power Producers</t>
  </si>
  <si>
    <t>TND</t>
  </si>
  <si>
    <t>Utilities - Regulated Electric</t>
  </si>
  <si>
    <t>TOP</t>
  </si>
  <si>
    <t>Utilities - Regulated Gas</t>
  </si>
  <si>
    <t>TRY</t>
  </si>
  <si>
    <t>Utilities - Regulated Water</t>
  </si>
  <si>
    <t>TTD</t>
  </si>
  <si>
    <t>Waste Management</t>
  </si>
  <si>
    <t>TVD</t>
  </si>
  <si>
    <t>TWD</t>
  </si>
  <si>
    <t>TZS</t>
  </si>
  <si>
    <t>UAH</t>
  </si>
  <si>
    <t>UGX</t>
  </si>
  <si>
    <t>UYU</t>
  </si>
  <si>
    <t>UZS</t>
  </si>
  <si>
    <t>VEB</t>
  </si>
  <si>
    <t>VEF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</si>
  <si>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</si>
  <si>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</si>
  <si>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</si>
  <si>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</si>
  <si>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</si>
  <si>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</si>
  <si>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</si>
  <si>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</si>
  <si>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</si>
  <si>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</si>
  <si>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</si>
  <si>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</si>
  <si>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YER</t>
  </si>
  <si>
    <t>ZAR</t>
  </si>
  <si>
    <t>ZMK</t>
  </si>
  <si>
    <t>ZWD</t>
  </si>
  <si>
    <t xml:space="preserve"> Expense Capitalization Tool</t>
  </si>
  <si>
    <t>Use this tool to capitalize expenses that are really long-term investments, such as Research &amp; Development, for the purposes of adjusting ROIC</t>
  </si>
  <si>
    <t>Year</t>
  </si>
  <si>
    <t>Other Adjustments to EBI</t>
  </si>
  <si>
    <t>Other Adjustments to Invested Capital</t>
  </si>
  <si>
    <t>Average Asset Life (1-20 years)</t>
  </si>
  <si>
    <t>Start Here</t>
  </si>
  <si>
    <t>Expense to Capitalize</t>
  </si>
  <si>
    <t>% growth or as % sales</t>
  </si>
  <si>
    <t>Incremental Invested Capital</t>
  </si>
  <si>
    <t>Incremental Amortization</t>
  </si>
  <si>
    <t>Year -30 Amortization</t>
  </si>
  <si>
    <t>Year -29 Amortization</t>
  </si>
  <si>
    <t>Year -28 Amortization</t>
  </si>
  <si>
    <t>Year -27 Amortization</t>
  </si>
  <si>
    <t>Year -26 Amortization</t>
  </si>
  <si>
    <t>Year -25 Amortization</t>
  </si>
  <si>
    <t>Year -24 Amortization</t>
  </si>
  <si>
    <t>Year -23 Amortization</t>
  </si>
  <si>
    <t>Year -22 Amortization</t>
  </si>
  <si>
    <t>Year -21 Amortization</t>
  </si>
  <si>
    <t>Year -20 Amortization</t>
  </si>
  <si>
    <t>Year -19 Amortization</t>
  </si>
  <si>
    <t>Year -18 Amortization</t>
  </si>
  <si>
    <t>Year -17 Amortization</t>
  </si>
  <si>
    <t>Year -16 Amortization</t>
  </si>
  <si>
    <t>Year -15 Amortization</t>
  </si>
  <si>
    <t>Year -14 Amortization</t>
  </si>
  <si>
    <t>Year -13 Amortization</t>
  </si>
  <si>
    <t>Year -12 Amortization</t>
  </si>
  <si>
    <t>Year -11 Amortization</t>
  </si>
  <si>
    <t>Year -10 Amortization</t>
  </si>
  <si>
    <t>Year -9 Amortization</t>
  </si>
  <si>
    <t>Year -8 Amortization</t>
  </si>
  <si>
    <t>Year -7 Amortization</t>
  </si>
  <si>
    <t>Year -6 Amortization</t>
  </si>
  <si>
    <t>Year -5 Amortization</t>
  </si>
  <si>
    <t>Year -4 Amortization</t>
  </si>
  <si>
    <t>Year -3 Amortization</t>
  </si>
  <si>
    <t>Year -2 Amortization</t>
  </si>
  <si>
    <t>Year -1 Amortization</t>
  </si>
  <si>
    <t>Year 0 Amortization</t>
  </si>
  <si>
    <t>Year 1 Amortization</t>
  </si>
  <si>
    <t>Year 2 Amortization</t>
  </si>
  <si>
    <t>Year 3 Amortization</t>
  </si>
  <si>
    <t>Year 4 Amortization</t>
  </si>
  <si>
    <t>Year 5 Amortization</t>
  </si>
  <si>
    <t>Year 6 Amortization</t>
  </si>
  <si>
    <t>Year 7 Amortization</t>
  </si>
  <si>
    <t>Year 8 Amortization</t>
  </si>
  <si>
    <t>Year 9 Amortization</t>
  </si>
  <si>
    <t>Morningstar General Model v6.001-GM6001k</t>
  </si>
  <si>
    <t>© 2022 Morningstar, Inc. All Rights Reserved. The data and algorithms embedded in these spreadsheets:</t>
  </si>
  <si>
    <t>(1) are proprietary to Morningstar, Inc.; (2) may not be copied or redistributed; (3) do not constitute investment</t>
  </si>
  <si>
    <t>advice; and (4) are not warranted to be accurate, complete, or timely.</t>
  </si>
  <si>
    <t>Morningstar is not responsible for any damages or losses arising from any use of these spreadsheets or the</t>
  </si>
  <si>
    <t>data contained therein.</t>
  </si>
  <si>
    <t>https://www.cnbc.com/quotes/US10Y</t>
  </si>
  <si>
    <t>https://finance.yahoo.com/quote/VWS.CO?p=VWS.CO</t>
  </si>
  <si>
    <t>https://pages.stern.nyu.edu/~adamodar/</t>
  </si>
  <si>
    <t>PAT</t>
  </si>
  <si>
    <t>Minority Int</t>
  </si>
  <si>
    <t>Other Losses</t>
  </si>
  <si>
    <t>Tax rate</t>
  </si>
  <si>
    <t>Tax</t>
  </si>
  <si>
    <t>PBT</t>
  </si>
  <si>
    <t>EBIT after one time</t>
  </si>
  <si>
    <t>One time exp</t>
  </si>
  <si>
    <t>Other Income</t>
  </si>
  <si>
    <t>R&amp;D</t>
  </si>
  <si>
    <t>SG&amp;A</t>
  </si>
  <si>
    <t>COGS</t>
  </si>
  <si>
    <t>Combined</t>
  </si>
  <si>
    <t>Siemens</t>
  </si>
  <si>
    <t>Revenue Synergy COGS%:</t>
  </si>
  <si>
    <t>Revenue Synergy %</t>
  </si>
  <si>
    <t>Debt Interest Rate</t>
  </si>
  <si>
    <t>Foregone Cash Interest Rate:</t>
  </si>
  <si>
    <t>New Shares Issued</t>
  </si>
  <si>
    <t>% Stock:</t>
  </si>
  <si>
    <t>Debt Issued</t>
  </si>
  <si>
    <t>%Debt:</t>
  </si>
  <si>
    <t>Cash Used</t>
  </si>
  <si>
    <t>%Cash:</t>
  </si>
  <si>
    <t>Equity Purchase Price</t>
  </si>
  <si>
    <t>Per Share Purchase Price:</t>
  </si>
  <si>
    <t>Transaction Assumptions</t>
  </si>
  <si>
    <t>Expense Syn</t>
  </si>
  <si>
    <t>1) Reduction in Headcount</t>
  </si>
  <si>
    <t>2) Reduction in Average salary / emp</t>
  </si>
  <si>
    <t>3) Reduction in Manufacutring Costs - combined manufacturing with Siemens and leveraging Siemens Factories, Reduction in COGS</t>
  </si>
  <si>
    <t>4) Building Consolidation - buildings or factories in the same location, can save by not having to invest separatly in buildings, savings on rental expenses</t>
  </si>
  <si>
    <t>Cost Synergies % of Opex</t>
  </si>
  <si>
    <t>Cost Synergies % of COGS</t>
  </si>
  <si>
    <t>Total Opex</t>
  </si>
  <si>
    <t>Revenue Synergies</t>
  </si>
  <si>
    <t>COGS Synergies</t>
  </si>
  <si>
    <t>Opex Synergies</t>
  </si>
  <si>
    <t>Consolidated Balance Sheets (Unaudited) - USD ($)</t>
  </si>
  <si>
    <t>Dec. 31, 2021</t>
  </si>
  <si>
    <t>Dec. 31, 2020</t>
  </si>
  <si>
    <t>Current assets</t>
  </si>
  <si>
    <t>Restricted cash</t>
  </si>
  <si>
    <t>Accounts receivable</t>
  </si>
  <si>
    <t>Inventories</t>
  </si>
  <si>
    <t>Security deposit, current</t>
  </si>
  <si>
    <t>Prepaid expenses and other current assets</t>
  </si>
  <si>
    <t>Total Current Assets</t>
  </si>
  <si>
    <t>Property and equipment, net</t>
  </si>
  <si>
    <t>Intangible assets, net</t>
  </si>
  <si>
    <t>Investment</t>
  </si>
  <si>
    <t>Right-of-use operating lease assets</t>
  </si>
  <si>
    <t>Deferred financing costs</t>
  </si>
  <si>
    <t>Financing receivables</t>
  </si>
  <si>
    <t>Security deposit, long-term</t>
  </si>
  <si>
    <t>Accounts payable</t>
  </si>
  <si>
    <t>Accrued expenses</t>
  </si>
  <si>
    <t>Deferred revenue</t>
  </si>
  <si>
    <t>Operating lease liabilities - current</t>
  </si>
  <si>
    <t>Other liabilities</t>
  </si>
  <si>
    <t>Total Current Liabilities</t>
  </si>
  <si>
    <t>Operating lease liabilities - noncurrent</t>
  </si>
  <si>
    <t>Warrants liability</t>
  </si>
  <si>
    <t>Derivative liability - non-controlling redeemable preferred shares</t>
  </si>
  <si>
    <t>Other long-term liabilities</t>
  </si>
  <si>
    <t>Commitments and Contingencies</t>
  </si>
  <si>
    <t xml:space="preserve"> </t>
  </si>
  <si>
    <t>Mezzanine equity</t>
  </si>
  <si>
    <t>Redeemable non-controlling interests, preferred shares, zero par value, 1,000,000 shares authorized, 3,138 shares issued and outstanding; aggregate liquidation preference of $3,200,760 at December 31, 2021</t>
  </si>
  <si>
    <t>Stockholders’ (Deficit) Equity</t>
  </si>
  <si>
    <t>Common stock, $0.0001 par value, 100,000,000 and 30,000,000 shares authorized; 18,861,130 and 9,122,996 shares issued and outstanding at December 31, 2021 and December 31, 2020, respectively</t>
  </si>
  <si>
    <t>Additional paid-in capital</t>
  </si>
  <si>
    <t>Accumulated other comprehensive income (loss)</t>
  </si>
  <si>
    <t>Accumulated deficit</t>
  </si>
  <si>
    <t>Nuvve Holding Corp. Stockholders’ Equity (Deficit)</t>
  </si>
  <si>
    <t>Non-controlling interests</t>
  </si>
  <si>
    <t>Total Stockholders’ Equity (Deficit)</t>
  </si>
  <si>
    <t>Total Liabilities, Mezzanine equity and Stockholders’ Equity (Deficit)</t>
  </si>
  <si>
    <t>Convertible Preferred Stock</t>
  </si>
  <si>
    <t>Preferred stock, value, issued</t>
  </si>
  <si>
    <t>Cumulative Preferred Stock</t>
  </si>
  <si>
    <t>Consolidated Statements of Operations (Unaudited) - USD ($)</t>
  </si>
  <si>
    <t>12 Months Ended</t>
  </si>
  <si>
    <t>Total revenue</t>
  </si>
  <si>
    <t>Operating expenses</t>
  </si>
  <si>
    <t>Cost of product and service revenue</t>
  </si>
  <si>
    <t>Selling, general, and administrative</t>
  </si>
  <si>
    <t>Research and development</t>
  </si>
  <si>
    <t>Total operating expenses</t>
  </si>
  <si>
    <t>Operating loss</t>
  </si>
  <si>
    <t>Other income (expense)</t>
  </si>
  <si>
    <t>Interest expense</t>
  </si>
  <si>
    <t>Change in fair value of conversion option on convertible notes</t>
  </si>
  <si>
    <t>Change in fair value of warrants liability</t>
  </si>
  <si>
    <t>Change in fair value of derivative liability</t>
  </si>
  <si>
    <t>Other, net</t>
  </si>
  <si>
    <t>Total other income (expense), net</t>
  </si>
  <si>
    <t>Loss before taxes</t>
  </si>
  <si>
    <t>Income tax expense</t>
  </si>
  <si>
    <t>Net loss</t>
  </si>
  <si>
    <t>Less: Net loss attributable to non-controlling interests</t>
  </si>
  <si>
    <t>Net loss attributable to Nuvve Holding Corp.</t>
  </si>
  <si>
    <t>Less: Preferred dividends on redeemable non-controlling interests</t>
  </si>
  <si>
    <t>Less: Accretion on redeemable non-controlling interests preferred shares</t>
  </si>
  <si>
    <t>Net loss attributable to Nuvve Holding Corp. common stockholders</t>
  </si>
  <si>
    <t>Net loss per share attributable to Nuvve Holding Corp. common stockholders, basic (in Dollars per share)</t>
  </si>
  <si>
    <t>Net loss per share attributable to Nuvve Holding Corp. common stockholders, diluted (in Dollars per share)</t>
  </si>
  <si>
    <t>Weighted-average shares used in computing net loss per share attributable to Nuvve Holding Corp. common stockholders, basic (in Shares)</t>
  </si>
  <si>
    <t>Weighted-average shares used in computing net loss per share attributable to Nuvve Holding Corp. common stockholders, diluted (in Shares)</t>
  </si>
  <si>
    <t>Products and services</t>
  </si>
  <si>
    <t>Grants</t>
  </si>
  <si>
    <t>Consolidated Statements of Cash Flows (Unaudited) - USD ($)</t>
  </si>
  <si>
    <t>Operating activities</t>
  </si>
  <si>
    <t>Adjustments to reconcile to net loss to net cash used in operating activities</t>
  </si>
  <si>
    <t>Depreciation and amortization</t>
  </si>
  <si>
    <t>Share-based compensation</t>
  </si>
  <si>
    <t>Beneficial conversion feature on convertible debenture</t>
  </si>
  <si>
    <t>Convertible note issued for services</t>
  </si>
  <si>
    <t>Accretion of discount on convertible notes</t>
  </si>
  <si>
    <t>Accretion of discount on convertible debenture</t>
  </si>
  <si>
    <t>Loss on disposal of asset</t>
  </si>
  <si>
    <t>Gain on extinguishment of PPP Loan</t>
  </si>
  <si>
    <t>Interest expense related to notes converted at discount</t>
  </si>
  <si>
    <t>Noncash lease expense</t>
  </si>
  <si>
    <t>Change in operating assets and liabilities</t>
  </si>
  <si>
    <t>Prepaid expenses and other assets</t>
  </si>
  <si>
    <t>Net cash used in operating activities</t>
  </si>
  <si>
    <t>Investing activities</t>
  </si>
  <si>
    <t>Proceeds from sale of property and equipment</t>
  </si>
  <si>
    <t>Purchase of property and equipment</t>
  </si>
  <si>
    <t>Net cash used in investing activities</t>
  </si>
  <si>
    <t>Financing activities</t>
  </si>
  <si>
    <t>Proceeds from issuance of convertible debenture</t>
  </si>
  <si>
    <t>Proceeds from issuance of convertible notes</t>
  </si>
  <si>
    <t>Proceeds from Newborn Escrow Account</t>
  </si>
  <si>
    <t>Redemption of Newborn shares</t>
  </si>
  <si>
    <t>Issuance costs related to reverse recapitalization and PIPE offering</t>
  </si>
  <si>
    <t>Proceeds from PIPE offering</t>
  </si>
  <si>
    <t>Repayment of Newborn sponsor loans</t>
  </si>
  <si>
    <t>Repurchase of common stock from EDF</t>
  </si>
  <si>
    <t>Newborn cash acquired</t>
  </si>
  <si>
    <t>Purchase of stock from investor</t>
  </si>
  <si>
    <t>Payment of financing costs</t>
  </si>
  <si>
    <t>Payment of finance lease obligations</t>
  </si>
  <si>
    <t>Proceeds from PPP/EIDL Loan</t>
  </si>
  <si>
    <t>Repayment of EIDL Loan</t>
  </si>
  <si>
    <t>Proceeds from exercise of stock options</t>
  </si>
  <si>
    <t>Issuance of Redeemable Preferred Stock</t>
  </si>
  <si>
    <t>Payment of Preferred Stock dividends</t>
  </si>
  <si>
    <t>Proceeds from shareholder loan</t>
  </si>
  <si>
    <t>Repayment proceeds from shareholder loan</t>
  </si>
  <si>
    <t>Net cash provided by financing activities</t>
  </si>
  <si>
    <t>Effect of exchange rate on cash</t>
  </si>
  <si>
    <t>Net increase in cash and restricted cash</t>
  </si>
  <si>
    <t>Cash and restricted cash at beginning of year</t>
  </si>
  <si>
    <t>Cash and restricted cash at end of year</t>
  </si>
  <si>
    <t>Supplemental Disclosure of cash information:</t>
  </si>
  <si>
    <t>Cash paid for interest</t>
  </si>
  <si>
    <t>Cash paid for income taxes</t>
  </si>
  <si>
    <t>Supplemental Disclosure of Noncash Financing Activity</t>
  </si>
  <si>
    <t>Convertible notes issued in exchange for deferred salary liability to an officer</t>
  </si>
  <si>
    <t>Issuance of convertible notes for services</t>
  </si>
  <si>
    <t>Conversion option issued</t>
  </si>
  <si>
    <t>Conversion of preferred stock to common stock</t>
  </si>
  <si>
    <t>Conversion of debenture and accrued interest to common shares</t>
  </si>
  <si>
    <t>Conversion of shares due to reverse recapitalization</t>
  </si>
  <si>
    <t>Beneficial conversion feature</t>
  </si>
  <si>
    <t>Issuance of common stock for merger success fee</t>
  </si>
  <si>
    <t>Non-cash merger transaction costs</t>
  </si>
  <si>
    <t>Accrued transaction costs related to reverse recapitalization</t>
  </si>
  <si>
    <t>Issuance of private warrants</t>
  </si>
  <si>
    <t>Forgiveness of PPP Loan</t>
  </si>
  <si>
    <t>Issuance of Stonepeak and Evolve warrants</t>
  </si>
  <si>
    <t>Issuance of Stonepeak and Evolve options</t>
  </si>
  <si>
    <t>Issuance Costs Related to Preferred Stock</t>
  </si>
  <si>
    <t>usd</t>
  </si>
  <si>
    <t>NVVE</t>
  </si>
  <si>
    <t>Nuvve Holding Corp. DCF</t>
  </si>
  <si>
    <t>https://finance.yahoo.com/quote/NVVE?p=NVVE&amp;.tsrc=fin-srch</t>
  </si>
  <si>
    <t>10K</t>
  </si>
  <si>
    <t>LOW growth rates + margins but HIGH multiples</t>
  </si>
  <si>
    <t>Basis of Consideration</t>
  </si>
  <si>
    <t>Company Reports</t>
  </si>
  <si>
    <t>as on 28 Feb, 2023</t>
  </si>
  <si>
    <t>Yahoo Finance 5 Year Estimate</t>
  </si>
  <si>
    <t>US Treasury 10Y Note, 02 Mar, 2023</t>
  </si>
  <si>
    <t>Damodaran NY Stern, 02 Mar, 2023</t>
  </si>
  <si>
    <t>Optimistic
Case (DCF)</t>
  </si>
  <si>
    <t>Street
Case (DCF)</t>
  </si>
  <si>
    <t>Conservative
Case (DCF)</t>
  </si>
  <si>
    <t>EV/Sales
Multiple</t>
  </si>
  <si>
    <t>Comparable</t>
  </si>
  <si>
    <t>Share Price</t>
  </si>
  <si>
    <t>Current Price</t>
  </si>
  <si>
    <t>Firm Equity Value</t>
  </si>
  <si>
    <t>Shares Outstanding (mm)</t>
  </si>
  <si>
    <t>Initial WACC</t>
  </si>
  <si>
    <t>Assumption</t>
  </si>
  <si>
    <t>Cost Savings</t>
  </si>
  <si>
    <t>Gross Margin %</t>
  </si>
  <si>
    <t>Revenue Inc COGS</t>
  </si>
  <si>
    <t>New GP</t>
  </si>
  <si>
    <t>New Opex</t>
  </si>
  <si>
    <t>3) Building Consolidation - buildings or factories in the same location, can save by not having to invest separatly in buildings, savings on rental expenses</t>
  </si>
  <si>
    <t>Increase in reach and new markets</t>
  </si>
  <si>
    <t>Opex</t>
  </si>
  <si>
    <t xml:space="preserve">Siemens </t>
  </si>
  <si>
    <t>Equity</t>
  </si>
  <si>
    <t>as on 02 Mar, 2023</t>
  </si>
  <si>
    <t>1.5x</t>
  </si>
  <si>
    <t>Net Debt/EBITDA</t>
  </si>
  <si>
    <t>$</t>
  </si>
  <si>
    <t>as on 03 Mar, 2023</t>
  </si>
  <si>
    <t>Target Structure</t>
  </si>
  <si>
    <t>unlevered Beta</t>
  </si>
  <si>
    <t>Current Market Cap</t>
  </si>
  <si>
    <t>Overvalue</t>
  </si>
  <si>
    <t>Synergies</t>
  </si>
  <si>
    <t>Max Purchase Price</t>
  </si>
  <si>
    <t>Average Premium</t>
  </si>
  <si>
    <t>Additional Premium</t>
  </si>
  <si>
    <t>Equity Value DCF</t>
  </si>
  <si>
    <t>+ Synergies</t>
  </si>
  <si>
    <t>- Current Market Cap</t>
  </si>
  <si>
    <t>- Premium</t>
  </si>
  <si>
    <t>- Green Premium</t>
  </si>
  <si>
    <t>Total Debt</t>
  </si>
  <si>
    <t>Net Debt</t>
  </si>
  <si>
    <t>1 usd</t>
  </si>
  <si>
    <t>Eur</t>
  </si>
  <si>
    <t>Revenue syn</t>
  </si>
  <si>
    <t>New Cogs w syn</t>
  </si>
  <si>
    <t>COGS Savings</t>
  </si>
  <si>
    <t>Savings</t>
  </si>
  <si>
    <t>cash</t>
  </si>
  <si>
    <t>Debt/EBITDA</t>
  </si>
  <si>
    <t>Purchase Price</t>
  </si>
  <si>
    <t>Pre-Transaction</t>
  </si>
  <si>
    <t>Transaction Fee</t>
  </si>
  <si>
    <t>51% through debt</t>
  </si>
  <si>
    <t>Post-Transaction</t>
  </si>
  <si>
    <t>Rec</t>
  </si>
  <si>
    <t>Pay</t>
  </si>
  <si>
    <t>Net Working Capital</t>
  </si>
  <si>
    <t>Interest</t>
  </si>
  <si>
    <t>Pre</t>
  </si>
  <si>
    <t>Post</t>
  </si>
  <si>
    <t>Post 51%</t>
  </si>
  <si>
    <t>Debt/Equity</t>
  </si>
  <si>
    <t>Equity Raise</t>
  </si>
  <si>
    <t>Share Price Siemens</t>
  </si>
  <si>
    <t>Total Shares</t>
  </si>
  <si>
    <t>Dilution</t>
  </si>
  <si>
    <t>De</t>
  </si>
  <si>
    <t>Payables</t>
  </si>
  <si>
    <t>update eur mn</t>
  </si>
  <si>
    <t>Implied share price</t>
  </si>
  <si>
    <t>CAGR ('22-'26)</t>
  </si>
  <si>
    <t>(€)</t>
  </si>
  <si>
    <r>
      <t>(</t>
    </r>
    <r>
      <rPr>
        <b/>
        <sz val="11"/>
        <color theme="0"/>
        <rFont val="Calibri"/>
        <family val="2"/>
      </rPr>
      <t>€</t>
    </r>
    <r>
      <rPr>
        <b/>
        <sz val="11"/>
        <color theme="0"/>
        <rFont val="Open sans"/>
        <family val="2"/>
      </rPr>
      <t xml:space="preserve"> mm)</t>
    </r>
  </si>
  <si>
    <t>Particulars in EUR</t>
  </si>
  <si>
    <t>Tearsheet - Public Company</t>
  </si>
  <si>
    <t>Enter Desired Criteria:</t>
  </si>
  <si>
    <t>Euros, EUR</t>
  </si>
  <si>
    <t>Amounts in</t>
  </si>
  <si>
    <t>Million</t>
  </si>
  <si>
    <t>Prepared for Suraj Udasi, HULT International Business School</t>
  </si>
  <si>
    <t>Valuation Graph</t>
  </si>
  <si>
    <t>Powered by PitchBook Data</t>
  </si>
  <si>
    <t>Vestas Wind Systems (CSE:VWS)</t>
  </si>
  <si>
    <t>Company Information</t>
  </si>
  <si>
    <t>Vestas is a leading manufacturer of wind turbines with the highest installed capacity under service in the world. The firm operates two business segments: power solutions and services. The power solutions segment designs, manufactures, and installs onshore and offshore wind turbines. The services segment performs operating and maintenance service work on wind turbines.</t>
  </si>
  <si>
    <t>Stock Exchange Description</t>
  </si>
  <si>
    <t>Nasdaq OMX Nordic Exchange - Copenhagen</t>
  </si>
  <si>
    <t>Latest Fiscal Year</t>
  </si>
  <si>
    <t>Primary Industry Code</t>
  </si>
  <si>
    <t>Alternative Energy Equipment</t>
  </si>
  <si>
    <t>Website</t>
  </si>
  <si>
    <t>www.vestas.com</t>
  </si>
  <si>
    <t>Latest Fiscal Quarter</t>
  </si>
  <si>
    <t>Employees</t>
  </si>
  <si>
    <t>LTM as of</t>
  </si>
  <si>
    <t>(in Millions, except per share data):</t>
  </si>
  <si>
    <t>Financial Summary</t>
  </si>
  <si>
    <t>Market Data</t>
  </si>
  <si>
    <t>Fiscal Year Ending</t>
  </si>
  <si>
    <t>Close Price</t>
  </si>
  <si>
    <t>Trailing Dividend Yield</t>
  </si>
  <si>
    <t>2020Y</t>
  </si>
  <si>
    <t>2021Y</t>
  </si>
  <si>
    <t>2022Y</t>
  </si>
  <si>
    <t>2024E</t>
  </si>
  <si>
    <t>2025E</t>
  </si>
  <si>
    <t>Price 52 Week High</t>
  </si>
  <si>
    <t>Beta 5 Year</t>
  </si>
  <si>
    <t>Price 52 Week Low</t>
  </si>
  <si>
    <t>Total Revenue</t>
  </si>
  <si>
    <t>Basic Weighted Average Shares Outstanding</t>
  </si>
  <si>
    <t>-</t>
  </si>
  <si>
    <t>Average Trading Volume</t>
  </si>
  <si>
    <t>Last Week</t>
  </si>
  <si>
    <t>EBITDA Margin %</t>
  </si>
  <si>
    <t>Last Month</t>
  </si>
  <si>
    <t>Last 3 Months</t>
  </si>
  <si>
    <t>EBIT Margin %</t>
  </si>
  <si>
    <t>Non-Controlling/Minority Interests (Balance Sheet)</t>
  </si>
  <si>
    <t>Last 6 Months</t>
  </si>
  <si>
    <t>Cash, Cash Equivalents and Short Term Investments</t>
  </si>
  <si>
    <t>Last Year</t>
  </si>
  <si>
    <t>Net Income Margin %</t>
  </si>
  <si>
    <t>Diluted EPS</t>
  </si>
  <si>
    <t>Cash Flow Statement</t>
  </si>
  <si>
    <t>Valuation Multiples</t>
  </si>
  <si>
    <t>Cash Flow from Operating Activities</t>
  </si>
  <si>
    <t>Cash Flow from Financing Activities</t>
  </si>
  <si>
    <t>Change in Cash</t>
  </si>
  <si>
    <t>EV to Revenue</t>
  </si>
  <si>
    <t>EV to EBITDA</t>
  </si>
  <si>
    <t>Balance Sheet</t>
  </si>
  <si>
    <t>Latest</t>
  </si>
  <si>
    <t>EV to EBIT</t>
  </si>
  <si>
    <t>Price To Earnings</t>
  </si>
  <si>
    <t>Price To Book</t>
  </si>
  <si>
    <t>Total Shareholders' Equity</t>
  </si>
  <si>
    <t>1 Year Growth</t>
  </si>
  <si>
    <t>Segmentation Data</t>
  </si>
  <si>
    <t>Revenue % Growth</t>
  </si>
  <si>
    <t>Segment</t>
  </si>
  <si>
    <t>Business Units</t>
  </si>
  <si>
    <t>EBITDA % Growth</t>
  </si>
  <si>
    <t>Metric</t>
  </si>
  <si>
    <t>Business Revenue</t>
  </si>
  <si>
    <t>EBIT % Growth</t>
  </si>
  <si>
    <t>Net Income % Growth</t>
  </si>
  <si>
    <t>2020</t>
  </si>
  <si>
    <t>2021</t>
  </si>
  <si>
    <t>2022</t>
  </si>
  <si>
    <t>Diluted EPS % Growth</t>
  </si>
  <si>
    <t>SegmentTotal</t>
  </si>
  <si>
    <t>Service</t>
  </si>
  <si>
    <t>Ownership Data*</t>
  </si>
  <si>
    <t>Not allocated</t>
  </si>
  <si>
    <t>Total Shares Outstanding</t>
  </si>
  <si>
    <t>13F Ownership</t>
  </si>
  <si>
    <t>Insider Ownership</t>
  </si>
  <si>
    <t>*13F data only available for companies traded on Nasdaq and NYSE. Insider data only available for US &amp; UK companies.</t>
  </si>
  <si>
    <t>Top 13F Shareholders</t>
  </si>
  <si>
    <t>Change in 
Shares (QoQ)</t>
  </si>
  <si>
    <t>% Change 
(QoQ)</t>
  </si>
  <si>
    <t>Current 
Shares</t>
  </si>
  <si>
    <t>% of Total 
Shares Held</t>
  </si>
  <si>
    <t>Top Insider Holders</t>
  </si>
  <si>
    <t>Title</t>
  </si>
  <si>
    <t>Damodaran NY Stern, 05 Jan, 2023</t>
  </si>
  <si>
    <t>https://pages.stern.nyu.edu/~adamodar/New_Home_Page/datafile/ctryprem.html</t>
  </si>
  <si>
    <r>
      <rPr>
        <b/>
        <sz val="11"/>
        <color theme="0"/>
        <rFont val="Calibri"/>
        <family val="2"/>
      </rPr>
      <t>€</t>
    </r>
    <r>
      <rPr>
        <b/>
        <sz val="11"/>
        <color theme="0"/>
        <rFont val="Open sans"/>
        <family val="2"/>
      </rPr>
      <t xml:space="preserve"> mm</t>
    </r>
  </si>
  <si>
    <t>, as on 05 March, 2023</t>
  </si>
  <si>
    <t>Weighted Avg EV</t>
  </si>
  <si>
    <t>weights</t>
  </si>
  <si>
    <t>valuation method</t>
  </si>
  <si>
    <t>1- tax rate</t>
  </si>
  <si>
    <t>German tax rate</t>
  </si>
  <si>
    <t>1 - tax rate</t>
  </si>
  <si>
    <t>Levered Beta</t>
  </si>
  <si>
    <t>NPV - Periods</t>
  </si>
  <si>
    <t>Shares Outstanding ('000)</t>
  </si>
  <si>
    <t>Premium (30.6%)</t>
  </si>
  <si>
    <t>+ Premium</t>
  </si>
  <si>
    <t>of SIEMENS cash</t>
  </si>
  <si>
    <t>, as on 01 March, 2023</t>
  </si>
  <si>
    <t>Damodaran NY Stern, 01 Mar, 2023</t>
  </si>
  <si>
    <r>
      <rPr>
        <b/>
        <sz val="11"/>
        <color theme="0"/>
        <rFont val="Calibri"/>
        <family val="2"/>
      </rPr>
      <t>€</t>
    </r>
    <r>
      <rPr>
        <b/>
        <sz val="11"/>
        <color theme="0"/>
        <rFont val="Open sans"/>
        <family val="2"/>
      </rPr>
      <t xml:space="preserve"> '000</t>
    </r>
  </si>
  <si>
    <t>Undervalue</t>
  </si>
  <si>
    <t>Merger Model</t>
  </si>
  <si>
    <t>Siemens acq. Vestas or Nuvve</t>
  </si>
  <si>
    <t>Per Share Purchase Price (Vestas)</t>
  </si>
  <si>
    <t>Per Share Purchase Price (Nuvve)</t>
  </si>
  <si>
    <t>Equity Purchase Price (Vestas)</t>
  </si>
  <si>
    <t>Equity Purchase Price (Nuvve)</t>
  </si>
  <si>
    <t>% Cash</t>
  </si>
  <si>
    <t>% Stock</t>
  </si>
  <si>
    <t>Cash Used:</t>
  </si>
  <si>
    <t>Debt Issued:</t>
  </si>
  <si>
    <t>New Shares Issued:</t>
  </si>
  <si>
    <t>Debt Interest Rate:</t>
  </si>
  <si>
    <t>Foregone Cash Interest Rate</t>
  </si>
  <si>
    <t>Siemens Profile</t>
  </si>
  <si>
    <t>Shares Outstanding</t>
  </si>
  <si>
    <t>Vestas Profile</t>
  </si>
  <si>
    <t>Nuvve Profile</t>
  </si>
  <si>
    <t>- Cash</t>
  </si>
  <si>
    <t>+ Debt</t>
  </si>
  <si>
    <t>million new shares</t>
  </si>
  <si>
    <t>https://valueinvesting.io/SIE.DE/valuation/wacc</t>
  </si>
  <si>
    <t>morningstar</t>
  </si>
  <si>
    <t>Shares Outstanding (Diluted)</t>
  </si>
  <si>
    <t>SIE+VES</t>
  </si>
  <si>
    <t>SIE+NUV</t>
  </si>
  <si>
    <t>Growth %</t>
  </si>
  <si>
    <t>Effective Tax rate</t>
  </si>
  <si>
    <t>New Shares</t>
  </si>
  <si>
    <t>Revenue Synergies (Vestas)</t>
  </si>
  <si>
    <t>Nuvve</t>
  </si>
  <si>
    <t>Revenue Synergies (Nuvve)</t>
  </si>
  <si>
    <t>EPS (Siemens)</t>
  </si>
  <si>
    <t>EPS (Proforma)</t>
  </si>
  <si>
    <t>PAT (Proforma)</t>
  </si>
  <si>
    <t>PAT (Siemens)</t>
  </si>
  <si>
    <t>% Dilution</t>
  </si>
  <si>
    <t>Accretion (Dilution)</t>
  </si>
  <si>
    <t>Particulars</t>
  </si>
  <si>
    <t>Siemens Shares Outstanding (#, Diluted)</t>
  </si>
  <si>
    <t>% Accretion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</si>
</sst>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2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_([$$-409]* #,##0.00_);_([$$-409]* \(#,##0.00\);_([$$-409]* &quot;-&quot;??_);_(@_)"/>
    <numFmt numFmtId="166" formatCode="0%;\(0%\)"/>
    <numFmt numFmtId="167" formatCode="0.0%;\(0.0%\)"/>
    <numFmt numFmtId="168" formatCode="&quot;$&quot;#,##0.00"/>
    <numFmt numFmtId="169" formatCode="0.0"/>
    <numFmt numFmtId="170" formatCode="0.0\x"/>
    <numFmt numFmtId="171" formatCode="0.0%_);[Red]\(0.0%\);0%_)"/>
    <numFmt numFmtId="172" formatCode="#,##0.0"/>
    <numFmt numFmtId="173" formatCode="#,##0.0_);[Red]\(#,##0.0\)"/>
    <numFmt numFmtId="174" formatCode="0.0%;[Red]\-0.0%"/>
    <numFmt numFmtId="175" formatCode="0%;[Red]\-0%"/>
    <numFmt numFmtId="176" formatCode="0_);[Red]\(0\)"/>
    <numFmt numFmtId="177" formatCode="_(&quot;$ &quot;#,##0_);_(&quot;$ &quot;\(#,##0\)"/>
    <numFmt numFmtId="178" formatCode="_(&quot;$ &quot;#,##0.00_);_(&quot;$ &quot;\(#,##0.00\)"/>
    <numFmt numFmtId="179" formatCode="_([$$-409]* #,##0.0_);_([$$-409]* \(#,##0.0\);_([$$-409]* &quot;-&quot;??_);_(@_)"/>
    <numFmt numFmtId="180" formatCode="#,##0.0&quot;x&quot;"/>
    <numFmt numFmtId="181" formatCode="0.0&quot;x&quot;"/>
    <numFmt numFmtId="182" formatCode="_([$€-2]\ * #,##0.0_);_([$€-2]\ * \(#,##0.0\);_([$€-2]\ * &quot;-&quot;?_);_(@_)"/>
    <numFmt numFmtId="183" formatCode="[$€-2]\ #,##0.0"/>
    <numFmt numFmtId="184" formatCode="[$€-2]\ #,##0.0_);\([$€-2]\ #,##0.0\)"/>
    <numFmt numFmtId="185" formatCode="_([$€-2]\ * #,##0.0_);_([$€-2]\ * \(#,##0.0\);_([$€-2]\ * &quot;-&quot;??_);_(@_)"/>
    <numFmt numFmtId="186" formatCode="[$-409]d\-mmm\-yy;@"/>
    <numFmt numFmtId="187" formatCode="dd\-mmm\-yy"/>
    <numFmt numFmtId="188" formatCode="#,##0;[Red]\(#,##0\)"/>
    <numFmt numFmtId="189" formatCode="#,##0.00_ ;[Red]\-#,##0.00\ "/>
    <numFmt numFmtId="190" formatCode="#,##0.0%;[Red]\-#,##0.0%"/>
    <numFmt numFmtId="191" formatCode="#,##0.0\x;[Red]\-#,##0.0\x"/>
    <numFmt numFmtId="192" formatCode="#,##0.00%;[Red]\-#,##0.00%"/>
  </numFmts>
  <fonts count="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1"/>
      <name val="Open sans"/>
      <family val="2"/>
    </font>
    <font>
      <i/>
      <sz val="11"/>
      <name val="Open sans"/>
      <family val="2"/>
    </font>
    <font>
      <b/>
      <sz val="11"/>
      <name val="Open sans"/>
      <family val="2"/>
    </font>
    <font>
      <sz val="11"/>
      <color theme="0"/>
      <name val="Open sans"/>
      <family val="2"/>
    </font>
    <font>
      <b/>
      <sz val="11"/>
      <color theme="1"/>
      <name val="Open sans"/>
      <family val="2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sz val="1"/>
      <color indexed="9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Open sans"/>
    </font>
    <font>
      <i/>
      <sz val="11"/>
      <color theme="1"/>
      <name val="Open sans"/>
    </font>
    <font>
      <b/>
      <sz val="11"/>
      <color theme="1"/>
      <name val="Open sans"/>
    </font>
    <font>
      <b/>
      <sz val="11"/>
      <color theme="0"/>
      <name val="Open sans"/>
    </font>
    <font>
      <sz val="11"/>
      <color rgb="FF7030A0"/>
      <name val="Open sans"/>
    </font>
    <font>
      <sz val="11"/>
      <name val="Open sans"/>
    </font>
    <font>
      <b/>
      <sz val="16"/>
      <color theme="1"/>
      <name val="Open sans"/>
    </font>
    <font>
      <b/>
      <u/>
      <sz val="11"/>
      <color theme="1"/>
      <name val="Open sans"/>
    </font>
    <font>
      <sz val="11"/>
      <color theme="9" tint="-0.249977111117893"/>
      <name val="Open sans"/>
    </font>
    <font>
      <i/>
      <sz val="11"/>
      <name val="Open sans"/>
    </font>
    <font>
      <b/>
      <sz val="11"/>
      <name val="Open sans"/>
    </font>
    <font>
      <i/>
      <sz val="11"/>
      <color rgb="FF7030A0"/>
      <name val="Open sans"/>
    </font>
    <font>
      <i/>
      <sz val="11"/>
      <color rgb="FFFF0000"/>
      <name val="Open sans"/>
    </font>
    <font>
      <sz val="11"/>
      <color theme="0"/>
      <name val="Open sans"/>
    </font>
    <font>
      <sz val="11"/>
      <color indexed="8"/>
      <name val="Open sans"/>
    </font>
    <font>
      <sz val="11"/>
      <color indexed="12"/>
      <name val="Open sans"/>
    </font>
    <font>
      <u/>
      <sz val="11"/>
      <color indexed="12"/>
      <name val="Open sans"/>
    </font>
    <font>
      <u/>
      <sz val="11"/>
      <color theme="10"/>
      <name val="Open sans"/>
    </font>
    <font>
      <sz val="11"/>
      <color indexed="9"/>
      <name val="Open sans"/>
    </font>
    <font>
      <b/>
      <sz val="11"/>
      <color indexed="8"/>
      <name val="Open sans"/>
    </font>
    <font>
      <i/>
      <sz val="11"/>
      <color indexed="8"/>
      <name val="Open sans"/>
    </font>
    <font>
      <sz val="11"/>
      <color indexed="10"/>
      <name val="Open sans"/>
    </font>
    <font>
      <b/>
      <sz val="11"/>
      <color indexed="17"/>
      <name val="Open sans"/>
    </font>
    <font>
      <b/>
      <sz val="11"/>
      <color indexed="12"/>
      <name val="Open sans"/>
    </font>
    <font>
      <b/>
      <u/>
      <sz val="11"/>
      <color indexed="8"/>
      <name val="Open sans"/>
    </font>
    <font>
      <b/>
      <sz val="11"/>
      <color indexed="10"/>
      <name val="Open sans"/>
    </font>
    <font>
      <u/>
      <sz val="11"/>
      <color indexed="8"/>
      <name val="Open sans"/>
    </font>
    <font>
      <b/>
      <sz val="11"/>
      <color indexed="9"/>
      <name val="Open sans"/>
    </font>
    <font>
      <b/>
      <i/>
      <sz val="11"/>
      <color indexed="8"/>
      <name val="Open sans"/>
    </font>
    <font>
      <b/>
      <i/>
      <u/>
      <sz val="11"/>
      <color indexed="8"/>
      <name val="Open sans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C00000"/>
      <name val="Open Sans"/>
      <family val="2"/>
    </font>
    <font>
      <b/>
      <sz val="11"/>
      <color theme="0"/>
      <name val="Calibri"/>
      <family val="2"/>
    </font>
    <font>
      <b/>
      <u val="singleAccounting"/>
      <sz val="11"/>
      <color theme="0"/>
      <name val="Open sans"/>
      <family val="2"/>
    </font>
    <font>
      <sz val="11"/>
      <color theme="4"/>
      <name val="Open Sans"/>
      <family val="2"/>
    </font>
    <font>
      <u/>
      <sz val="11"/>
      <color theme="1"/>
      <name val="Open sans"/>
      <family val="2"/>
    </font>
    <font>
      <sz val="11"/>
      <color rgb="FF000000"/>
      <name val="Open Sans"/>
      <family val="2"/>
    </font>
    <font>
      <b/>
      <u val="singleAccounting"/>
      <sz val="11"/>
      <color theme="1"/>
      <name val="Open Sans"/>
      <family val="2"/>
    </font>
    <font>
      <sz val="14"/>
      <color theme="0"/>
      <name val="Calibri"/>
      <family val="2"/>
    </font>
    <font>
      <sz val="14"/>
      <color theme="1"/>
      <name val="Calibri"/>
      <family val="2"/>
    </font>
    <font>
      <b/>
      <sz val="8"/>
      <color rgb="FF5A5A5A"/>
      <name val="Arial"/>
      <family val="2"/>
      <charset val="204"/>
    </font>
    <font>
      <b/>
      <sz val="8"/>
      <color rgb="FF3C5B7B"/>
      <name val="Arial"/>
      <family val="2"/>
      <charset val="204"/>
    </font>
    <font>
      <i/>
      <sz val="8"/>
      <color theme="2" tint="-0.499984740745262"/>
      <name val="Arial"/>
      <family val="2"/>
    </font>
    <font>
      <b/>
      <i/>
      <sz val="8"/>
      <color rgb="FF5A5A5A"/>
      <name val="Arial"/>
      <family val="2"/>
      <charset val="204"/>
    </font>
    <font>
      <b/>
      <sz val="12"/>
      <color rgb="FF3C5B7B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3C5B7B"/>
      <name val="Arial"/>
      <family val="2"/>
      <charset val="204"/>
    </font>
    <font>
      <u/>
      <sz val="8"/>
      <color rgb="FF0066FF"/>
      <name val="Arial"/>
      <family val="2"/>
      <charset val="204"/>
    </font>
    <font>
      <i/>
      <sz val="8"/>
      <color rgb="FF595959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11"/>
      <color rgb="FF000000"/>
      <name val="Calibri"/>
      <family val="2"/>
      <scheme val="minor"/>
    </font>
    <font>
      <sz val="8"/>
      <name val="Arial"/>
      <family val="2"/>
      <charset val="204"/>
    </font>
    <font>
      <sz val="8"/>
      <color theme="1"/>
      <name val="Arial"/>
      <family val="2"/>
    </font>
    <font>
      <sz val="8"/>
      <color rgb="FF3C5B7B"/>
      <name val="Arial"/>
      <family val="2"/>
    </font>
    <font>
      <i/>
      <sz val="8"/>
      <color theme="1" tint="0.249977111117893"/>
      <name val="Arial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4"/>
      <name val="Open sans"/>
      <family val="2"/>
    </font>
    <font>
      <u/>
      <sz val="10"/>
      <color theme="10"/>
      <name val="Open sans"/>
      <family val="2"/>
    </font>
    <font>
      <i/>
      <sz val="10"/>
      <color theme="1"/>
      <name val="Open sans"/>
      <family val="2"/>
    </font>
  </fonts>
  <fills count="2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5AE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C5B7B"/>
        <bgColor indexed="64"/>
      </patternFill>
    </fill>
    <fill>
      <patternFill patternType="solid">
        <fgColor rgb="FFE6F0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F8F8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0" fontId="14" fillId="0" borderId="0"/>
    <xf numFmtId="9" fontId="14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7" fillId="0" borderId="0" applyAlignment="0"/>
    <xf numFmtId="0" fontId="17" fillId="0" borderId="0" applyAlignment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64" fontId="70" fillId="21" borderId="42">
      <alignment horizontal="left" vertical="center"/>
    </xf>
    <xf numFmtId="0" fontId="71" fillId="0" borderId="0"/>
  </cellStyleXfs>
  <cellXfs count="80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1" xfId="0" applyFont="1" applyFill="1" applyBorder="1"/>
    <xf numFmtId="3" fontId="4" fillId="0" borderId="0" xfId="0" applyNumberFormat="1" applyFont="1"/>
    <xf numFmtId="3" fontId="4" fillId="0" borderId="1" xfId="0" applyNumberFormat="1" applyFont="1" applyBorder="1"/>
    <xf numFmtId="3" fontId="5" fillId="0" borderId="0" xfId="0" applyNumberFormat="1" applyFont="1"/>
    <xf numFmtId="0" fontId="6" fillId="0" borderId="0" xfId="0" applyFont="1"/>
    <xf numFmtId="164" fontId="6" fillId="0" borderId="0" xfId="1" applyNumberFormat="1" applyFont="1"/>
    <xf numFmtId="164" fontId="6" fillId="0" borderId="1" xfId="1" applyNumberFormat="1" applyFont="1" applyBorder="1"/>
    <xf numFmtId="164" fontId="6" fillId="0" borderId="2" xfId="1" applyNumberFormat="1" applyFont="1" applyBorder="1"/>
    <xf numFmtId="164" fontId="6" fillId="0" borderId="3" xfId="1" applyNumberFormat="1" applyFont="1" applyBorder="1"/>
    <xf numFmtId="0" fontId="0" fillId="0" borderId="1" xfId="0" applyBorder="1"/>
    <xf numFmtId="164" fontId="0" fillId="0" borderId="0" xfId="1" applyNumberFormat="1" applyFont="1"/>
    <xf numFmtId="37" fontId="0" fillId="0" borderId="0" xfId="0" applyNumberFormat="1"/>
    <xf numFmtId="14" fontId="0" fillId="0" borderId="0" xfId="0" applyNumberFormat="1"/>
    <xf numFmtId="0" fontId="3" fillId="0" borderId="0" xfId="0" applyFont="1"/>
    <xf numFmtId="9" fontId="5" fillId="0" borderId="0" xfId="1" applyFont="1" applyFill="1" applyBorder="1"/>
    <xf numFmtId="169" fontId="0" fillId="0" borderId="0" xfId="0" applyNumberFormat="1"/>
    <xf numFmtId="0" fontId="7" fillId="0" borderId="0" xfId="0" applyFont="1"/>
    <xf numFmtId="0" fontId="8" fillId="2" borderId="0" xfId="0" applyFont="1" applyFill="1"/>
    <xf numFmtId="0" fontId="7" fillId="2" borderId="0" xfId="0" applyFont="1" applyFill="1"/>
    <xf numFmtId="0" fontId="9" fillId="0" borderId="0" xfId="0" applyFont="1"/>
    <xf numFmtId="3" fontId="7" fillId="0" borderId="0" xfId="0" applyNumberFormat="1" applyFont="1"/>
    <xf numFmtId="164" fontId="7" fillId="0" borderId="0" xfId="0" applyNumberFormat="1" applyFont="1"/>
    <xf numFmtId="0" fontId="11" fillId="8" borderId="7" xfId="0" applyFont="1" applyFill="1" applyBorder="1"/>
    <xf numFmtId="0" fontId="11" fillId="8" borderId="8" xfId="0" applyFont="1" applyFill="1" applyBorder="1"/>
    <xf numFmtId="37" fontId="11" fillId="8" borderId="8" xfId="0" applyNumberFormat="1" applyFont="1" applyFill="1" applyBorder="1"/>
    <xf numFmtId="37" fontId="11" fillId="8" borderId="9" xfId="0" applyNumberFormat="1" applyFont="1" applyFill="1" applyBorder="1"/>
    <xf numFmtId="0" fontId="9" fillId="0" borderId="4" xfId="0" applyFont="1" applyBorder="1"/>
    <xf numFmtId="0" fontId="11" fillId="0" borderId="13" xfId="0" applyFont="1" applyBorder="1"/>
    <xf numFmtId="37" fontId="11" fillId="0" borderId="13" xfId="0" applyNumberFormat="1" applyFont="1" applyBorder="1"/>
    <xf numFmtId="0" fontId="10" fillId="0" borderId="0" xfId="0" applyFont="1" applyAlignment="1">
      <alignment horizontal="left" indent="1"/>
    </xf>
    <xf numFmtId="0" fontId="11" fillId="0" borderId="0" xfId="0" applyFont="1"/>
    <xf numFmtId="167" fontId="10" fillId="0" borderId="0" xfId="1" applyNumberFormat="1" applyFont="1" applyBorder="1"/>
    <xf numFmtId="0" fontId="9" fillId="0" borderId="0" xfId="0" quotePrefix="1" applyFont="1"/>
    <xf numFmtId="3" fontId="9" fillId="0" borderId="6" xfId="0" applyNumberFormat="1" applyFont="1" applyBorder="1" applyAlignment="1">
      <alignment horizontal="right"/>
    </xf>
    <xf numFmtId="0" fontId="9" fillId="0" borderId="4" xfId="0" quotePrefix="1" applyFont="1" applyBorder="1"/>
    <xf numFmtId="3" fontId="9" fillId="0" borderId="11" xfId="0" applyNumberFormat="1" applyFont="1" applyBorder="1" applyAlignment="1">
      <alignment horizontal="right"/>
    </xf>
    <xf numFmtId="37" fontId="11" fillId="0" borderId="0" xfId="0" applyNumberFormat="1" applyFont="1"/>
    <xf numFmtId="0" fontId="11" fillId="0" borderId="14" xfId="0" applyFont="1" applyBorder="1"/>
    <xf numFmtId="9" fontId="0" fillId="0" borderId="0" xfId="0" applyNumberFormat="1"/>
    <xf numFmtId="0" fontId="13" fillId="0" borderId="0" xfId="4" applyFont="1"/>
    <xf numFmtId="14" fontId="7" fillId="3" borderId="5" xfId="4" applyNumberFormat="1" applyFont="1" applyFill="1" applyBorder="1" applyAlignment="1">
      <alignment horizontal="center"/>
    </xf>
    <xf numFmtId="0" fontId="18" fillId="0" borderId="0" xfId="21"/>
    <xf numFmtId="0" fontId="19" fillId="0" borderId="0" xfId="0" applyFont="1"/>
    <xf numFmtId="164" fontId="19" fillId="0" borderId="0" xfId="1" applyNumberFormat="1" applyFont="1"/>
    <xf numFmtId="3" fontId="19" fillId="5" borderId="1" xfId="0" applyNumberFormat="1" applyFont="1" applyFill="1" applyBorder="1"/>
    <xf numFmtId="174" fontId="20" fillId="12" borderId="0" xfId="6" applyNumberFormat="1" applyFont="1" applyFill="1"/>
    <xf numFmtId="0" fontId="22" fillId="2" borderId="0" xfId="0" applyFont="1" applyFill="1"/>
    <xf numFmtId="0" fontId="19" fillId="2" borderId="0" xfId="0" applyFont="1" applyFill="1"/>
    <xf numFmtId="0" fontId="22" fillId="2" borderId="1" xfId="0" applyFont="1" applyFill="1" applyBorder="1"/>
    <xf numFmtId="3" fontId="23" fillId="0" borderId="0" xfId="0" applyNumberFormat="1" applyFont="1"/>
    <xf numFmtId="3" fontId="23" fillId="0" borderId="1" xfId="0" applyNumberFormat="1" applyFont="1" applyBorder="1"/>
    <xf numFmtId="3" fontId="24" fillId="0" borderId="0" xfId="0" applyNumberFormat="1" applyFont="1"/>
    <xf numFmtId="0" fontId="20" fillId="0" borderId="0" xfId="0" applyFont="1"/>
    <xf numFmtId="164" fontId="20" fillId="0" borderId="0" xfId="1" applyNumberFormat="1" applyFont="1"/>
    <xf numFmtId="164" fontId="20" fillId="0" borderId="1" xfId="1" applyNumberFormat="1" applyFont="1" applyBorder="1"/>
    <xf numFmtId="164" fontId="20" fillId="0" borderId="2" xfId="1" applyNumberFormat="1" applyFont="1" applyBorder="1"/>
    <xf numFmtId="164" fontId="20" fillId="0" borderId="3" xfId="1" applyNumberFormat="1" applyFont="1" applyBorder="1"/>
    <xf numFmtId="0" fontId="24" fillId="0" borderId="0" xfId="2" applyFont="1" applyAlignment="1">
      <alignment horizontal="left"/>
    </xf>
    <xf numFmtId="0" fontId="24" fillId="0" borderId="0" xfId="2" applyFont="1"/>
    <xf numFmtId="0" fontId="19" fillId="0" borderId="0" xfId="3" applyFont="1"/>
    <xf numFmtId="1" fontId="19" fillId="0" borderId="0" xfId="0" applyNumberFormat="1" applyFont="1"/>
    <xf numFmtId="0" fontId="19" fillId="0" borderId="4" xfId="0" applyFont="1" applyBorder="1"/>
    <xf numFmtId="0" fontId="25" fillId="0" borderId="4" xfId="0" applyFont="1" applyBorder="1"/>
    <xf numFmtId="0" fontId="19" fillId="3" borderId="5" xfId="0" applyFont="1" applyFill="1" applyBorder="1" applyAlignment="1">
      <alignment horizontal="center"/>
    </xf>
    <xf numFmtId="4" fontId="19" fillId="0" borderId="6" xfId="0" applyNumberFormat="1" applyFont="1" applyBorder="1" applyAlignment="1">
      <alignment horizontal="center"/>
    </xf>
    <xf numFmtId="165" fontId="19" fillId="0" borderId="0" xfId="0" applyNumberFormat="1" applyFont="1"/>
    <xf numFmtId="166" fontId="19" fillId="0" borderId="0" xfId="1" applyNumberFormat="1" applyFont="1"/>
    <xf numFmtId="14" fontId="19" fillId="3" borderId="5" xfId="0" applyNumberFormat="1" applyFont="1" applyFill="1" applyBorder="1" applyAlignment="1">
      <alignment horizontal="center"/>
    </xf>
    <xf numFmtId="167" fontId="19" fillId="0" borderId="6" xfId="0" applyNumberFormat="1" applyFont="1" applyBorder="1" applyAlignment="1">
      <alignment horizontal="center"/>
    </xf>
    <xf numFmtId="168" fontId="19" fillId="0" borderId="0" xfId="0" applyNumberFormat="1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26" fillId="0" borderId="0" xfId="0" applyFont="1"/>
    <xf numFmtId="3" fontId="19" fillId="3" borderId="6" xfId="0" applyNumberFormat="1" applyFont="1" applyFill="1" applyBorder="1" applyAlignment="1">
      <alignment horizontal="center"/>
    </xf>
    <xf numFmtId="164" fontId="19" fillId="3" borderId="6" xfId="0" applyNumberFormat="1" applyFont="1" applyFill="1" applyBorder="1" applyAlignment="1">
      <alignment horizontal="center"/>
    </xf>
    <xf numFmtId="164" fontId="19" fillId="4" borderId="6" xfId="0" applyNumberFormat="1" applyFont="1" applyFill="1" applyBorder="1" applyAlignment="1">
      <alignment horizontal="center"/>
    </xf>
    <xf numFmtId="0" fontId="24" fillId="5" borderId="0" xfId="0" applyFont="1" applyFill="1"/>
    <xf numFmtId="3" fontId="27" fillId="5" borderId="0" xfId="0" applyNumberFormat="1" applyFont="1" applyFill="1"/>
    <xf numFmtId="3" fontId="27" fillId="5" borderId="1" xfId="0" applyNumberFormat="1" applyFont="1" applyFill="1" applyBorder="1"/>
    <xf numFmtId="3" fontId="27" fillId="6" borderId="0" xfId="0" applyNumberFormat="1" applyFont="1" applyFill="1"/>
    <xf numFmtId="0" fontId="28" fillId="5" borderId="0" xfId="0" applyFont="1" applyFill="1" applyAlignment="1">
      <alignment horizontal="left" indent="1"/>
    </xf>
    <xf numFmtId="164" fontId="28" fillId="5" borderId="0" xfId="1" applyNumberFormat="1" applyFont="1" applyFill="1"/>
    <xf numFmtId="164" fontId="28" fillId="5" borderId="1" xfId="1" applyNumberFormat="1" applyFont="1" applyFill="1" applyBorder="1"/>
    <xf numFmtId="164" fontId="28" fillId="5" borderId="0" xfId="1" applyNumberFormat="1" applyFont="1" applyFill="1" applyBorder="1"/>
    <xf numFmtId="164" fontId="28" fillId="6" borderId="0" xfId="1" applyNumberFormat="1" applyFont="1" applyFill="1"/>
    <xf numFmtId="164" fontId="20" fillId="6" borderId="0" xfId="1" applyNumberFormat="1" applyFont="1" applyFill="1" applyBorder="1" applyAlignment="1"/>
    <xf numFmtId="0" fontId="29" fillId="5" borderId="0" xfId="0" applyFont="1" applyFill="1"/>
    <xf numFmtId="0" fontId="24" fillId="5" borderId="1" xfId="0" applyFont="1" applyFill="1" applyBorder="1"/>
    <xf numFmtId="0" fontId="28" fillId="5" borderId="0" xfId="0" applyFont="1" applyFill="1"/>
    <xf numFmtId="3" fontId="24" fillId="5" borderId="0" xfId="0" applyNumberFormat="1" applyFont="1" applyFill="1"/>
    <xf numFmtId="3" fontId="24" fillId="5" borderId="1" xfId="0" applyNumberFormat="1" applyFont="1" applyFill="1" applyBorder="1"/>
    <xf numFmtId="37" fontId="27" fillId="5" borderId="0" xfId="0" applyNumberFormat="1" applyFont="1" applyFill="1"/>
    <xf numFmtId="37" fontId="27" fillId="5" borderId="1" xfId="0" applyNumberFormat="1" applyFont="1" applyFill="1" applyBorder="1"/>
    <xf numFmtId="167" fontId="20" fillId="0" borderId="0" xfId="1" applyNumberFormat="1" applyFont="1"/>
    <xf numFmtId="167" fontId="20" fillId="0" borderId="1" xfId="1" applyNumberFormat="1" applyFont="1" applyBorder="1"/>
    <xf numFmtId="0" fontId="19" fillId="0" borderId="1" xfId="0" applyFont="1" applyBorder="1"/>
    <xf numFmtId="164" fontId="30" fillId="3" borderId="5" xfId="0" applyNumberFormat="1" applyFont="1" applyFill="1" applyBorder="1" applyAlignment="1">
      <alignment horizontal="right"/>
    </xf>
    <xf numFmtId="164" fontId="20" fillId="3" borderId="5" xfId="0" applyNumberFormat="1" applyFont="1" applyFill="1" applyBorder="1" applyAlignment="1">
      <alignment horizontal="right"/>
    </xf>
    <xf numFmtId="164" fontId="28" fillId="3" borderId="5" xfId="0" applyNumberFormat="1" applyFont="1" applyFill="1" applyBorder="1" applyAlignment="1">
      <alignment horizontal="right"/>
    </xf>
    <xf numFmtId="164" fontId="31" fillId="3" borderId="5" xfId="0" applyNumberFormat="1" applyFont="1" applyFill="1" applyBorder="1" applyAlignment="1">
      <alignment horizontal="right"/>
    </xf>
    <xf numFmtId="3" fontId="19" fillId="0" borderId="0" xfId="0" applyNumberFormat="1" applyFont="1"/>
    <xf numFmtId="164" fontId="28" fillId="3" borderId="5" xfId="1" applyNumberFormat="1" applyFont="1" applyFill="1" applyBorder="1" applyAlignment="1">
      <alignment horizontal="right"/>
    </xf>
    <xf numFmtId="164" fontId="19" fillId="0" borderId="0" xfId="0" applyNumberFormat="1" applyFont="1"/>
    <xf numFmtId="164" fontId="30" fillId="0" borderId="0" xfId="1" applyNumberFormat="1" applyFont="1" applyFill="1" applyBorder="1"/>
    <xf numFmtId="164" fontId="24" fillId="5" borderId="0" xfId="1" applyNumberFormat="1" applyFont="1" applyFill="1"/>
    <xf numFmtId="6" fontId="24" fillId="5" borderId="0" xfId="0" applyNumberFormat="1" applyFont="1" applyFill="1"/>
    <xf numFmtId="0" fontId="21" fillId="0" borderId="7" xfId="0" applyFont="1" applyBorder="1"/>
    <xf numFmtId="0" fontId="21" fillId="0" borderId="8" xfId="0" applyFont="1" applyBorder="1"/>
    <xf numFmtId="0" fontId="21" fillId="0" borderId="9" xfId="0" applyFont="1" applyBorder="1"/>
    <xf numFmtId="164" fontId="20" fillId="0" borderId="0" xfId="1" applyNumberFormat="1" applyFont="1" applyFill="1" applyBorder="1"/>
    <xf numFmtId="37" fontId="24" fillId="0" borderId="0" xfId="0" applyNumberFormat="1" applyFont="1"/>
    <xf numFmtId="167" fontId="20" fillId="0" borderId="0" xfId="1" applyNumberFormat="1" applyFont="1" applyBorder="1"/>
    <xf numFmtId="167" fontId="31" fillId="0" borderId="0" xfId="1" applyNumberFormat="1" applyFont="1" applyBorder="1"/>
    <xf numFmtId="0" fontId="19" fillId="0" borderId="10" xfId="0" applyFont="1" applyBorder="1"/>
    <xf numFmtId="37" fontId="21" fillId="0" borderId="8" xfId="0" applyNumberFormat="1" applyFont="1" applyBorder="1"/>
    <xf numFmtId="37" fontId="21" fillId="0" borderId="9" xfId="0" applyNumberFormat="1" applyFont="1" applyBorder="1"/>
    <xf numFmtId="37" fontId="19" fillId="0" borderId="0" xfId="0" applyNumberFormat="1" applyFont="1"/>
    <xf numFmtId="14" fontId="19" fillId="0" borderId="0" xfId="0" applyNumberFormat="1" applyFont="1"/>
    <xf numFmtId="37" fontId="24" fillId="0" borderId="4" xfId="0" applyNumberFormat="1" applyFont="1" applyBorder="1"/>
    <xf numFmtId="0" fontId="22" fillId="2" borderId="0" xfId="0" applyFont="1" applyFill="1" applyAlignment="1">
      <alignment horizontal="centerContinuous" vertical="center"/>
    </xf>
    <xf numFmtId="0" fontId="19" fillId="0" borderId="0" xfId="0" applyFont="1" applyAlignment="1">
      <alignment horizontal="centerContinuous"/>
    </xf>
    <xf numFmtId="0" fontId="24" fillId="0" borderId="0" xfId="0" applyFont="1" applyAlignment="1">
      <alignment horizontal="centerContinuous"/>
    </xf>
    <xf numFmtId="37" fontId="22" fillId="0" borderId="0" xfId="0" applyNumberFormat="1" applyFont="1"/>
    <xf numFmtId="165" fontId="32" fillId="0" borderId="0" xfId="0" applyNumberFormat="1" applyFont="1"/>
    <xf numFmtId="164" fontId="7" fillId="0" borderId="0" xfId="0" applyNumberFormat="1" applyFont="1" applyAlignment="1">
      <alignment horizontal="right"/>
    </xf>
    <xf numFmtId="164" fontId="7" fillId="3" borderId="6" xfId="0" applyNumberFormat="1" applyFont="1" applyFill="1" applyBorder="1" applyAlignment="1">
      <alignment horizontal="right"/>
    </xf>
    <xf numFmtId="9" fontId="7" fillId="0" borderId="0" xfId="1" applyFont="1"/>
    <xf numFmtId="169" fontId="7" fillId="3" borderId="6" xfId="0" applyNumberFormat="1" applyFont="1" applyFill="1" applyBorder="1" applyAlignment="1">
      <alignment horizontal="right"/>
    </xf>
    <xf numFmtId="0" fontId="13" fillId="7" borderId="7" xfId="0" applyFont="1" applyFill="1" applyBorder="1"/>
    <xf numFmtId="0" fontId="7" fillId="7" borderId="8" xfId="0" applyFont="1" applyFill="1" applyBorder="1"/>
    <xf numFmtId="0" fontId="33" fillId="14" borderId="0" xfId="6" applyFont="1" applyFill="1"/>
    <xf numFmtId="0" fontId="19" fillId="0" borderId="0" xfId="6" applyFont="1"/>
    <xf numFmtId="0" fontId="33" fillId="12" borderId="0" xfId="6" applyFont="1" applyFill="1" applyAlignment="1">
      <alignment horizontal="left" indent="4"/>
    </xf>
    <xf numFmtId="0" fontId="34" fillId="12" borderId="0" xfId="6" applyFont="1" applyFill="1" applyAlignment="1">
      <alignment horizontal="left" vertical="center"/>
    </xf>
    <xf numFmtId="0" fontId="35" fillId="12" borderId="0" xfId="6" applyFont="1" applyFill="1" applyAlignment="1">
      <alignment horizontal="center" vertical="center"/>
    </xf>
    <xf numFmtId="0" fontId="33" fillId="14" borderId="4" xfId="6" applyFont="1" applyFill="1" applyBorder="1"/>
    <xf numFmtId="0" fontId="36" fillId="12" borderId="4" xfId="6" applyFont="1" applyFill="1" applyBorder="1" applyAlignment="1">
      <alignment horizontal="center"/>
    </xf>
    <xf numFmtId="0" fontId="33" fillId="12" borderId="4" xfId="6" applyFont="1" applyFill="1" applyBorder="1"/>
    <xf numFmtId="0" fontId="35" fillId="12" borderId="4" xfId="6" applyFont="1" applyFill="1" applyBorder="1" applyAlignment="1">
      <alignment horizontal="center" vertical="center"/>
    </xf>
    <xf numFmtId="0" fontId="33" fillId="12" borderId="0" xfId="6" applyFont="1" applyFill="1" applyAlignment="1">
      <alignment horizontal="center"/>
    </xf>
    <xf numFmtId="0" fontId="37" fillId="12" borderId="0" xfId="6" applyFont="1" applyFill="1"/>
    <xf numFmtId="0" fontId="37" fillId="12" borderId="1" xfId="6" applyFont="1" applyFill="1" applyBorder="1"/>
    <xf numFmtId="0" fontId="33" fillId="12" borderId="0" xfId="6" applyFont="1" applyFill="1"/>
    <xf numFmtId="0" fontId="38" fillId="12" borderId="0" xfId="6" applyFont="1" applyFill="1" applyAlignment="1">
      <alignment horizontal="left" vertical="top" wrapText="1"/>
    </xf>
    <xf numFmtId="0" fontId="33" fillId="13" borderId="13" xfId="6" applyFont="1" applyFill="1" applyBorder="1" applyAlignment="1" applyProtection="1">
      <alignment horizontal="center"/>
      <protection locked="0"/>
    </xf>
    <xf numFmtId="0" fontId="33" fillId="12" borderId="0" xfId="6" applyFont="1" applyFill="1" applyAlignment="1">
      <alignment horizontal="left" vertical="top" wrapText="1"/>
    </xf>
    <xf numFmtId="38" fontId="33" fillId="13" borderId="22" xfId="6" applyNumberFormat="1" applyFont="1" applyFill="1" applyBorder="1" applyProtection="1">
      <protection locked="0"/>
    </xf>
    <xf numFmtId="0" fontId="39" fillId="12" borderId="0" xfId="6" applyFont="1" applyFill="1"/>
    <xf numFmtId="38" fontId="33" fillId="13" borderId="0" xfId="6" applyNumberFormat="1" applyFont="1" applyFill="1" applyProtection="1">
      <protection locked="0"/>
    </xf>
    <xf numFmtId="174" fontId="39" fillId="12" borderId="0" xfId="6" applyNumberFormat="1" applyFont="1" applyFill="1"/>
    <xf numFmtId="174" fontId="39" fillId="12" borderId="0" xfId="6" applyNumberFormat="1" applyFont="1" applyFill="1" applyAlignment="1">
      <alignment horizontal="center"/>
    </xf>
    <xf numFmtId="0" fontId="39" fillId="12" borderId="0" xfId="6" applyFont="1" applyFill="1" applyAlignment="1">
      <alignment horizontal="center"/>
    </xf>
    <xf numFmtId="164" fontId="39" fillId="12" borderId="0" xfId="6" applyNumberFormat="1" applyFont="1" applyFill="1"/>
    <xf numFmtId="0" fontId="38" fillId="12" borderId="8" xfId="6" applyFont="1" applyFill="1" applyBorder="1"/>
    <xf numFmtId="38" fontId="38" fillId="12" borderId="8" xfId="6" applyNumberFormat="1" applyFont="1" applyFill="1" applyBorder="1"/>
    <xf numFmtId="0" fontId="38" fillId="12" borderId="8" xfId="6" applyFont="1" applyFill="1" applyBorder="1" applyAlignment="1">
      <alignment horizontal="center"/>
    </xf>
    <xf numFmtId="0" fontId="33" fillId="13" borderId="0" xfId="6" applyFont="1" applyFill="1"/>
    <xf numFmtId="0" fontId="33" fillId="13" borderId="0" xfId="6" applyFont="1" applyFill="1" applyProtection="1">
      <protection locked="0"/>
    </xf>
    <xf numFmtId="0" fontId="40" fillId="12" borderId="0" xfId="6" applyFont="1" applyFill="1"/>
    <xf numFmtId="38" fontId="33" fillId="12" borderId="0" xfId="6" applyNumberFormat="1" applyFont="1" applyFill="1"/>
    <xf numFmtId="40" fontId="38" fillId="12" borderId="8" xfId="6" applyNumberFormat="1" applyFont="1" applyFill="1" applyBorder="1"/>
    <xf numFmtId="40" fontId="38" fillId="12" borderId="8" xfId="6" applyNumberFormat="1" applyFont="1" applyFill="1" applyBorder="1" applyAlignment="1">
      <alignment horizontal="center"/>
    </xf>
    <xf numFmtId="40" fontId="33" fillId="12" borderId="0" xfId="6" applyNumberFormat="1" applyFont="1" applyFill="1"/>
    <xf numFmtId="40" fontId="33" fillId="12" borderId="0" xfId="6" applyNumberFormat="1" applyFont="1" applyFill="1" applyAlignment="1">
      <alignment horizontal="center"/>
    </xf>
    <xf numFmtId="40" fontId="41" fillId="12" borderId="0" xfId="6" applyNumberFormat="1" applyFont="1" applyFill="1"/>
    <xf numFmtId="40" fontId="41" fillId="13" borderId="0" xfId="6" applyNumberFormat="1" applyFont="1" applyFill="1" applyProtection="1">
      <protection locked="0"/>
    </xf>
    <xf numFmtId="40" fontId="41" fillId="12" borderId="0" xfId="6" applyNumberFormat="1" applyFont="1" applyFill="1" applyAlignment="1">
      <alignment horizontal="center"/>
    </xf>
    <xf numFmtId="164" fontId="39" fillId="12" borderId="0" xfId="6" applyNumberFormat="1" applyFont="1" applyFill="1" applyAlignment="1">
      <alignment vertical="top"/>
    </xf>
    <xf numFmtId="0" fontId="33" fillId="12" borderId="0" xfId="6" applyFont="1" applyFill="1" applyAlignment="1">
      <alignment vertical="top"/>
    </xf>
    <xf numFmtId="174" fontId="39" fillId="12" borderId="0" xfId="6" applyNumberFormat="1" applyFont="1" applyFill="1" applyAlignment="1">
      <alignment vertical="top"/>
    </xf>
    <xf numFmtId="174" fontId="39" fillId="12" borderId="0" xfId="6" applyNumberFormat="1" applyFont="1" applyFill="1" applyAlignment="1">
      <alignment horizontal="center" vertical="top"/>
    </xf>
    <xf numFmtId="0" fontId="39" fillId="12" borderId="0" xfId="6" applyFont="1" applyFill="1" applyAlignment="1">
      <alignment horizontal="center" vertical="top"/>
    </xf>
    <xf numFmtId="0" fontId="33" fillId="12" borderId="19" xfId="6" applyFont="1" applyFill="1" applyBorder="1"/>
    <xf numFmtId="0" fontId="33" fillId="12" borderId="19" xfId="6" applyFont="1" applyFill="1" applyBorder="1" applyAlignment="1">
      <alignment horizontal="center"/>
    </xf>
    <xf numFmtId="0" fontId="38" fillId="12" borderId="0" xfId="6" applyFont="1" applyFill="1"/>
    <xf numFmtId="40" fontId="33" fillId="13" borderId="0" xfId="6" applyNumberFormat="1" applyFont="1" applyFill="1" applyProtection="1">
      <protection locked="0"/>
    </xf>
    <xf numFmtId="175" fontId="39" fillId="12" borderId="0" xfId="6" applyNumberFormat="1" applyFont="1" applyFill="1"/>
    <xf numFmtId="40" fontId="39" fillId="12" borderId="0" xfId="6" applyNumberFormat="1" applyFont="1" applyFill="1"/>
    <xf numFmtId="0" fontId="41" fillId="12" borderId="0" xfId="6" applyFont="1" applyFill="1"/>
    <xf numFmtId="0" fontId="41" fillId="12" borderId="0" xfId="6" applyFont="1" applyFill="1" applyAlignment="1">
      <alignment horizontal="center"/>
    </xf>
    <xf numFmtId="0" fontId="39" fillId="12" borderId="0" xfId="6" applyFont="1" applyFill="1" applyAlignment="1">
      <alignment vertical="top"/>
    </xf>
    <xf numFmtId="0" fontId="33" fillId="12" borderId="1" xfId="6" applyFont="1" applyFill="1" applyBorder="1"/>
    <xf numFmtId="38" fontId="33" fillId="12" borderId="0" xfId="6" applyNumberFormat="1" applyFont="1" applyFill="1" applyAlignment="1">
      <alignment horizontal="center"/>
    </xf>
    <xf numFmtId="38" fontId="39" fillId="12" borderId="0" xfId="6" applyNumberFormat="1" applyFont="1" applyFill="1"/>
    <xf numFmtId="0" fontId="39" fillId="12" borderId="1" xfId="6" applyFont="1" applyFill="1" applyBorder="1"/>
    <xf numFmtId="38" fontId="39" fillId="13" borderId="0" xfId="6" applyNumberFormat="1" applyFont="1" applyFill="1" applyProtection="1">
      <protection locked="0"/>
    </xf>
    <xf numFmtId="38" fontId="39" fillId="12" borderId="0" xfId="6" applyNumberFormat="1" applyFont="1" applyFill="1" applyAlignment="1">
      <alignment horizontal="center"/>
    </xf>
    <xf numFmtId="0" fontId="38" fillId="13" borderId="0" xfId="6" applyFont="1" applyFill="1" applyAlignment="1" applyProtection="1">
      <alignment horizontal="left"/>
      <protection locked="0"/>
    </xf>
    <xf numFmtId="0" fontId="38" fillId="12" borderId="30" xfId="6" applyFont="1" applyFill="1" applyBorder="1"/>
    <xf numFmtId="0" fontId="33" fillId="12" borderId="30" xfId="6" applyFont="1" applyFill="1" applyBorder="1"/>
    <xf numFmtId="0" fontId="38" fillId="12" borderId="30" xfId="6" applyFont="1" applyFill="1" applyBorder="1" applyAlignment="1">
      <alignment horizontal="right"/>
    </xf>
    <xf numFmtId="0" fontId="42" fillId="12" borderId="0" xfId="6" applyFont="1" applyFill="1"/>
    <xf numFmtId="0" fontId="38" fillId="12" borderId="0" xfId="6" applyFont="1" applyFill="1" applyAlignment="1">
      <alignment horizontal="center"/>
    </xf>
    <xf numFmtId="0" fontId="33" fillId="12" borderId="0" xfId="6" applyFont="1" applyFill="1" applyAlignment="1">
      <alignment horizontal="left"/>
    </xf>
    <xf numFmtId="1" fontId="33" fillId="12" borderId="0" xfId="6" applyNumberFormat="1" applyFont="1" applyFill="1"/>
    <xf numFmtId="0" fontId="43" fillId="12" borderId="0" xfId="6" applyFont="1" applyFill="1" applyAlignment="1">
      <alignment horizontal="center"/>
    </xf>
    <xf numFmtId="0" fontId="33" fillId="13" borderId="0" xfId="6" applyFont="1" applyFill="1" applyAlignment="1" applyProtection="1">
      <alignment horizontal="left"/>
      <protection locked="0"/>
    </xf>
    <xf numFmtId="173" fontId="33" fillId="13" borderId="0" xfId="6" applyNumberFormat="1" applyFont="1" applyFill="1" applyAlignment="1" applyProtection="1">
      <alignment horizontal="right"/>
      <protection locked="0"/>
    </xf>
    <xf numFmtId="173" fontId="33" fillId="12" borderId="0" xfId="6" applyNumberFormat="1" applyFont="1" applyFill="1" applyAlignment="1">
      <alignment horizontal="right"/>
    </xf>
    <xf numFmtId="173" fontId="33" fillId="13" borderId="0" xfId="6" applyNumberFormat="1" applyFont="1" applyFill="1" applyAlignment="1" applyProtection="1">
      <alignment horizontal="center"/>
      <protection locked="0"/>
    </xf>
    <xf numFmtId="173" fontId="33" fillId="12" borderId="0" xfId="6" applyNumberFormat="1" applyFont="1" applyFill="1" applyAlignment="1">
      <alignment horizontal="center"/>
    </xf>
    <xf numFmtId="0" fontId="33" fillId="15" borderId="8" xfId="6" applyFont="1" applyFill="1" applyBorder="1"/>
    <xf numFmtId="0" fontId="33" fillId="15" borderId="8" xfId="6" applyFont="1" applyFill="1" applyBorder="1" applyAlignment="1">
      <alignment horizontal="center"/>
    </xf>
    <xf numFmtId="0" fontId="44" fillId="12" borderId="0" xfId="6" applyFont="1" applyFill="1"/>
    <xf numFmtId="173" fontId="39" fillId="12" borderId="0" xfId="6" applyNumberFormat="1" applyFont="1" applyFill="1"/>
    <xf numFmtId="173" fontId="39" fillId="13" borderId="0" xfId="6" applyNumberFormat="1" applyFont="1" applyFill="1" applyProtection="1">
      <protection locked="0"/>
    </xf>
    <xf numFmtId="173" fontId="39" fillId="12" borderId="0" xfId="6" applyNumberFormat="1" applyFont="1" applyFill="1" applyAlignment="1">
      <alignment horizontal="center"/>
    </xf>
    <xf numFmtId="38" fontId="38" fillId="12" borderId="8" xfId="6" applyNumberFormat="1" applyFont="1" applyFill="1" applyBorder="1" applyAlignment="1">
      <alignment horizontal="center"/>
    </xf>
    <xf numFmtId="38" fontId="44" fillId="12" borderId="0" xfId="6" applyNumberFormat="1" applyFont="1" applyFill="1"/>
    <xf numFmtId="174" fontId="39" fillId="13" borderId="0" xfId="6" applyNumberFormat="1" applyFont="1" applyFill="1" applyProtection="1">
      <protection locked="0"/>
    </xf>
    <xf numFmtId="38" fontId="40" fillId="12" borderId="0" xfId="6" applyNumberFormat="1" applyFont="1" applyFill="1"/>
    <xf numFmtId="9" fontId="39" fillId="12" borderId="0" xfId="6" applyNumberFormat="1" applyFont="1" applyFill="1"/>
    <xf numFmtId="175" fontId="39" fillId="13" borderId="0" xfId="6" applyNumberFormat="1" applyFont="1" applyFill="1" applyProtection="1">
      <protection locked="0"/>
    </xf>
    <xf numFmtId="9" fontId="39" fillId="12" borderId="0" xfId="6" applyNumberFormat="1" applyFont="1" applyFill="1" applyAlignment="1">
      <alignment horizontal="center"/>
    </xf>
    <xf numFmtId="38" fontId="38" fillId="12" borderId="19" xfId="6" applyNumberFormat="1" applyFont="1" applyFill="1" applyBorder="1"/>
    <xf numFmtId="0" fontId="38" fillId="12" borderId="19" xfId="6" applyFont="1" applyFill="1" applyBorder="1"/>
    <xf numFmtId="38" fontId="38" fillId="12" borderId="19" xfId="6" applyNumberFormat="1" applyFont="1" applyFill="1" applyBorder="1" applyAlignment="1">
      <alignment horizontal="center"/>
    </xf>
    <xf numFmtId="0" fontId="33" fillId="12" borderId="15" xfId="6" applyFont="1" applyFill="1" applyBorder="1"/>
    <xf numFmtId="0" fontId="33" fillId="12" borderId="16" xfId="6" applyFont="1" applyFill="1" applyBorder="1"/>
    <xf numFmtId="0" fontId="45" fillId="12" borderId="0" xfId="6" applyFont="1" applyFill="1" applyAlignment="1">
      <alignment horizontal="center"/>
    </xf>
    <xf numFmtId="38" fontId="33" fillId="12" borderId="16" xfId="6" applyNumberFormat="1" applyFont="1" applyFill="1" applyBorder="1"/>
    <xf numFmtId="175" fontId="33" fillId="12" borderId="0" xfId="6" applyNumberFormat="1" applyFont="1" applyFill="1"/>
    <xf numFmtId="0" fontId="37" fillId="12" borderId="0" xfId="6" applyFont="1" applyFill="1" applyAlignment="1">
      <alignment horizontal="center"/>
    </xf>
    <xf numFmtId="1" fontId="37" fillId="12" borderId="0" xfId="6" applyNumberFormat="1" applyFont="1" applyFill="1"/>
    <xf numFmtId="38" fontId="46" fillId="12" borderId="0" xfId="6" applyNumberFormat="1" applyFont="1" applyFill="1"/>
    <xf numFmtId="37" fontId="37" fillId="12" borderId="0" xfId="6" applyNumberFormat="1" applyFont="1" applyFill="1"/>
    <xf numFmtId="38" fontId="38" fillId="12" borderId="15" xfId="6" applyNumberFormat="1" applyFont="1" applyFill="1" applyBorder="1"/>
    <xf numFmtId="175" fontId="33" fillId="12" borderId="13" xfId="6" applyNumberFormat="1" applyFont="1" applyFill="1" applyBorder="1"/>
    <xf numFmtId="0" fontId="46" fillId="12" borderId="0" xfId="6" applyFont="1" applyFill="1" applyAlignment="1">
      <alignment horizontal="center"/>
    </xf>
    <xf numFmtId="38" fontId="37" fillId="12" borderId="0" xfId="6" applyNumberFormat="1" applyFont="1" applyFill="1"/>
    <xf numFmtId="38" fontId="33" fillId="12" borderId="18" xfId="6" applyNumberFormat="1" applyFont="1" applyFill="1" applyBorder="1"/>
    <xf numFmtId="38" fontId="38" fillId="12" borderId="16" xfId="6" applyNumberFormat="1" applyFont="1" applyFill="1" applyBorder="1"/>
    <xf numFmtId="40" fontId="38" fillId="12" borderId="16" xfId="6" applyNumberFormat="1" applyFont="1" applyFill="1" applyBorder="1"/>
    <xf numFmtId="0" fontId="38" fillId="12" borderId="16" xfId="6" applyFont="1" applyFill="1" applyBorder="1"/>
    <xf numFmtId="0" fontId="33" fillId="12" borderId="18" xfId="6" applyFont="1" applyFill="1" applyBorder="1"/>
    <xf numFmtId="0" fontId="33" fillId="12" borderId="13" xfId="6" applyFont="1" applyFill="1" applyBorder="1"/>
    <xf numFmtId="38" fontId="33" fillId="12" borderId="1" xfId="6" applyNumberFormat="1" applyFont="1" applyFill="1" applyBorder="1"/>
    <xf numFmtId="38" fontId="39" fillId="12" borderId="1" xfId="6" applyNumberFormat="1" applyFont="1" applyFill="1" applyBorder="1"/>
    <xf numFmtId="174" fontId="39" fillId="12" borderId="17" xfId="6" applyNumberFormat="1" applyFont="1" applyFill="1" applyBorder="1"/>
    <xf numFmtId="9" fontId="33" fillId="12" borderId="0" xfId="6" applyNumberFormat="1" applyFont="1" applyFill="1"/>
    <xf numFmtId="175" fontId="33" fillId="12" borderId="16" xfId="6" applyNumberFormat="1" applyFont="1" applyFill="1" applyBorder="1"/>
    <xf numFmtId="175" fontId="39" fillId="12" borderId="0" xfId="6" applyNumberFormat="1" applyFont="1" applyFill="1" applyAlignment="1">
      <alignment horizontal="center"/>
    </xf>
    <xf numFmtId="174" fontId="33" fillId="12" borderId="0" xfId="6" applyNumberFormat="1" applyFont="1" applyFill="1"/>
    <xf numFmtId="174" fontId="33" fillId="12" borderId="1" xfId="6" applyNumberFormat="1" applyFont="1" applyFill="1" applyBorder="1"/>
    <xf numFmtId="38" fontId="38" fillId="12" borderId="0" xfId="6" applyNumberFormat="1" applyFont="1" applyFill="1"/>
    <xf numFmtId="38" fontId="38" fillId="12" borderId="0" xfId="6" applyNumberFormat="1" applyFont="1" applyFill="1" applyAlignment="1">
      <alignment horizontal="center"/>
    </xf>
    <xf numFmtId="0" fontId="38" fillId="12" borderId="7" xfId="6" applyFont="1" applyFill="1" applyBorder="1"/>
    <xf numFmtId="0" fontId="33" fillId="12" borderId="8" xfId="6" applyFont="1" applyFill="1" applyBorder="1"/>
    <xf numFmtId="0" fontId="33" fillId="12" borderId="23" xfId="6" applyFont="1" applyFill="1" applyBorder="1"/>
    <xf numFmtId="0" fontId="33" fillId="12" borderId="21" xfId="6" applyFont="1" applyFill="1" applyBorder="1"/>
    <xf numFmtId="0" fontId="33" fillId="12" borderId="20" xfId="6" applyFont="1" applyFill="1" applyBorder="1"/>
    <xf numFmtId="0" fontId="33" fillId="12" borderId="22" xfId="6" applyFont="1" applyFill="1" applyBorder="1"/>
    <xf numFmtId="0" fontId="33" fillId="12" borderId="24" xfId="6" applyFont="1" applyFill="1" applyBorder="1"/>
    <xf numFmtId="164" fontId="33" fillId="13" borderId="0" xfId="6" applyNumberFormat="1" applyFont="1" applyFill="1" applyProtection="1">
      <protection locked="0"/>
    </xf>
    <xf numFmtId="0" fontId="33" fillId="12" borderId="29" xfId="6" applyFont="1" applyFill="1" applyBorder="1"/>
    <xf numFmtId="174" fontId="33" fillId="12" borderId="16" xfId="6" applyNumberFormat="1" applyFont="1" applyFill="1" applyBorder="1"/>
    <xf numFmtId="164" fontId="33" fillId="12" borderId="0" xfId="6" applyNumberFormat="1" applyFont="1" applyFill="1"/>
    <xf numFmtId="174" fontId="38" fillId="12" borderId="0" xfId="6" applyNumberFormat="1" applyFont="1" applyFill="1"/>
    <xf numFmtId="174" fontId="38" fillId="12" borderId="16" xfId="6" applyNumberFormat="1" applyFont="1" applyFill="1" applyBorder="1"/>
    <xf numFmtId="164" fontId="38" fillId="12" borderId="0" xfId="6" applyNumberFormat="1" applyFont="1" applyFill="1"/>
    <xf numFmtId="174" fontId="47" fillId="12" borderId="0" xfId="6" applyNumberFormat="1" applyFont="1" applyFill="1" applyAlignment="1">
      <alignment horizontal="center"/>
    </xf>
    <xf numFmtId="0" fontId="47" fillId="12" borderId="0" xfId="6" applyFont="1" applyFill="1" applyAlignment="1">
      <alignment horizontal="center"/>
    </xf>
    <xf numFmtId="164" fontId="37" fillId="12" borderId="0" xfId="6" applyNumberFormat="1" applyFont="1" applyFill="1"/>
    <xf numFmtId="164" fontId="33" fillId="12" borderId="16" xfId="6" applyNumberFormat="1" applyFont="1" applyFill="1" applyBorder="1"/>
    <xf numFmtId="164" fontId="33" fillId="12" borderId="0" xfId="6" applyNumberFormat="1" applyFont="1" applyFill="1" applyAlignment="1">
      <alignment horizontal="center"/>
    </xf>
    <xf numFmtId="40" fontId="37" fillId="12" borderId="0" xfId="6" applyNumberFormat="1" applyFont="1" applyFill="1"/>
    <xf numFmtId="164" fontId="37" fillId="12" borderId="1" xfId="6" applyNumberFormat="1" applyFont="1" applyFill="1" applyBorder="1"/>
    <xf numFmtId="40" fontId="33" fillId="12" borderId="16" xfId="6" applyNumberFormat="1" applyFont="1" applyFill="1" applyBorder="1"/>
    <xf numFmtId="174" fontId="33" fillId="12" borderId="0" xfId="6" applyNumberFormat="1" applyFont="1" applyFill="1" applyAlignment="1">
      <alignment horizontal="center"/>
    </xf>
    <xf numFmtId="173" fontId="33" fillId="12" borderId="0" xfId="6" applyNumberFormat="1" applyFont="1" applyFill="1"/>
    <xf numFmtId="173" fontId="33" fillId="12" borderId="1" xfId="6" applyNumberFormat="1" applyFont="1" applyFill="1" applyBorder="1"/>
    <xf numFmtId="173" fontId="33" fillId="12" borderId="16" xfId="6" applyNumberFormat="1" applyFont="1" applyFill="1" applyBorder="1"/>
    <xf numFmtId="40" fontId="33" fillId="12" borderId="1" xfId="6" applyNumberFormat="1" applyFont="1" applyFill="1" applyBorder="1"/>
    <xf numFmtId="173" fontId="33" fillId="13" borderId="0" xfId="6" applyNumberFormat="1" applyFont="1" applyFill="1" applyProtection="1">
      <protection locked="0"/>
    </xf>
    <xf numFmtId="0" fontId="33" fillId="12" borderId="17" xfId="6" applyFont="1" applyFill="1" applyBorder="1"/>
    <xf numFmtId="0" fontId="43" fillId="12" borderId="15" xfId="6" applyFont="1" applyFill="1" applyBorder="1"/>
    <xf numFmtId="0" fontId="33" fillId="12" borderId="25" xfId="6" applyFont="1" applyFill="1" applyBorder="1"/>
    <xf numFmtId="0" fontId="38" fillId="12" borderId="0" xfId="6" applyFont="1" applyFill="1" applyAlignment="1">
      <alignment horizontal="right"/>
    </xf>
    <xf numFmtId="174" fontId="33" fillId="13" borderId="0" xfId="6" applyNumberFormat="1" applyFont="1" applyFill="1" applyProtection="1">
      <protection locked="0"/>
    </xf>
    <xf numFmtId="173" fontId="33" fillId="13" borderId="21" xfId="6" applyNumberFormat="1" applyFont="1" applyFill="1" applyBorder="1" applyProtection="1">
      <protection locked="0"/>
    </xf>
    <xf numFmtId="174" fontId="33" fillId="13" borderId="21" xfId="6" applyNumberFormat="1" applyFont="1" applyFill="1" applyBorder="1" applyProtection="1">
      <protection locked="0"/>
    </xf>
    <xf numFmtId="173" fontId="38" fillId="12" borderId="21" xfId="6" applyNumberFormat="1" applyFont="1" applyFill="1" applyBorder="1"/>
    <xf numFmtId="173" fontId="38" fillId="12" borderId="0" xfId="6" applyNumberFormat="1" applyFont="1" applyFill="1"/>
    <xf numFmtId="0" fontId="38" fillId="12" borderId="20" xfId="6" applyFont="1" applyFill="1" applyBorder="1"/>
    <xf numFmtId="173" fontId="38" fillId="12" borderId="22" xfId="6" applyNumberFormat="1" applyFont="1" applyFill="1" applyBorder="1"/>
    <xf numFmtId="0" fontId="33" fillId="12" borderId="10" xfId="6" applyFont="1" applyFill="1" applyBorder="1"/>
    <xf numFmtId="0" fontId="33" fillId="12" borderId="16" xfId="6" applyFont="1" applyFill="1" applyBorder="1" applyAlignment="1">
      <alignment horizontal="center"/>
    </xf>
    <xf numFmtId="38" fontId="33" fillId="13" borderId="16" xfId="6" applyNumberFormat="1" applyFont="1" applyFill="1" applyBorder="1" applyProtection="1">
      <protection locked="0"/>
    </xf>
    <xf numFmtId="40" fontId="33" fillId="13" borderId="16" xfId="6" applyNumberFormat="1" applyFont="1" applyFill="1" applyBorder="1" applyProtection="1">
      <protection locked="0"/>
    </xf>
    <xf numFmtId="173" fontId="33" fillId="13" borderId="16" xfId="6" applyNumberFormat="1" applyFont="1" applyFill="1" applyBorder="1" applyProtection="1">
      <protection locked="0"/>
    </xf>
    <xf numFmtId="41" fontId="33" fillId="12" borderId="15" xfId="6" applyNumberFormat="1" applyFont="1" applyFill="1" applyBorder="1"/>
    <xf numFmtId="41" fontId="37" fillId="12" borderId="0" xfId="6" applyNumberFormat="1" applyFont="1" applyFill="1" applyAlignment="1">
      <alignment wrapText="1"/>
    </xf>
    <xf numFmtId="41" fontId="37" fillId="12" borderId="0" xfId="6" applyNumberFormat="1" applyFont="1" applyFill="1"/>
    <xf numFmtId="0" fontId="44" fillId="12" borderId="16" xfId="6" applyFont="1" applyFill="1" applyBorder="1" applyAlignment="1">
      <alignment horizontal="left"/>
    </xf>
    <xf numFmtId="41" fontId="33" fillId="12" borderId="16" xfId="6" applyNumberFormat="1" applyFont="1" applyFill="1" applyBorder="1" applyAlignment="1">
      <alignment horizontal="left"/>
    </xf>
    <xf numFmtId="9" fontId="37" fillId="12" borderId="0" xfId="6" applyNumberFormat="1" applyFont="1" applyFill="1"/>
    <xf numFmtId="41" fontId="38" fillId="12" borderId="16" xfId="6" applyNumberFormat="1" applyFont="1" applyFill="1" applyBorder="1" applyAlignment="1">
      <alignment horizontal="left"/>
    </xf>
    <xf numFmtId="0" fontId="43" fillId="12" borderId="0" xfId="6" applyFont="1" applyFill="1"/>
    <xf numFmtId="175" fontId="33" fillId="13" borderId="16" xfId="6" applyNumberFormat="1" applyFont="1" applyFill="1" applyBorder="1" applyProtection="1">
      <protection locked="0"/>
    </xf>
    <xf numFmtId="1" fontId="43" fillId="12" borderId="0" xfId="6" applyNumberFormat="1" applyFont="1" applyFill="1" applyAlignment="1">
      <alignment horizontal="center"/>
    </xf>
    <xf numFmtId="1" fontId="43" fillId="12" borderId="16" xfId="6" applyNumberFormat="1" applyFont="1" applyFill="1" applyBorder="1" applyAlignment="1">
      <alignment horizontal="center"/>
    </xf>
    <xf numFmtId="38" fontId="33" fillId="12" borderId="0" xfId="6" applyNumberFormat="1" applyFont="1" applyFill="1" applyAlignment="1">
      <alignment horizontal="left"/>
    </xf>
    <xf numFmtId="38" fontId="33" fillId="12" borderId="1" xfId="6" applyNumberFormat="1" applyFont="1" applyFill="1" applyBorder="1" applyAlignment="1">
      <alignment horizontal="center"/>
    </xf>
    <xf numFmtId="38" fontId="40" fillId="12" borderId="0" xfId="6" applyNumberFormat="1" applyFont="1" applyFill="1" applyAlignment="1">
      <alignment horizontal="left"/>
    </xf>
    <xf numFmtId="38" fontId="38" fillId="12" borderId="13" xfId="6" applyNumberFormat="1" applyFont="1" applyFill="1" applyBorder="1" applyAlignment="1">
      <alignment horizontal="left"/>
    </xf>
    <xf numFmtId="38" fontId="38" fillId="12" borderId="13" xfId="6" applyNumberFormat="1" applyFont="1" applyFill="1" applyBorder="1" applyAlignment="1">
      <alignment horizontal="center"/>
    </xf>
    <xf numFmtId="38" fontId="38" fillId="12" borderId="17" xfId="6" applyNumberFormat="1" applyFont="1" applyFill="1" applyBorder="1" applyAlignment="1">
      <alignment horizontal="center"/>
    </xf>
    <xf numFmtId="0" fontId="24" fillId="12" borderId="0" xfId="6" applyFont="1" applyFill="1" applyAlignment="1">
      <alignment horizontal="center"/>
    </xf>
    <xf numFmtId="0" fontId="24" fillId="12" borderId="0" xfId="6" applyFont="1" applyFill="1"/>
    <xf numFmtId="14" fontId="33" fillId="13" borderId="0" xfId="6" applyNumberFormat="1" applyFont="1" applyFill="1" applyAlignment="1" applyProtection="1">
      <alignment horizontal="left"/>
      <protection locked="0"/>
    </xf>
    <xf numFmtId="0" fontId="33" fillId="13" borderId="16" xfId="6" applyFont="1" applyFill="1" applyBorder="1" applyProtection="1">
      <protection locked="0"/>
    </xf>
    <xf numFmtId="41" fontId="33" fillId="13" borderId="0" xfId="6" applyNumberFormat="1" applyFont="1" applyFill="1" applyAlignment="1" applyProtection="1">
      <alignment horizontal="left"/>
      <protection locked="0"/>
    </xf>
    <xf numFmtId="40" fontId="38" fillId="12" borderId="0" xfId="6" applyNumberFormat="1" applyFont="1" applyFill="1"/>
    <xf numFmtId="9" fontId="33" fillId="13" borderId="0" xfId="6" applyNumberFormat="1" applyFont="1" applyFill="1" applyProtection="1">
      <protection locked="0"/>
    </xf>
    <xf numFmtId="41" fontId="33" fillId="12" borderId="0" xfId="6" applyNumberFormat="1" applyFont="1" applyFill="1"/>
    <xf numFmtId="0" fontId="33" fillId="12" borderId="0" xfId="6" applyFont="1" applyFill="1" applyAlignment="1">
      <alignment horizontal="right"/>
    </xf>
    <xf numFmtId="174" fontId="33" fillId="13" borderId="16" xfId="6" applyNumberFormat="1" applyFont="1" applyFill="1" applyBorder="1" applyProtection="1">
      <protection locked="0"/>
    </xf>
    <xf numFmtId="10" fontId="33" fillId="5" borderId="0" xfId="6" applyNumberFormat="1" applyFont="1" applyFill="1" applyProtection="1">
      <protection locked="0"/>
    </xf>
    <xf numFmtId="169" fontId="33" fillId="12" borderId="0" xfId="6" applyNumberFormat="1" applyFont="1" applyFill="1" applyAlignment="1">
      <alignment horizontal="right"/>
    </xf>
    <xf numFmtId="0" fontId="38" fillId="12" borderId="22" xfId="6" applyFont="1" applyFill="1" applyBorder="1" applyAlignment="1">
      <alignment horizontal="center"/>
    </xf>
    <xf numFmtId="0" fontId="45" fillId="12" borderId="0" xfId="6" applyFont="1" applyFill="1"/>
    <xf numFmtId="0" fontId="33" fillId="15" borderId="4" xfId="6" applyFont="1" applyFill="1" applyBorder="1"/>
    <xf numFmtId="176" fontId="38" fillId="12" borderId="0" xfId="6" applyNumberFormat="1" applyFont="1" applyFill="1"/>
    <xf numFmtId="0" fontId="33" fillId="16" borderId="0" xfId="6" applyFont="1" applyFill="1"/>
    <xf numFmtId="176" fontId="33" fillId="13" borderId="0" xfId="6" applyNumberFormat="1" applyFont="1" applyFill="1" applyProtection="1">
      <protection locked="0"/>
    </xf>
    <xf numFmtId="0" fontId="40" fillId="12" borderId="0" xfId="6" applyFont="1" applyFill="1" applyAlignment="1">
      <alignment horizontal="center"/>
    </xf>
    <xf numFmtId="0" fontId="39" fillId="13" borderId="0" xfId="6" applyFont="1" applyFill="1" applyAlignment="1" applyProtection="1">
      <alignment horizontal="left" indent="1"/>
      <protection locked="0"/>
    </xf>
    <xf numFmtId="0" fontId="33" fillId="12" borderId="4" xfId="6" applyFont="1" applyFill="1" applyBorder="1" applyAlignment="1">
      <alignment horizontal="center"/>
    </xf>
    <xf numFmtId="0" fontId="34" fillId="12" borderId="4" xfId="6" applyFont="1" applyFill="1" applyBorder="1" applyAlignment="1">
      <alignment horizontal="left" vertical="center"/>
    </xf>
    <xf numFmtId="1" fontId="38" fillId="12" borderId="0" xfId="6" applyNumberFormat="1" applyFont="1" applyFill="1"/>
    <xf numFmtId="1" fontId="38" fillId="12" borderId="1" xfId="6" applyNumberFormat="1" applyFont="1" applyFill="1" applyBorder="1"/>
    <xf numFmtId="1" fontId="38" fillId="13" borderId="0" xfId="6" applyNumberFormat="1" applyFont="1" applyFill="1" applyProtection="1">
      <protection locked="0"/>
    </xf>
    <xf numFmtId="0" fontId="38" fillId="12" borderId="15" xfId="6" applyFont="1" applyFill="1" applyBorder="1"/>
    <xf numFmtId="40" fontId="33" fillId="13" borderId="13" xfId="6" applyNumberFormat="1" applyFont="1" applyFill="1" applyBorder="1" applyProtection="1">
      <protection locked="0"/>
    </xf>
    <xf numFmtId="40" fontId="33" fillId="13" borderId="22" xfId="6" applyNumberFormat="1" applyFont="1" applyFill="1" applyBorder="1" applyAlignment="1" applyProtection="1">
      <alignment horizontal="right"/>
      <protection locked="0"/>
    </xf>
    <xf numFmtId="175" fontId="33" fillId="12" borderId="0" xfId="6" applyNumberFormat="1" applyFont="1" applyFill="1" applyAlignment="1">
      <alignment horizontal="center"/>
    </xf>
    <xf numFmtId="0" fontId="39" fillId="12" borderId="16" xfId="6" applyFont="1" applyFill="1" applyBorder="1" applyAlignment="1">
      <alignment horizontal="left" indent="1"/>
    </xf>
    <xf numFmtId="0" fontId="39" fillId="12" borderId="16" xfId="6" applyFont="1" applyFill="1" applyBorder="1"/>
    <xf numFmtId="37" fontId="33" fillId="13" borderId="0" xfId="6" applyNumberFormat="1" applyFont="1" applyFill="1" applyProtection="1">
      <protection locked="0"/>
    </xf>
    <xf numFmtId="0" fontId="41" fillId="12" borderId="19" xfId="6" applyFont="1" applyFill="1" applyBorder="1"/>
    <xf numFmtId="40" fontId="41" fillId="12" borderId="19" xfId="6" applyNumberFormat="1" applyFont="1" applyFill="1" applyBorder="1"/>
    <xf numFmtId="0" fontId="39" fillId="12" borderId="19" xfId="6" applyFont="1" applyFill="1" applyBorder="1"/>
    <xf numFmtId="0" fontId="45" fillId="12" borderId="13" xfId="6" applyFont="1" applyFill="1" applyBorder="1" applyAlignment="1">
      <alignment horizontal="center"/>
    </xf>
    <xf numFmtId="0" fontId="45" fillId="12" borderId="25" xfId="6" applyFont="1" applyFill="1" applyBorder="1" applyAlignment="1">
      <alignment horizontal="center"/>
    </xf>
    <xf numFmtId="40" fontId="33" fillId="13" borderId="0" xfId="6" applyNumberFormat="1" applyFont="1" applyFill="1" applyAlignment="1" applyProtection="1">
      <alignment horizontal="center"/>
      <protection locked="0"/>
    </xf>
    <xf numFmtId="9" fontId="33" fillId="12" borderId="21" xfId="6" applyNumberFormat="1" applyFont="1" applyFill="1" applyBorder="1" applyAlignment="1">
      <alignment horizontal="center"/>
    </xf>
    <xf numFmtId="172" fontId="33" fillId="12" borderId="0" xfId="6" applyNumberFormat="1" applyFont="1" applyFill="1" applyAlignment="1">
      <alignment horizontal="center"/>
    </xf>
    <xf numFmtId="0" fontId="39" fillId="12" borderId="21" xfId="6" applyFont="1" applyFill="1" applyBorder="1"/>
    <xf numFmtId="40" fontId="38" fillId="12" borderId="0" xfId="6" applyNumberFormat="1" applyFont="1" applyFill="1" applyAlignment="1">
      <alignment horizontal="center"/>
    </xf>
    <xf numFmtId="174" fontId="33" fillId="12" borderId="22" xfId="6" applyNumberFormat="1" applyFont="1" applyFill="1" applyBorder="1" applyAlignment="1">
      <alignment horizontal="center"/>
    </xf>
    <xf numFmtId="0" fontId="38" fillId="12" borderId="26" xfId="6" applyFont="1" applyFill="1" applyBorder="1"/>
    <xf numFmtId="0" fontId="33" fillId="12" borderId="27" xfId="6" applyFont="1" applyFill="1" applyBorder="1"/>
    <xf numFmtId="0" fontId="44" fillId="12" borderId="27" xfId="6" applyFont="1" applyFill="1" applyBorder="1" applyAlignment="1">
      <alignment horizontal="left"/>
    </xf>
    <xf numFmtId="0" fontId="33" fillId="12" borderId="28" xfId="6" applyFont="1" applyFill="1" applyBorder="1"/>
    <xf numFmtId="1" fontId="33" fillId="12" borderId="16" xfId="6" applyNumberFormat="1" applyFont="1" applyFill="1" applyBorder="1" applyAlignment="1">
      <alignment horizontal="center"/>
    </xf>
    <xf numFmtId="2" fontId="33" fillId="12" borderId="0" xfId="6" applyNumberFormat="1" applyFont="1" applyFill="1"/>
    <xf numFmtId="0" fontId="38" fillId="12" borderId="1" xfId="6" applyFont="1" applyFill="1" applyBorder="1"/>
    <xf numFmtId="0" fontId="33" fillId="12" borderId="0" xfId="6" applyFont="1" applyFill="1" applyAlignment="1">
      <alignment vertical="center"/>
    </xf>
    <xf numFmtId="171" fontId="24" fillId="12" borderId="0" xfId="6" applyNumberFormat="1" applyFont="1" applyFill="1"/>
    <xf numFmtId="0" fontId="37" fillId="12" borderId="0" xfId="6" applyFont="1" applyFill="1" applyAlignment="1">
      <alignment vertical="center"/>
    </xf>
    <xf numFmtId="0" fontId="33" fillId="12" borderId="0" xfId="6" applyFont="1" applyFill="1" applyAlignment="1">
      <alignment horizontal="left" vertical="center"/>
    </xf>
    <xf numFmtId="0" fontId="37" fillId="12" borderId="0" xfId="6" applyFont="1" applyFill="1" applyAlignment="1">
      <alignment horizontal="left" vertical="center"/>
    </xf>
    <xf numFmtId="2" fontId="33" fillId="12" borderId="0" xfId="6" applyNumberFormat="1" applyFont="1" applyFill="1" applyAlignment="1">
      <alignment horizontal="left" vertical="center"/>
    </xf>
    <xf numFmtId="2" fontId="37" fillId="12" borderId="0" xfId="6" applyNumberFormat="1" applyFont="1" applyFill="1" applyAlignment="1">
      <alignment horizontal="left" vertical="center"/>
    </xf>
    <xf numFmtId="1" fontId="33" fillId="12" borderId="0" xfId="6" applyNumberFormat="1" applyFont="1" applyFill="1" applyAlignment="1">
      <alignment horizontal="left" vertical="center"/>
    </xf>
    <xf numFmtId="1" fontId="37" fillId="12" borderId="0" xfId="6" applyNumberFormat="1" applyFont="1" applyFill="1" applyAlignment="1">
      <alignment horizontal="left" vertical="center"/>
    </xf>
    <xf numFmtId="1" fontId="33" fillId="12" borderId="0" xfId="6" applyNumberFormat="1" applyFont="1" applyFill="1" applyAlignment="1">
      <alignment vertical="center"/>
    </xf>
    <xf numFmtId="1" fontId="37" fillId="12" borderId="0" xfId="6" applyNumberFormat="1" applyFont="1" applyFill="1" applyAlignment="1">
      <alignment vertical="center"/>
    </xf>
    <xf numFmtId="164" fontId="20" fillId="0" borderId="0" xfId="1" applyNumberFormat="1" applyFont="1" applyBorder="1"/>
    <xf numFmtId="37" fontId="24" fillId="18" borderId="0" xfId="0" applyNumberFormat="1" applyFont="1" applyFill="1"/>
    <xf numFmtId="37" fontId="24" fillId="19" borderId="0" xfId="0" applyNumberFormat="1" applyFont="1" applyFill="1"/>
    <xf numFmtId="164" fontId="30" fillId="3" borderId="31" xfId="0" applyNumberFormat="1" applyFont="1" applyFill="1" applyBorder="1" applyAlignment="1">
      <alignment horizontal="right"/>
    </xf>
    <xf numFmtId="164" fontId="20" fillId="3" borderId="31" xfId="0" applyNumberFormat="1" applyFont="1" applyFill="1" applyBorder="1" applyAlignment="1">
      <alignment horizontal="right"/>
    </xf>
    <xf numFmtId="164" fontId="28" fillId="3" borderId="31" xfId="0" applyNumberFormat="1" applyFont="1" applyFill="1" applyBorder="1" applyAlignment="1">
      <alignment horizontal="right"/>
    </xf>
    <xf numFmtId="0" fontId="20" fillId="0" borderId="3" xfId="0" applyFont="1" applyBorder="1"/>
    <xf numFmtId="0" fontId="19" fillId="0" borderId="3" xfId="0" applyFont="1" applyBorder="1"/>
    <xf numFmtId="164" fontId="28" fillId="3" borderId="31" xfId="1" applyNumberFormat="1" applyFont="1" applyFill="1" applyBorder="1" applyAlignment="1">
      <alignment horizontal="right"/>
    </xf>
    <xf numFmtId="9" fontId="19" fillId="0" borderId="0" xfId="1" applyFont="1"/>
    <xf numFmtId="38" fontId="0" fillId="0" borderId="0" xfId="0" applyNumberFormat="1"/>
    <xf numFmtId="9" fontId="0" fillId="0" borderId="0" xfId="1" applyFont="1"/>
    <xf numFmtId="6" fontId="0" fillId="0" borderId="0" xfId="0" applyNumberFormat="1"/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177" fontId="50" fillId="0" borderId="0" xfId="0" applyNumberFormat="1" applyFont="1" applyAlignment="1">
      <alignment horizontal="right" vertical="top"/>
    </xf>
    <xf numFmtId="37" fontId="50" fillId="0" borderId="0" xfId="0" applyNumberFormat="1" applyFont="1" applyAlignment="1">
      <alignment horizontal="right" vertical="top"/>
    </xf>
    <xf numFmtId="178" fontId="50" fillId="0" borderId="0" xfId="0" applyNumberFormat="1" applyFont="1" applyAlignment="1">
      <alignment horizontal="right" vertical="top"/>
    </xf>
    <xf numFmtId="164" fontId="24" fillId="5" borderId="0" xfId="0" applyNumberFormat="1" applyFont="1" applyFill="1"/>
    <xf numFmtId="9" fontId="24" fillId="5" borderId="0" xfId="1" applyFont="1" applyFill="1"/>
    <xf numFmtId="3" fontId="9" fillId="0" borderId="0" xfId="0" applyNumberFormat="1" applyFont="1"/>
    <xf numFmtId="164" fontId="9" fillId="0" borderId="0" xfId="0" applyNumberFormat="1" applyFont="1"/>
    <xf numFmtId="3" fontId="9" fillId="0" borderId="1" xfId="0" applyNumberFormat="1" applyFont="1" applyBorder="1"/>
    <xf numFmtId="164" fontId="10" fillId="0" borderId="3" xfId="1" applyNumberFormat="1" applyFont="1" applyBorder="1"/>
    <xf numFmtId="164" fontId="10" fillId="0" borderId="12" xfId="1" applyNumberFormat="1" applyFont="1" applyBorder="1"/>
    <xf numFmtId="164" fontId="10" fillId="0" borderId="2" xfId="1" applyNumberFormat="1" applyFont="1" applyBorder="1"/>
    <xf numFmtId="164" fontId="10" fillId="0" borderId="0" xfId="1" applyNumberFormat="1" applyFont="1"/>
    <xf numFmtId="164" fontId="10" fillId="0" borderId="1" xfId="1" applyNumberFormat="1" applyFont="1" applyBorder="1"/>
    <xf numFmtId="164" fontId="10" fillId="3" borderId="31" xfId="0" applyNumberFormat="1" applyFont="1" applyFill="1" applyBorder="1" applyAlignment="1">
      <alignment horizontal="right"/>
    </xf>
    <xf numFmtId="164" fontId="10" fillId="3" borderId="5" xfId="0" applyNumberFormat="1" applyFont="1" applyFill="1" applyBorder="1" applyAlignment="1">
      <alignment horizontal="right"/>
    </xf>
    <xf numFmtId="0" fontId="9" fillId="0" borderId="1" xfId="0" applyFont="1" applyBorder="1"/>
    <xf numFmtId="164" fontId="10" fillId="3" borderId="31" xfId="1" applyNumberFormat="1" applyFont="1" applyFill="1" applyBorder="1" applyAlignment="1">
      <alignment horizontal="right"/>
    </xf>
    <xf numFmtId="164" fontId="10" fillId="3" borderId="5" xfId="1" applyNumberFormat="1" applyFont="1" applyFill="1" applyBorder="1" applyAlignment="1">
      <alignment horizontal="right"/>
    </xf>
    <xf numFmtId="164" fontId="10" fillId="0" borderId="0" xfId="1" applyNumberFormat="1" applyFont="1" applyFill="1" applyBorder="1"/>
    <xf numFmtId="3" fontId="11" fillId="0" borderId="8" xfId="0" applyNumberFormat="1" applyFont="1" applyBorder="1"/>
    <xf numFmtId="3" fontId="11" fillId="0" borderId="9" xfId="0" applyNumberFormat="1" applyFont="1" applyBorder="1"/>
    <xf numFmtId="37" fontId="9" fillId="0" borderId="0" xfId="0" applyNumberFormat="1" applyFont="1"/>
    <xf numFmtId="37" fontId="9" fillId="0" borderId="1" xfId="0" applyNumberFormat="1" applyFont="1" applyBorder="1"/>
    <xf numFmtId="0" fontId="7" fillId="0" borderId="32" xfId="0" applyFont="1" applyBorder="1"/>
    <xf numFmtId="0" fontId="7" fillId="0" borderId="7" xfId="0" applyFont="1" applyBorder="1"/>
    <xf numFmtId="3" fontId="7" fillId="0" borderId="9" xfId="0" applyNumberFormat="1" applyFont="1" applyBorder="1"/>
    <xf numFmtId="3" fontId="0" fillId="0" borderId="0" xfId="0" applyNumberFormat="1"/>
    <xf numFmtId="172" fontId="7" fillId="0" borderId="8" xfId="4" applyNumberFormat="1" applyFont="1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80" fontId="0" fillId="0" borderId="0" xfId="0" applyNumberFormat="1"/>
    <xf numFmtId="10" fontId="0" fillId="0" borderId="0" xfId="0" applyNumberFormat="1"/>
    <xf numFmtId="3" fontId="24" fillId="0" borderId="1" xfId="0" applyNumberFormat="1" applyFont="1" applyBorder="1"/>
    <xf numFmtId="164" fontId="28" fillId="0" borderId="3" xfId="1" applyNumberFormat="1" applyFont="1" applyBorder="1"/>
    <xf numFmtId="164" fontId="28" fillId="0" borderId="12" xfId="1" applyNumberFormat="1" applyFont="1" applyBorder="1"/>
    <xf numFmtId="164" fontId="28" fillId="0" borderId="2" xfId="1" applyNumberFormat="1" applyFont="1" applyBorder="1"/>
    <xf numFmtId="37" fontId="29" fillId="0" borderId="8" xfId="0" applyNumberFormat="1" applyFont="1" applyBorder="1"/>
    <xf numFmtId="37" fontId="29" fillId="0" borderId="9" xfId="0" applyNumberFormat="1" applyFont="1" applyBorder="1"/>
    <xf numFmtId="37" fontId="24" fillId="0" borderId="1" xfId="0" applyNumberFormat="1" applyFont="1" applyBorder="1"/>
    <xf numFmtId="37" fontId="29" fillId="8" borderId="8" xfId="0" applyNumberFormat="1" applyFont="1" applyFill="1" applyBorder="1"/>
    <xf numFmtId="37" fontId="29" fillId="8" borderId="9" xfId="0" applyNumberFormat="1" applyFont="1" applyFill="1" applyBorder="1"/>
    <xf numFmtId="0" fontId="29" fillId="0" borderId="8" xfId="0" applyFont="1" applyBorder="1"/>
    <xf numFmtId="0" fontId="29" fillId="0" borderId="9" xfId="0" applyFont="1" applyBorder="1"/>
    <xf numFmtId="0" fontId="24" fillId="0" borderId="0" xfId="0" applyFont="1"/>
    <xf numFmtId="14" fontId="24" fillId="0" borderId="0" xfId="0" applyNumberFormat="1" applyFont="1"/>
    <xf numFmtId="0" fontId="24" fillId="0" borderId="4" xfId="0" applyFont="1" applyBorder="1"/>
    <xf numFmtId="164" fontId="13" fillId="7" borderId="9" xfId="0" applyNumberFormat="1" applyFont="1" applyFill="1" applyBorder="1"/>
    <xf numFmtId="185" fontId="11" fillId="8" borderId="14" xfId="0" applyNumberFormat="1" applyFont="1" applyFill="1" applyBorder="1"/>
    <xf numFmtId="0" fontId="7" fillId="0" borderId="0" xfId="4" applyFont="1" applyAlignment="1">
      <alignment horizontal="center"/>
    </xf>
    <xf numFmtId="0" fontId="7" fillId="0" borderId="0" xfId="4" applyFont="1"/>
    <xf numFmtId="0" fontId="7" fillId="0" borderId="4" xfId="4" applyFont="1" applyBorder="1" applyAlignment="1">
      <alignment horizontal="center"/>
    </xf>
    <xf numFmtId="0" fontId="13" fillId="0" borderId="4" xfId="4" applyFont="1" applyBorder="1"/>
    <xf numFmtId="0" fontId="7" fillId="0" borderId="4" xfId="4" applyFont="1" applyBorder="1"/>
    <xf numFmtId="0" fontId="51" fillId="0" borderId="4" xfId="4" applyFont="1" applyBorder="1" applyAlignment="1">
      <alignment horizontal="center"/>
    </xf>
    <xf numFmtId="0" fontId="51" fillId="0" borderId="0" xfId="4" applyFont="1"/>
    <xf numFmtId="0" fontId="7" fillId="3" borderId="5" xfId="4" applyFont="1" applyFill="1" applyBorder="1" applyAlignment="1">
      <alignment horizontal="center"/>
    </xf>
    <xf numFmtId="0" fontId="8" fillId="20" borderId="0" xfId="4" applyFont="1" applyFill="1" applyAlignment="1">
      <alignment vertical="center"/>
    </xf>
    <xf numFmtId="0" fontId="12" fillId="20" borderId="0" xfId="4" applyFont="1" applyFill="1" applyAlignment="1">
      <alignment horizontal="right" vertical="center"/>
    </xf>
    <xf numFmtId="0" fontId="8" fillId="20" borderId="0" xfId="4" applyFont="1" applyFill="1" applyAlignment="1">
      <alignment horizontal="center" vertical="center"/>
    </xf>
    <xf numFmtId="0" fontId="12" fillId="20" borderId="0" xfId="4" applyFont="1" applyFill="1"/>
    <xf numFmtId="0" fontId="53" fillId="20" borderId="0" xfId="4" applyFont="1" applyFill="1" applyAlignment="1">
      <alignment horizontal="centerContinuous" vertical="center"/>
    </xf>
    <xf numFmtId="0" fontId="8" fillId="20" borderId="4" xfId="4" applyFont="1" applyFill="1" applyBorder="1" applyAlignment="1">
      <alignment vertical="center"/>
    </xf>
    <xf numFmtId="0" fontId="8" fillId="20" borderId="4" xfId="4" applyFont="1" applyFill="1" applyBorder="1" applyAlignment="1">
      <alignment horizontal="center" vertical="center"/>
    </xf>
    <xf numFmtId="0" fontId="8" fillId="20" borderId="4" xfId="4" quotePrefix="1" applyFont="1" applyFill="1" applyBorder="1" applyAlignment="1">
      <alignment horizontal="center" vertical="center"/>
    </xf>
    <xf numFmtId="0" fontId="13" fillId="0" borderId="0" xfId="4" applyFont="1" applyAlignment="1">
      <alignment vertical="center"/>
    </xf>
    <xf numFmtId="0" fontId="13" fillId="0" borderId="0" xfId="4" applyFont="1" applyAlignment="1">
      <alignment horizontal="center" vertical="center"/>
    </xf>
    <xf numFmtId="0" fontId="13" fillId="0" borderId="0" xfId="4" quotePrefix="1" applyFont="1" applyAlignment="1">
      <alignment horizontal="center" vertical="center"/>
    </xf>
    <xf numFmtId="0" fontId="54" fillId="0" borderId="7" xfId="4" applyFont="1" applyBorder="1"/>
    <xf numFmtId="0" fontId="13" fillId="0" borderId="8" xfId="4" applyFont="1" applyBorder="1"/>
    <xf numFmtId="3" fontId="7" fillId="0" borderId="8" xfId="4" applyNumberFormat="1" applyFont="1" applyBorder="1" applyAlignment="1">
      <alignment horizontal="center" vertical="center"/>
    </xf>
    <xf numFmtId="166" fontId="7" fillId="0" borderId="8" xfId="5" applyNumberFormat="1" applyFont="1" applyBorder="1" applyAlignment="1">
      <alignment horizontal="center"/>
    </xf>
    <xf numFmtId="166" fontId="7" fillId="0" borderId="9" xfId="5" applyNumberFormat="1" applyFont="1" applyBorder="1" applyAlignment="1">
      <alignment horizontal="center"/>
    </xf>
    <xf numFmtId="170" fontId="7" fillId="0" borderId="7" xfId="4" applyNumberFormat="1" applyFont="1" applyBorder="1" applyAlignment="1">
      <alignment horizontal="center"/>
    </xf>
    <xf numFmtId="170" fontId="7" fillId="0" borderId="8" xfId="4" applyNumberFormat="1" applyFont="1" applyBorder="1" applyAlignment="1">
      <alignment horizontal="center"/>
    </xf>
    <xf numFmtId="170" fontId="7" fillId="0" borderId="9" xfId="4" applyNumberFormat="1" applyFont="1" applyBorder="1" applyAlignment="1">
      <alignment horizontal="center"/>
    </xf>
    <xf numFmtId="0" fontId="54" fillId="0" borderId="0" xfId="4" applyFont="1"/>
    <xf numFmtId="172" fontId="7" fillId="0" borderId="0" xfId="4" applyNumberFormat="1" applyFont="1" applyAlignment="1">
      <alignment horizontal="center"/>
    </xf>
    <xf numFmtId="3" fontId="7" fillId="0" borderId="0" xfId="4" applyNumberFormat="1" applyFont="1" applyAlignment="1">
      <alignment horizontal="center" vertical="center"/>
    </xf>
    <xf numFmtId="166" fontId="7" fillId="0" borderId="0" xfId="5" applyNumberFormat="1" applyFont="1" applyBorder="1" applyAlignment="1">
      <alignment horizontal="center"/>
    </xf>
    <xf numFmtId="172" fontId="7" fillId="0" borderId="0" xfId="4" applyNumberFormat="1" applyFont="1"/>
    <xf numFmtId="166" fontId="7" fillId="0" borderId="0" xfId="5" applyNumberFormat="1" applyFont="1" applyAlignment="1">
      <alignment horizontal="center"/>
    </xf>
    <xf numFmtId="170" fontId="7" fillId="0" borderId="0" xfId="4" applyNumberFormat="1" applyFont="1" applyAlignment="1">
      <alignment horizontal="center"/>
    </xf>
    <xf numFmtId="172" fontId="7" fillId="0" borderId="0" xfId="4" applyNumberFormat="1" applyFont="1" applyAlignment="1">
      <alignment horizontal="center" vertical="center"/>
    </xf>
    <xf numFmtId="3" fontId="7" fillId="10" borderId="0" xfId="4" applyNumberFormat="1" applyFont="1" applyFill="1" applyAlignment="1">
      <alignment horizontal="center" vertical="center"/>
    </xf>
    <xf numFmtId="0" fontId="7" fillId="11" borderId="15" xfId="4" applyFont="1" applyFill="1" applyBorder="1"/>
    <xf numFmtId="0" fontId="7" fillId="11" borderId="13" xfId="4" applyFont="1" applyFill="1" applyBorder="1"/>
    <xf numFmtId="166" fontId="7" fillId="11" borderId="13" xfId="4" applyNumberFormat="1" applyFont="1" applyFill="1" applyBorder="1" applyAlignment="1">
      <alignment horizontal="center"/>
    </xf>
    <xf numFmtId="166" fontId="7" fillId="11" borderId="17" xfId="4" applyNumberFormat="1" applyFont="1" applyFill="1" applyBorder="1" applyAlignment="1">
      <alignment horizontal="center"/>
    </xf>
    <xf numFmtId="170" fontId="7" fillId="11" borderId="15" xfId="4" applyNumberFormat="1" applyFont="1" applyFill="1" applyBorder="1" applyAlignment="1">
      <alignment horizontal="center"/>
    </xf>
    <xf numFmtId="170" fontId="7" fillId="11" borderId="13" xfId="4" applyNumberFormat="1" applyFont="1" applyFill="1" applyBorder="1" applyAlignment="1">
      <alignment horizontal="center"/>
    </xf>
    <xf numFmtId="170" fontId="7" fillId="11" borderId="17" xfId="4" applyNumberFormat="1" applyFont="1" applyFill="1" applyBorder="1" applyAlignment="1">
      <alignment horizontal="center"/>
    </xf>
    <xf numFmtId="0" fontId="7" fillId="11" borderId="16" xfId="4" applyFont="1" applyFill="1" applyBorder="1"/>
    <xf numFmtId="0" fontId="7" fillId="11" borderId="0" xfId="4" applyFont="1" applyFill="1"/>
    <xf numFmtId="166" fontId="7" fillId="11" borderId="0" xfId="4" applyNumberFormat="1" applyFont="1" applyFill="1" applyAlignment="1">
      <alignment horizontal="center"/>
    </xf>
    <xf numFmtId="166" fontId="7" fillId="11" borderId="1" xfId="4" applyNumberFormat="1" applyFont="1" applyFill="1" applyBorder="1" applyAlignment="1">
      <alignment horizontal="center"/>
    </xf>
    <xf numFmtId="170" fontId="7" fillId="11" borderId="16" xfId="4" applyNumberFormat="1" applyFont="1" applyFill="1" applyBorder="1" applyAlignment="1">
      <alignment horizontal="center"/>
    </xf>
    <xf numFmtId="170" fontId="7" fillId="11" borderId="0" xfId="4" applyNumberFormat="1" applyFont="1" applyFill="1" applyAlignment="1">
      <alignment horizontal="center"/>
    </xf>
    <xf numFmtId="170" fontId="7" fillId="11" borderId="1" xfId="4" applyNumberFormat="1" applyFont="1" applyFill="1" applyBorder="1" applyAlignment="1">
      <alignment horizontal="center"/>
    </xf>
    <xf numFmtId="0" fontId="13" fillId="11" borderId="16" xfId="4" applyFont="1" applyFill="1" applyBorder="1"/>
    <xf numFmtId="166" fontId="13" fillId="11" borderId="0" xfId="4" applyNumberFormat="1" applyFont="1" applyFill="1" applyAlignment="1">
      <alignment horizontal="center"/>
    </xf>
    <xf numFmtId="166" fontId="13" fillId="11" borderId="1" xfId="4" applyNumberFormat="1" applyFont="1" applyFill="1" applyBorder="1" applyAlignment="1">
      <alignment horizontal="center"/>
    </xf>
    <xf numFmtId="170" fontId="13" fillId="11" borderId="16" xfId="4" applyNumberFormat="1" applyFont="1" applyFill="1" applyBorder="1" applyAlignment="1">
      <alignment horizontal="center"/>
    </xf>
    <xf numFmtId="170" fontId="13" fillId="11" borderId="0" xfId="4" applyNumberFormat="1" applyFont="1" applyFill="1" applyAlignment="1">
      <alignment horizontal="center"/>
    </xf>
    <xf numFmtId="170" fontId="13" fillId="11" borderId="1" xfId="4" applyNumberFormat="1" applyFont="1" applyFill="1" applyBorder="1" applyAlignment="1">
      <alignment horizontal="center"/>
    </xf>
    <xf numFmtId="0" fontId="7" fillId="11" borderId="18" xfId="4" applyFont="1" applyFill="1" applyBorder="1"/>
    <xf numFmtId="0" fontId="7" fillId="11" borderId="4" xfId="4" applyFont="1" applyFill="1" applyBorder="1"/>
    <xf numFmtId="166" fontId="7" fillId="11" borderId="4" xfId="4" applyNumberFormat="1" applyFont="1" applyFill="1" applyBorder="1" applyAlignment="1">
      <alignment horizontal="center"/>
    </xf>
    <xf numFmtId="166" fontId="7" fillId="11" borderId="10" xfId="4" applyNumberFormat="1" applyFont="1" applyFill="1" applyBorder="1" applyAlignment="1">
      <alignment horizontal="center"/>
    </xf>
    <xf numFmtId="170" fontId="7" fillId="11" borderId="18" xfId="4" applyNumberFormat="1" applyFont="1" applyFill="1" applyBorder="1" applyAlignment="1">
      <alignment horizontal="center"/>
    </xf>
    <xf numFmtId="170" fontId="7" fillId="11" borderId="4" xfId="4" applyNumberFormat="1" applyFont="1" applyFill="1" applyBorder="1" applyAlignment="1">
      <alignment horizontal="center"/>
    </xf>
    <xf numFmtId="170" fontId="7" fillId="11" borderId="10" xfId="4" applyNumberFormat="1" applyFont="1" applyFill="1" applyBorder="1" applyAlignment="1">
      <alignment horizontal="center"/>
    </xf>
    <xf numFmtId="0" fontId="7" fillId="0" borderId="13" xfId="4" applyFont="1" applyBorder="1" applyAlignment="1">
      <alignment vertical="center"/>
    </xf>
    <xf numFmtId="3" fontId="7" fillId="0" borderId="13" xfId="4" applyNumberFormat="1" applyFont="1" applyBorder="1" applyAlignment="1">
      <alignment horizontal="right" vertical="center"/>
    </xf>
    <xf numFmtId="0" fontId="8" fillId="20" borderId="0" xfId="4" applyFont="1" applyFill="1" applyAlignment="1">
      <alignment horizontal="centerContinuous" vertical="center"/>
    </xf>
    <xf numFmtId="0" fontId="7" fillId="0" borderId="0" xfId="4" applyFont="1" applyAlignment="1">
      <alignment vertical="center"/>
    </xf>
    <xf numFmtId="170" fontId="7" fillId="0" borderId="0" xfId="4" applyNumberFormat="1" applyFont="1" applyAlignment="1">
      <alignment horizontal="right" vertical="center"/>
    </xf>
    <xf numFmtId="0" fontId="55" fillId="0" borderId="0" xfId="4" applyFont="1" applyAlignment="1">
      <alignment horizontal="centerContinuous"/>
    </xf>
    <xf numFmtId="0" fontId="7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11" fillId="0" borderId="13" xfId="4" applyFont="1" applyBorder="1"/>
    <xf numFmtId="37" fontId="11" fillId="0" borderId="13" xfId="4" applyNumberFormat="1" applyFont="1" applyBorder="1"/>
    <xf numFmtId="37" fontId="8" fillId="0" borderId="0" xfId="4" applyNumberFormat="1" applyFont="1"/>
    <xf numFmtId="170" fontId="13" fillId="0" borderId="4" xfId="4" applyNumberFormat="1" applyFont="1" applyBorder="1" applyAlignment="1">
      <alignment horizontal="center" vertical="center"/>
    </xf>
    <xf numFmtId="0" fontId="7" fillId="0" borderId="0" xfId="4" quotePrefix="1" applyFont="1" applyAlignment="1">
      <alignment vertical="center"/>
    </xf>
    <xf numFmtId="3" fontId="7" fillId="0" borderId="6" xfId="4" applyNumberFormat="1" applyFont="1" applyBorder="1" applyAlignment="1">
      <alignment horizontal="right"/>
    </xf>
    <xf numFmtId="164" fontId="13" fillId="0" borderId="0" xfId="4" applyNumberFormat="1" applyFont="1"/>
    <xf numFmtId="37" fontId="9" fillId="0" borderId="15" xfId="4" applyNumberFormat="1" applyFont="1" applyBorder="1"/>
    <xf numFmtId="37" fontId="9" fillId="0" borderId="0" xfId="4" applyNumberFormat="1" applyFont="1"/>
    <xf numFmtId="37" fontId="11" fillId="9" borderId="0" xfId="4" applyNumberFormat="1" applyFont="1" applyFill="1"/>
    <xf numFmtId="3" fontId="7" fillId="0" borderId="11" xfId="4" applyNumberFormat="1" applyFont="1" applyBorder="1" applyAlignment="1">
      <alignment horizontal="right"/>
    </xf>
    <xf numFmtId="37" fontId="9" fillId="0" borderId="16" xfId="4" applyNumberFormat="1" applyFont="1" applyBorder="1"/>
    <xf numFmtId="182" fontId="9" fillId="0" borderId="16" xfId="4" applyNumberFormat="1" applyFont="1" applyBorder="1"/>
    <xf numFmtId="182" fontId="9" fillId="0" borderId="0" xfId="4" applyNumberFormat="1" applyFont="1"/>
    <xf numFmtId="182" fontId="11" fillId="9" borderId="0" xfId="4" applyNumberFormat="1" applyFont="1" applyFill="1"/>
    <xf numFmtId="0" fontId="1" fillId="0" borderId="0" xfId="4" applyFont="1"/>
    <xf numFmtId="0" fontId="11" fillId="0" borderId="14" xfId="4" applyFont="1" applyBorder="1"/>
    <xf numFmtId="184" fontId="11" fillId="9" borderId="14" xfId="4" applyNumberFormat="1" applyFont="1" applyFill="1" applyBorder="1"/>
    <xf numFmtId="179" fontId="13" fillId="0" borderId="0" xfId="4" applyNumberFormat="1" applyFont="1" applyAlignment="1">
      <alignment horizontal="center" vertical="center"/>
    </xf>
    <xf numFmtId="184" fontId="13" fillId="0" borderId="0" xfId="4" applyNumberFormat="1" applyFont="1" applyAlignment="1">
      <alignment vertical="center"/>
    </xf>
    <xf numFmtId="0" fontId="56" fillId="0" borderId="0" xfId="4" applyFont="1" applyAlignment="1">
      <alignment horizontal="center"/>
    </xf>
    <xf numFmtId="0" fontId="13" fillId="8" borderId="0" xfId="4" applyFont="1" applyFill="1" applyAlignment="1">
      <alignment vertical="center"/>
    </xf>
    <xf numFmtId="0" fontId="57" fillId="8" borderId="0" xfId="4" applyFont="1" applyFill="1" applyAlignment="1">
      <alignment horizontal="centerContinuous" vertical="center"/>
    </xf>
    <xf numFmtId="0" fontId="13" fillId="8" borderId="0" xfId="4" applyFont="1" applyFill="1" applyAlignment="1">
      <alignment horizontal="center" vertical="center"/>
    </xf>
    <xf numFmtId="0" fontId="13" fillId="8" borderId="4" xfId="4" applyFont="1" applyFill="1" applyBorder="1" applyAlignment="1">
      <alignment vertical="center"/>
    </xf>
    <xf numFmtId="0" fontId="13" fillId="8" borderId="4" xfId="4" applyFont="1" applyFill="1" applyBorder="1" applyAlignment="1">
      <alignment horizontal="center" vertical="center"/>
    </xf>
    <xf numFmtId="170" fontId="7" fillId="0" borderId="0" xfId="4" applyNumberFormat="1" applyFont="1" applyAlignment="1">
      <alignment horizontal="center" vertical="center"/>
    </xf>
    <xf numFmtId="4" fontId="54" fillId="0" borderId="0" xfId="4" applyNumberFormat="1" applyFont="1" applyAlignment="1">
      <alignment horizontal="center" vertical="center"/>
    </xf>
    <xf numFmtId="3" fontId="54" fillId="0" borderId="0" xfId="4" applyNumberFormat="1" applyFont="1" applyAlignment="1">
      <alignment horizontal="center" vertical="center"/>
    </xf>
    <xf numFmtId="1" fontId="54" fillId="0" borderId="0" xfId="4" quotePrefix="1" applyNumberFormat="1" applyFont="1" applyAlignment="1">
      <alignment horizontal="center" vertical="center"/>
    </xf>
    <xf numFmtId="3" fontId="7" fillId="0" borderId="0" xfId="4" applyNumberFormat="1" applyFont="1"/>
    <xf numFmtId="3" fontId="7" fillId="0" borderId="0" xfId="4" quotePrefix="1" applyNumberFormat="1" applyFont="1" applyAlignment="1">
      <alignment horizontal="center" vertical="center"/>
    </xf>
    <xf numFmtId="165" fontId="7" fillId="0" borderId="0" xfId="4" quotePrefix="1" applyNumberFormat="1" applyFont="1" applyAlignment="1">
      <alignment vertical="center"/>
    </xf>
    <xf numFmtId="165" fontId="13" fillId="0" borderId="0" xfId="4" quotePrefix="1" applyNumberFormat="1" applyFont="1" applyAlignment="1">
      <alignment horizontal="center" vertical="center"/>
    </xf>
    <xf numFmtId="165" fontId="7" fillId="0" borderId="0" xfId="4" applyNumberFormat="1" applyFont="1"/>
    <xf numFmtId="3" fontId="7" fillId="0" borderId="0" xfId="4" applyNumberFormat="1" applyFont="1" applyAlignment="1">
      <alignment horizontal="center"/>
    </xf>
    <xf numFmtId="1" fontId="7" fillId="0" borderId="0" xfId="4" quotePrefix="1" applyNumberFormat="1" applyFont="1" applyAlignment="1">
      <alignment horizontal="center" vertical="center"/>
    </xf>
    <xf numFmtId="164" fontId="5" fillId="0" borderId="0" xfId="2" applyNumberFormat="1"/>
    <xf numFmtId="164" fontId="7" fillId="0" borderId="0" xfId="4" applyNumberFormat="1" applyFont="1"/>
    <xf numFmtId="37" fontId="11" fillId="9" borderId="0" xfId="0" applyNumberFormat="1" applyFont="1" applyFill="1"/>
    <xf numFmtId="182" fontId="9" fillId="18" borderId="15" xfId="4" applyNumberFormat="1" applyFont="1" applyFill="1" applyBorder="1"/>
    <xf numFmtId="182" fontId="9" fillId="18" borderId="13" xfId="4" applyNumberFormat="1" applyFont="1" applyFill="1" applyBorder="1"/>
    <xf numFmtId="182" fontId="9" fillId="18" borderId="0" xfId="4" applyNumberFormat="1" applyFont="1" applyFill="1"/>
    <xf numFmtId="182" fontId="9" fillId="19" borderId="16" xfId="4" applyNumberFormat="1" applyFont="1" applyFill="1" applyBorder="1"/>
    <xf numFmtId="182" fontId="9" fillId="19" borderId="0" xfId="4" applyNumberFormat="1" applyFont="1" applyFill="1"/>
    <xf numFmtId="164" fontId="21" fillId="0" borderId="0" xfId="0" applyNumberFormat="1" applyFont="1"/>
    <xf numFmtId="165" fontId="22" fillId="0" borderId="0" xfId="0" applyNumberFormat="1" applyFont="1"/>
    <xf numFmtId="182" fontId="29" fillId="9" borderId="0" xfId="4" applyNumberFormat="1" applyFont="1" applyFill="1"/>
    <xf numFmtId="0" fontId="58" fillId="22" borderId="0" xfId="0" applyFont="1" applyFill="1" applyAlignment="1">
      <alignment horizontal="left" vertical="center"/>
    </xf>
    <xf numFmtId="0" fontId="59" fillId="22" borderId="0" xfId="0" applyFont="1" applyFill="1"/>
    <xf numFmtId="0" fontId="0" fillId="5" borderId="0" xfId="0" applyFill="1"/>
    <xf numFmtId="0" fontId="0" fillId="23" borderId="33" xfId="0" applyFill="1" applyBorder="1"/>
    <xf numFmtId="0" fontId="0" fillId="23" borderId="34" xfId="0" applyFill="1" applyBorder="1"/>
    <xf numFmtId="0" fontId="0" fillId="23" borderId="35" xfId="0" applyFill="1" applyBorder="1"/>
    <xf numFmtId="0" fontId="60" fillId="23" borderId="36" xfId="0" applyFont="1" applyFill="1" applyBorder="1" applyAlignment="1">
      <alignment horizontal="left" vertical="center" indent="1"/>
    </xf>
    <xf numFmtId="0" fontId="3" fillId="23" borderId="0" xfId="0" applyFont="1" applyFill="1"/>
    <xf numFmtId="0" fontId="60" fillId="23" borderId="0" xfId="0" applyFont="1" applyFill="1" applyAlignment="1">
      <alignment horizontal="right" vertical="center" indent="1"/>
    </xf>
    <xf numFmtId="0" fontId="61" fillId="24" borderId="37" xfId="0" applyFont="1" applyFill="1" applyBorder="1" applyAlignment="1">
      <alignment horizontal="center" vertical="center"/>
    </xf>
    <xf numFmtId="0" fontId="0" fillId="23" borderId="0" xfId="0" applyFill="1"/>
    <xf numFmtId="0" fontId="62" fillId="23" borderId="40" xfId="0" applyFont="1" applyFill="1" applyBorder="1" applyAlignment="1">
      <alignment horizontal="right"/>
    </xf>
    <xf numFmtId="0" fontId="3" fillId="23" borderId="36" xfId="0" applyFont="1" applyFill="1" applyBorder="1"/>
    <xf numFmtId="0" fontId="3" fillId="23" borderId="0" xfId="0" applyFont="1" applyFill="1" applyAlignment="1">
      <alignment horizontal="right" vertical="center" indent="1"/>
    </xf>
    <xf numFmtId="0" fontId="63" fillId="23" borderId="0" xfId="0" applyFont="1" applyFill="1" applyAlignment="1">
      <alignment horizontal="right" vertical="center" indent="1"/>
    </xf>
    <xf numFmtId="186" fontId="61" fillId="24" borderId="37" xfId="0" applyNumberFormat="1" applyFont="1" applyFill="1" applyBorder="1" applyAlignment="1">
      <alignment horizontal="center" vertical="center"/>
    </xf>
    <xf numFmtId="0" fontId="0" fillId="23" borderId="41" xfId="0" applyFill="1" applyBorder="1"/>
    <xf numFmtId="0" fontId="0" fillId="23" borderId="42" xfId="0" applyFill="1" applyBorder="1"/>
    <xf numFmtId="0" fontId="0" fillId="23" borderId="43" xfId="0" applyFill="1" applyBorder="1"/>
    <xf numFmtId="0" fontId="64" fillId="5" borderId="0" xfId="0" applyFont="1" applyFill="1"/>
    <xf numFmtId="0" fontId="61" fillId="23" borderId="44" xfId="0" applyFont="1" applyFill="1" applyBorder="1" applyAlignment="1">
      <alignment vertical="center"/>
    </xf>
    <xf numFmtId="0" fontId="0" fillId="23" borderId="44" xfId="0" applyFill="1" applyBorder="1"/>
    <xf numFmtId="0" fontId="65" fillId="5" borderId="0" xfId="0" applyFont="1" applyFill="1"/>
    <xf numFmtId="0" fontId="65" fillId="5" borderId="0" xfId="0" applyFont="1" applyFill="1" applyAlignment="1">
      <alignment horizontal="right"/>
    </xf>
    <xf numFmtId="187" fontId="66" fillId="5" borderId="0" xfId="0" applyNumberFormat="1" applyFont="1" applyFill="1"/>
    <xf numFmtId="0" fontId="67" fillId="5" borderId="0" xfId="0" applyFont="1" applyFill="1" applyAlignment="1">
      <alignment horizontal="right"/>
    </xf>
    <xf numFmtId="188" fontId="65" fillId="5" borderId="0" xfId="0" applyNumberFormat="1" applyFont="1" applyFill="1" applyAlignment="1">
      <alignment horizontal="right"/>
    </xf>
    <xf numFmtId="0" fontId="68" fillId="5" borderId="0" xfId="0" applyFont="1" applyFill="1"/>
    <xf numFmtId="0" fontId="69" fillId="5" borderId="44" xfId="0" applyFont="1" applyFill="1" applyBorder="1"/>
    <xf numFmtId="0" fontId="65" fillId="5" borderId="44" xfId="0" applyFont="1" applyFill="1" applyBorder="1"/>
    <xf numFmtId="164" fontId="70" fillId="5" borderId="44" xfId="22" applyFill="1" applyBorder="1">
      <alignment horizontal="left" vertical="center"/>
    </xf>
    <xf numFmtId="0" fontId="69" fillId="25" borderId="37" xfId="0" applyFont="1" applyFill="1" applyBorder="1" applyAlignment="1">
      <alignment horizontal="center"/>
    </xf>
    <xf numFmtId="189" fontId="66" fillId="5" borderId="0" xfId="0" applyNumberFormat="1" applyFont="1" applyFill="1" applyAlignment="1">
      <alignment horizontal="right"/>
    </xf>
    <xf numFmtId="0" fontId="72" fillId="5" borderId="0" xfId="23" applyFont="1" applyFill="1"/>
    <xf numFmtId="190" fontId="66" fillId="5" borderId="0" xfId="0" applyNumberFormat="1" applyFont="1" applyFill="1" applyAlignment="1">
      <alignment horizontal="right"/>
    </xf>
    <xf numFmtId="187" fontId="69" fillId="5" borderId="44" xfId="0" applyNumberFormat="1" applyFont="1" applyFill="1" applyBorder="1" applyAlignment="1">
      <alignment horizontal="right"/>
    </xf>
    <xf numFmtId="0" fontId="69" fillId="5" borderId="44" xfId="0" applyFont="1" applyFill="1" applyBorder="1" applyAlignment="1">
      <alignment horizontal="right"/>
    </xf>
    <xf numFmtId="164" fontId="70" fillId="5" borderId="42" xfId="22" applyFill="1">
      <alignment horizontal="left" vertical="center"/>
    </xf>
    <xf numFmtId="0" fontId="65" fillId="5" borderId="42" xfId="0" applyFont="1" applyFill="1" applyBorder="1"/>
    <xf numFmtId="2" fontId="72" fillId="5" borderId="0" xfId="23" applyNumberFormat="1" applyFont="1" applyFill="1"/>
    <xf numFmtId="2" fontId="72" fillId="5" borderId="0" xfId="23" applyNumberFormat="1" applyFont="1" applyFill="1" applyAlignment="1">
      <alignment horizontal="left"/>
    </xf>
    <xf numFmtId="188" fontId="66" fillId="5" borderId="0" xfId="0" applyNumberFormat="1" applyFont="1" applyFill="1" applyAlignment="1">
      <alignment horizontal="right"/>
    </xf>
    <xf numFmtId="0" fontId="65" fillId="5" borderId="42" xfId="0" applyFont="1" applyFill="1" applyBorder="1" applyAlignment="1">
      <alignment horizontal="right"/>
    </xf>
    <xf numFmtId="189" fontId="72" fillId="5" borderId="0" xfId="0" applyNumberFormat="1" applyFont="1" applyFill="1" applyAlignment="1">
      <alignment horizontal="right"/>
    </xf>
    <xf numFmtId="0" fontId="72" fillId="5" borderId="0" xfId="23" applyFont="1" applyFill="1" applyAlignment="1">
      <alignment horizontal="left"/>
    </xf>
    <xf numFmtId="190" fontId="72" fillId="5" borderId="0" xfId="0" applyNumberFormat="1" applyFont="1" applyFill="1" applyAlignment="1">
      <alignment horizontal="right"/>
    </xf>
    <xf numFmtId="0" fontId="69" fillId="5" borderId="42" xfId="0" applyFont="1" applyFill="1" applyBorder="1"/>
    <xf numFmtId="187" fontId="69" fillId="5" borderId="44" xfId="0" applyNumberFormat="1" applyFont="1" applyFill="1" applyBorder="1"/>
    <xf numFmtId="191" fontId="66" fillId="5" borderId="0" xfId="0" applyNumberFormat="1" applyFont="1" applyFill="1" applyAlignment="1">
      <alignment horizontal="right"/>
    </xf>
    <xf numFmtId="191" fontId="72" fillId="5" borderId="0" xfId="0" applyNumberFormat="1" applyFont="1" applyFill="1" applyAlignment="1">
      <alignment horizontal="right"/>
    </xf>
    <xf numFmtId="0" fontId="69" fillId="5" borderId="42" xfId="0" applyFont="1" applyFill="1" applyBorder="1" applyAlignment="1">
      <alignment horizontal="right"/>
    </xf>
    <xf numFmtId="0" fontId="73" fillId="5" borderId="0" xfId="0" applyFont="1" applyFill="1"/>
    <xf numFmtId="188" fontId="74" fillId="5" borderId="0" xfId="0" applyNumberFormat="1" applyFont="1" applyFill="1" applyAlignment="1">
      <alignment horizontal="right"/>
    </xf>
    <xf numFmtId="0" fontId="74" fillId="5" borderId="0" xfId="0" applyFont="1" applyFill="1"/>
    <xf numFmtId="0" fontId="61" fillId="23" borderId="38" xfId="0" applyFont="1" applyFill="1" applyBorder="1" applyAlignment="1">
      <alignment vertical="center"/>
    </xf>
    <xf numFmtId="0" fontId="61" fillId="23" borderId="39" xfId="0" applyFont="1" applyFill="1" applyBorder="1" applyAlignment="1">
      <alignment vertical="center"/>
    </xf>
    <xf numFmtId="0" fontId="69" fillId="25" borderId="38" xfId="0" applyFont="1" applyFill="1" applyBorder="1" applyAlignment="1">
      <alignment horizontal="left" vertical="center"/>
    </xf>
    <xf numFmtId="0" fontId="69" fillId="25" borderId="44" xfId="0" applyFont="1" applyFill="1" applyBorder="1" applyAlignment="1">
      <alignment horizontal="left" vertical="center"/>
    </xf>
    <xf numFmtId="0" fontId="69" fillId="25" borderId="39" xfId="0" applyFont="1" applyFill="1" applyBorder="1" applyAlignment="1">
      <alignment horizontal="left" vertical="center"/>
    </xf>
    <xf numFmtId="188" fontId="66" fillId="5" borderId="0" xfId="0" applyNumberFormat="1" applyFont="1" applyFill="1" applyAlignment="1">
      <alignment horizontal="left"/>
    </xf>
    <xf numFmtId="10" fontId="66" fillId="5" borderId="0" xfId="1" applyNumberFormat="1" applyFont="1" applyFill="1" applyBorder="1" applyAlignment="1">
      <alignment horizontal="left"/>
    </xf>
    <xf numFmtId="0" fontId="65" fillId="0" borderId="0" xfId="0" applyFont="1"/>
    <xf numFmtId="188" fontId="74" fillId="0" borderId="0" xfId="0" applyNumberFormat="1" applyFont="1" applyAlignment="1">
      <alignment horizontal="right"/>
    </xf>
    <xf numFmtId="192" fontId="66" fillId="0" borderId="0" xfId="0" applyNumberFormat="1" applyFont="1" applyAlignment="1">
      <alignment horizontal="right"/>
    </xf>
    <xf numFmtId="192" fontId="0" fillId="5" borderId="0" xfId="0" applyNumberFormat="1" applyFill="1"/>
    <xf numFmtId="190" fontId="66" fillId="0" borderId="0" xfId="0" applyNumberFormat="1" applyFont="1" applyAlignment="1">
      <alignment horizontal="right"/>
    </xf>
    <xf numFmtId="164" fontId="13" fillId="0" borderId="0" xfId="0" applyNumberFormat="1" applyFont="1"/>
    <xf numFmtId="164" fontId="11" fillId="0" borderId="4" xfId="1" applyNumberFormat="1" applyFont="1" applyBorder="1"/>
    <xf numFmtId="0" fontId="19" fillId="0" borderId="0" xfId="0" applyFont="1" applyAlignment="1">
      <alignment vertical="center" textRotation="90"/>
    </xf>
    <xf numFmtId="164" fontId="29" fillId="0" borderId="4" xfId="1" applyNumberFormat="1" applyFont="1" applyBorder="1"/>
    <xf numFmtId="37" fontId="29" fillId="8" borderId="0" xfId="0" applyNumberFormat="1" applyFont="1" applyFill="1"/>
    <xf numFmtId="4" fontId="19" fillId="0" borderId="4" xfId="0" applyNumberFormat="1" applyFont="1" applyBorder="1"/>
    <xf numFmtId="184" fontId="11" fillId="8" borderId="14" xfId="0" applyNumberFormat="1" applyFont="1" applyFill="1" applyBorder="1"/>
    <xf numFmtId="182" fontId="19" fillId="18" borderId="0" xfId="0" applyNumberFormat="1" applyFont="1" applyFill="1"/>
    <xf numFmtId="182" fontId="19" fillId="19" borderId="0" xfId="0" applyNumberFormat="1" applyFont="1" applyFill="1"/>
    <xf numFmtId="182" fontId="21" fillId="8" borderId="0" xfId="0" applyNumberFormat="1" applyFont="1" applyFill="1"/>
    <xf numFmtId="37" fontId="11" fillId="0" borderId="8" xfId="0" applyNumberFormat="1" applyFont="1" applyBorder="1"/>
    <xf numFmtId="37" fontId="11" fillId="0" borderId="9" xfId="0" applyNumberFormat="1" applyFont="1" applyBorder="1"/>
    <xf numFmtId="3" fontId="10" fillId="0" borderId="0" xfId="1" applyNumberFormat="1" applyFont="1"/>
    <xf numFmtId="3" fontId="10" fillId="0" borderId="1" xfId="1" applyNumberFormat="1" applyFont="1" applyBorder="1"/>
    <xf numFmtId="3" fontId="10" fillId="0" borderId="0" xfId="1" applyNumberFormat="1" applyFont="1" applyFill="1" applyBorder="1"/>
    <xf numFmtId="3" fontId="10" fillId="3" borderId="5" xfId="0" applyNumberFormat="1" applyFont="1" applyFill="1" applyBorder="1" applyAlignment="1">
      <alignment horizontal="right"/>
    </xf>
    <xf numFmtId="37" fontId="10" fillId="0" borderId="0" xfId="1" applyNumberFormat="1" applyFont="1"/>
    <xf numFmtId="37" fontId="10" fillId="0" borderId="1" xfId="1" applyNumberFormat="1" applyFont="1" applyBorder="1"/>
    <xf numFmtId="37" fontId="10" fillId="0" borderId="0" xfId="1" applyNumberFormat="1" applyFont="1" applyFill="1" applyBorder="1"/>
    <xf numFmtId="37" fontId="10" fillId="3" borderId="5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center" vertical="center"/>
    </xf>
    <xf numFmtId="183" fontId="19" fillId="0" borderId="6" xfId="0" applyNumberFormat="1" applyFont="1" applyBorder="1" applyAlignment="1">
      <alignment horizontal="center"/>
    </xf>
    <xf numFmtId="183" fontId="19" fillId="0" borderId="0" xfId="0" applyNumberFormat="1" applyFont="1"/>
    <xf numFmtId="9" fontId="19" fillId="0" borderId="0" xfId="0" applyNumberFormat="1" applyFont="1"/>
    <xf numFmtId="0" fontId="19" fillId="0" borderId="0" xfId="0" applyFont="1" applyAlignment="1">
      <alignment horizontal="center" vertical="center"/>
    </xf>
    <xf numFmtId="9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37" fontId="19" fillId="0" borderId="0" xfId="0" applyNumberFormat="1" applyFont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37" fontId="29" fillId="0" borderId="13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3" fontId="24" fillId="0" borderId="6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3" fontId="24" fillId="0" borderId="11" xfId="0" applyNumberFormat="1" applyFont="1" applyBorder="1" applyAlignment="1">
      <alignment horizontal="center" vertical="center"/>
    </xf>
    <xf numFmtId="37" fontId="21" fillId="0" borderId="0" xfId="0" applyNumberFormat="1" applyFont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182" fontId="29" fillId="8" borderId="14" xfId="0" applyNumberFormat="1" applyFont="1" applyFill="1" applyBorder="1" applyAlignment="1">
      <alignment horizontal="center" vertical="center"/>
    </xf>
    <xf numFmtId="183" fontId="24" fillId="0" borderId="11" xfId="0" applyNumberFormat="1" applyFont="1" applyBorder="1" applyAlignment="1">
      <alignment horizontal="center" vertical="center"/>
    </xf>
    <xf numFmtId="9" fontId="29" fillId="8" borderId="14" xfId="1" applyFont="1" applyFill="1" applyBorder="1" applyAlignment="1">
      <alignment horizontal="center" vertical="center"/>
    </xf>
    <xf numFmtId="9" fontId="19" fillId="0" borderId="0" xfId="1" applyFont="1" applyAlignment="1">
      <alignment horizontal="center" vertical="center"/>
    </xf>
    <xf numFmtId="172" fontId="19" fillId="0" borderId="0" xfId="0" applyNumberFormat="1" applyFont="1" applyAlignment="1">
      <alignment horizontal="center" vertical="center"/>
    </xf>
    <xf numFmtId="18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9" fillId="0" borderId="13" xfId="0" applyFont="1" applyBorder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24" fillId="0" borderId="4" xfId="0" quotePrefix="1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9" fillId="0" borderId="14" xfId="0" applyFont="1" applyBorder="1" applyAlignment="1">
      <alignment horizontal="left" vertical="center"/>
    </xf>
    <xf numFmtId="0" fontId="19" fillId="0" borderId="0" xfId="0" quotePrefix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9" fillId="18" borderId="0" xfId="0" applyFont="1" applyFill="1"/>
    <xf numFmtId="3" fontId="24" fillId="18" borderId="0" xfId="0" applyNumberFormat="1" applyFont="1" applyFill="1"/>
    <xf numFmtId="9" fontId="19" fillId="18" borderId="0" xfId="0" applyNumberFormat="1" applyFont="1" applyFill="1"/>
    <xf numFmtId="3" fontId="19" fillId="18" borderId="0" xfId="0" applyNumberFormat="1" applyFont="1" applyFill="1"/>
    <xf numFmtId="0" fontId="32" fillId="2" borderId="0" xfId="0" applyFont="1" applyFill="1" applyAlignment="1">
      <alignment horizontal="center" vertical="center"/>
    </xf>
    <xf numFmtId="164" fontId="19" fillId="0" borderId="0" xfId="0" applyNumberFormat="1" applyFont="1" applyAlignment="1">
      <alignment horizontal="right"/>
    </xf>
    <xf numFmtId="164" fontId="19" fillId="3" borderId="6" xfId="0" applyNumberFormat="1" applyFont="1" applyFill="1" applyBorder="1" applyAlignment="1">
      <alignment horizontal="right"/>
    </xf>
    <xf numFmtId="169" fontId="19" fillId="3" borderId="6" xfId="0" applyNumberFormat="1" applyFont="1" applyFill="1" applyBorder="1" applyAlignment="1">
      <alignment horizontal="right"/>
    </xf>
    <xf numFmtId="0" fontId="19" fillId="0" borderId="32" xfId="0" applyFont="1" applyBorder="1"/>
    <xf numFmtId="0" fontId="19" fillId="0" borderId="7" xfId="0" applyFont="1" applyBorder="1"/>
    <xf numFmtId="3" fontId="19" fillId="0" borderId="9" xfId="0" applyNumberFormat="1" applyFont="1" applyBorder="1"/>
    <xf numFmtId="0" fontId="21" fillId="7" borderId="7" xfId="0" applyFont="1" applyFill="1" applyBorder="1"/>
    <xf numFmtId="0" fontId="19" fillId="7" borderId="8" xfId="0" applyFont="1" applyFill="1" applyBorder="1"/>
    <xf numFmtId="10" fontId="21" fillId="7" borderId="9" xfId="0" applyNumberFormat="1" applyFont="1" applyFill="1" applyBorder="1"/>
    <xf numFmtId="0" fontId="22" fillId="2" borderId="0" xfId="0" applyFont="1" applyFill="1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9" fontId="24" fillId="0" borderId="0" xfId="1" applyFont="1" applyAlignment="1">
      <alignment horizontal="center" vertical="center"/>
    </xf>
    <xf numFmtId="3" fontId="24" fillId="18" borderId="0" xfId="0" applyNumberFormat="1" applyFont="1" applyFill="1" applyAlignment="1">
      <alignment horizontal="center" vertical="center"/>
    </xf>
    <xf numFmtId="3" fontId="19" fillId="18" borderId="0" xfId="0" applyNumberFormat="1" applyFont="1" applyFill="1" applyAlignment="1">
      <alignment horizontal="center" vertical="center"/>
    </xf>
    <xf numFmtId="164" fontId="19" fillId="0" borderId="0" xfId="1" applyNumberFormat="1" applyFont="1" applyAlignment="1">
      <alignment horizontal="center" vertical="center"/>
    </xf>
    <xf numFmtId="3" fontId="21" fillId="0" borderId="0" xfId="0" applyNumberFormat="1" applyFont="1" applyAlignment="1">
      <alignment horizontal="center"/>
    </xf>
    <xf numFmtId="3" fontId="21" fillId="18" borderId="0" xfId="0" applyNumberFormat="1" applyFont="1" applyFill="1" applyAlignment="1">
      <alignment horizontal="center"/>
    </xf>
    <xf numFmtId="0" fontId="21" fillId="18" borderId="0" xfId="0" applyFont="1" applyFill="1"/>
    <xf numFmtId="10" fontId="21" fillId="0" borderId="0" xfId="1" applyNumberFormat="1" applyFont="1" applyAlignment="1">
      <alignment horizontal="center" vertical="center"/>
    </xf>
    <xf numFmtId="0" fontId="76" fillId="0" borderId="0" xfId="0" applyFont="1"/>
    <xf numFmtId="0" fontId="76" fillId="0" borderId="0" xfId="0" applyFont="1" applyAlignment="1">
      <alignment horizontal="left" vertical="center"/>
    </xf>
    <xf numFmtId="172" fontId="76" fillId="0" borderId="0" xfId="0" applyNumberFormat="1" applyFont="1" applyAlignment="1">
      <alignment horizontal="left" vertical="center"/>
    </xf>
    <xf numFmtId="3" fontId="76" fillId="0" borderId="0" xfId="0" applyNumberFormat="1" applyFont="1" applyAlignment="1">
      <alignment horizontal="left" vertical="center"/>
    </xf>
    <xf numFmtId="9" fontId="76" fillId="0" borderId="0" xfId="0" applyNumberFormat="1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4" fontId="76" fillId="0" borderId="0" xfId="0" applyNumberFormat="1" applyFont="1" applyAlignment="1">
      <alignment horizontal="left" vertical="center"/>
    </xf>
    <xf numFmtId="15" fontId="76" fillId="0" borderId="0" xfId="0" applyNumberFormat="1" applyFont="1" applyAlignment="1">
      <alignment horizontal="left" vertical="center"/>
    </xf>
    <xf numFmtId="9" fontId="76" fillId="0" borderId="0" xfId="1" applyFont="1" applyAlignment="1">
      <alignment horizontal="left" vertical="center"/>
    </xf>
    <xf numFmtId="0" fontId="76" fillId="0" borderId="0" xfId="0" quotePrefix="1" applyFont="1" applyAlignment="1">
      <alignment horizontal="left" vertical="center"/>
    </xf>
    <xf numFmtId="9" fontId="78" fillId="0" borderId="0" xfId="0" applyNumberFormat="1" applyFont="1" applyAlignment="1">
      <alignment horizontal="left" vertical="center"/>
    </xf>
    <xf numFmtId="10" fontId="76" fillId="0" borderId="0" xfId="0" applyNumberFormat="1" applyFont="1" applyAlignment="1">
      <alignment horizontal="left" vertical="center"/>
    </xf>
    <xf numFmtId="0" fontId="79" fillId="0" borderId="0" xfId="21" applyFont="1" applyAlignment="1">
      <alignment horizontal="left" vertical="center"/>
    </xf>
    <xf numFmtId="0" fontId="77" fillId="0" borderId="0" xfId="0" applyFont="1"/>
    <xf numFmtId="38" fontId="76" fillId="0" borderId="0" xfId="0" applyNumberFormat="1" applyFont="1"/>
    <xf numFmtId="9" fontId="76" fillId="0" borderId="0" xfId="1" applyFont="1"/>
    <xf numFmtId="164" fontId="80" fillId="0" borderId="0" xfId="1" applyNumberFormat="1" applyFont="1"/>
    <xf numFmtId="2" fontId="76" fillId="0" borderId="0" xfId="0" applyNumberFormat="1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76" fillId="18" borderId="0" xfId="0" applyFont="1" applyFill="1"/>
    <xf numFmtId="38" fontId="76" fillId="18" borderId="0" xfId="0" applyNumberFormat="1" applyFont="1" applyFill="1"/>
    <xf numFmtId="177" fontId="50" fillId="18" borderId="0" xfId="0" applyNumberFormat="1" applyFont="1" applyFill="1" applyAlignment="1">
      <alignment horizontal="right" vertical="top"/>
    </xf>
    <xf numFmtId="37" fontId="50" fillId="18" borderId="0" xfId="0" applyNumberFormat="1" applyFont="1" applyFill="1" applyAlignment="1">
      <alignment horizontal="right" vertical="top"/>
    </xf>
    <xf numFmtId="38" fontId="76" fillId="0" borderId="0" xfId="0" applyNumberFormat="1" applyFont="1" applyAlignment="1">
      <alignment horizontal="left" vertical="center"/>
    </xf>
    <xf numFmtId="40" fontId="76" fillId="0" borderId="0" xfId="0" applyNumberFormat="1" applyFont="1"/>
    <xf numFmtId="0" fontId="77" fillId="0" borderId="18" xfId="0" applyFont="1" applyBorder="1" applyAlignment="1">
      <alignment horizontal="left" vertical="center"/>
    </xf>
    <xf numFmtId="164" fontId="77" fillId="0" borderId="4" xfId="1" applyNumberFormat="1" applyFont="1" applyBorder="1"/>
    <xf numFmtId="164" fontId="77" fillId="0" borderId="10" xfId="1" applyNumberFormat="1" applyFont="1" applyBorder="1"/>
    <xf numFmtId="0" fontId="77" fillId="0" borderId="15" xfId="0" applyFont="1" applyBorder="1" applyAlignment="1">
      <alignment horizontal="left" vertical="center"/>
    </xf>
    <xf numFmtId="40" fontId="77" fillId="0" borderId="13" xfId="0" applyNumberFormat="1" applyFont="1" applyBorder="1"/>
    <xf numFmtId="40" fontId="77" fillId="0" borderId="17" xfId="0" applyNumberFormat="1" applyFont="1" applyBorder="1"/>
    <xf numFmtId="0" fontId="0" fillId="11" borderId="7" xfId="0" applyFill="1" applyBorder="1"/>
    <xf numFmtId="40" fontId="0" fillId="11" borderId="8" xfId="0" applyNumberFormat="1" applyFill="1" applyBorder="1" applyAlignment="1">
      <alignment horizontal="right" vertical="center"/>
    </xf>
    <xf numFmtId="40" fontId="0" fillId="11" borderId="9" xfId="0" applyNumberFormat="1" applyFill="1" applyBorder="1" applyAlignment="1">
      <alignment horizontal="right" vertical="center"/>
    </xf>
    <xf numFmtId="40" fontId="11" fillId="8" borderId="8" xfId="0" applyNumberFormat="1" applyFont="1" applyFill="1" applyBorder="1"/>
    <xf numFmtId="40" fontId="11" fillId="8" borderId="9" xfId="0" applyNumberFormat="1" applyFont="1" applyFill="1" applyBorder="1"/>
    <xf numFmtId="0" fontId="19" fillId="10" borderId="0" xfId="0" applyFont="1" applyFill="1" applyAlignment="1">
      <alignment horizontal="left" vertical="center"/>
    </xf>
    <xf numFmtId="0" fontId="19" fillId="10" borderId="0" xfId="0" applyFont="1" applyFill="1" applyAlignment="1">
      <alignment horizontal="center" vertical="center"/>
    </xf>
    <xf numFmtId="3" fontId="19" fillId="10" borderId="0" xfId="0" applyNumberFormat="1" applyFont="1" applyFill="1" applyAlignment="1">
      <alignment horizontal="center" vertical="center"/>
    </xf>
    <xf numFmtId="9" fontId="19" fillId="18" borderId="0" xfId="1" applyFont="1" applyFill="1" applyAlignment="1">
      <alignment horizontal="center" vertical="center"/>
    </xf>
    <xf numFmtId="164" fontId="24" fillId="0" borderId="0" xfId="1" applyNumberFormat="1" applyFont="1"/>
    <xf numFmtId="0" fontId="55" fillId="0" borderId="0" xfId="4" applyFont="1" applyAlignment="1">
      <alignment vertical="center" textRotation="90"/>
    </xf>
    <xf numFmtId="0" fontId="33" fillId="13" borderId="16" xfId="6" applyFont="1" applyFill="1" applyBorder="1" applyAlignment="1" applyProtection="1">
      <alignment horizontal="center"/>
      <protection locked="0"/>
    </xf>
    <xf numFmtId="0" fontId="19" fillId="0" borderId="0" xfId="6" applyFont="1" applyAlignment="1">
      <alignment horizontal="center"/>
    </xf>
    <xf numFmtId="0" fontId="33" fillId="13" borderId="0" xfId="6" applyFont="1" applyFill="1" applyAlignment="1" applyProtection="1">
      <alignment horizontal="left" vertical="top" wrapText="1"/>
      <protection locked="0"/>
    </xf>
    <xf numFmtId="0" fontId="39" fillId="12" borderId="20" xfId="6" applyFont="1" applyFill="1" applyBorder="1"/>
    <xf numFmtId="0" fontId="39" fillId="0" borderId="22" xfId="6" applyFont="1" applyBorder="1"/>
    <xf numFmtId="0" fontId="33" fillId="13" borderId="16" xfId="6" applyFont="1" applyFill="1" applyBorder="1" applyProtection="1">
      <protection locked="0"/>
    </xf>
    <xf numFmtId="0" fontId="33" fillId="13" borderId="0" xfId="6" applyFont="1" applyFill="1" applyProtection="1">
      <protection locked="0"/>
    </xf>
    <xf numFmtId="0" fontId="33" fillId="13" borderId="16" xfId="6" applyFont="1" applyFill="1" applyBorder="1" applyAlignment="1" applyProtection="1">
      <alignment horizontal="left"/>
      <protection locked="0"/>
    </xf>
    <xf numFmtId="0" fontId="33" fillId="13" borderId="0" xfId="6" applyFont="1" applyFill="1" applyAlignment="1" applyProtection="1">
      <alignment horizontal="left"/>
      <protection locked="0"/>
    </xf>
    <xf numFmtId="38" fontId="33" fillId="12" borderId="0" xfId="6" applyNumberFormat="1" applyFont="1" applyFill="1" applyAlignment="1">
      <alignment horizontal="left"/>
    </xf>
    <xf numFmtId="41" fontId="38" fillId="12" borderId="22" xfId="6" applyNumberFormat="1" applyFont="1" applyFill="1" applyBorder="1" applyAlignment="1">
      <alignment horizontal="center"/>
    </xf>
    <xf numFmtId="0" fontId="38" fillId="0" borderId="24" xfId="6" applyFont="1" applyBorder="1" applyAlignment="1">
      <alignment horizontal="center"/>
    </xf>
    <xf numFmtId="41" fontId="33" fillId="12" borderId="8" xfId="6" applyNumberFormat="1" applyFont="1" applyFill="1" applyBorder="1" applyAlignment="1">
      <alignment horizontal="center"/>
    </xf>
    <xf numFmtId="0" fontId="33" fillId="0" borderId="23" xfId="6" applyFont="1" applyBorder="1"/>
    <xf numFmtId="174" fontId="33" fillId="12" borderId="0" xfId="6" applyNumberFormat="1" applyFont="1" applyFill="1" applyAlignment="1">
      <alignment horizontal="center"/>
    </xf>
    <xf numFmtId="0" fontId="33" fillId="0" borderId="21" xfId="6" applyFont="1" applyBorder="1" applyAlignment="1">
      <alignment horizontal="center"/>
    </xf>
    <xf numFmtId="174" fontId="38" fillId="12" borderId="0" xfId="6" applyNumberFormat="1" applyFont="1" applyFill="1" applyAlignment="1">
      <alignment horizontal="center"/>
    </xf>
    <xf numFmtId="0" fontId="38" fillId="0" borderId="21" xfId="6" applyFont="1" applyBorder="1" applyAlignment="1">
      <alignment horizontal="center"/>
    </xf>
    <xf numFmtId="0" fontId="33" fillId="17" borderId="16" xfId="6" applyFont="1" applyFill="1" applyBorder="1" applyProtection="1">
      <protection locked="0"/>
    </xf>
    <xf numFmtId="0" fontId="19" fillId="0" borderId="0" xfId="6" applyFont="1" applyProtection="1">
      <protection locked="0"/>
    </xf>
    <xf numFmtId="0" fontId="38" fillId="12" borderId="16" xfId="6" applyFont="1" applyFill="1" applyBorder="1"/>
    <xf numFmtId="0" fontId="33" fillId="0" borderId="0" xfId="6" applyFont="1"/>
    <xf numFmtId="0" fontId="19" fillId="0" borderId="0" xfId="6" applyFont="1"/>
    <xf numFmtId="0" fontId="33" fillId="0" borderId="18" xfId="6" applyFont="1" applyBorder="1"/>
    <xf numFmtId="0" fontId="33" fillId="0" borderId="4" xfId="6" applyFont="1" applyBorder="1"/>
    <xf numFmtId="0" fontId="19" fillId="0" borderId="4" xfId="6" applyFont="1" applyBorder="1"/>
    <xf numFmtId="0" fontId="37" fillId="14" borderId="0" xfId="6" applyFont="1" applyFill="1"/>
    <xf numFmtId="0" fontId="37" fillId="14" borderId="4" xfId="6" applyFont="1" applyFill="1" applyBorder="1"/>
    <xf numFmtId="0" fontId="33" fillId="13" borderId="0" xfId="6" applyFont="1" applyFill="1" applyAlignment="1" applyProtection="1">
      <alignment horizontal="center"/>
      <protection locked="0"/>
    </xf>
    <xf numFmtId="40" fontId="34" fillId="12" borderId="0" xfId="6" applyNumberFormat="1" applyFont="1" applyFill="1" applyAlignment="1">
      <alignment horizontal="right"/>
    </xf>
    <xf numFmtId="40" fontId="34" fillId="12" borderId="4" xfId="6" applyNumberFormat="1" applyFont="1" applyFill="1" applyBorder="1" applyAlignment="1">
      <alignment horizontal="right"/>
    </xf>
    <xf numFmtId="0" fontId="38" fillId="12" borderId="0" xfId="6" applyFont="1" applyFill="1" applyAlignment="1">
      <alignment horizontal="center"/>
    </xf>
    <xf numFmtId="0" fontId="38" fillId="12" borderId="21" xfId="6" applyFont="1" applyFill="1" applyBorder="1" applyAlignment="1">
      <alignment horizontal="center"/>
    </xf>
    <xf numFmtId="0" fontId="48" fillId="12" borderId="0" xfId="6" applyFont="1" applyFill="1" applyAlignment="1">
      <alignment horizontal="center"/>
    </xf>
    <xf numFmtId="0" fontId="19" fillId="12" borderId="21" xfId="6" applyFont="1" applyFill="1" applyBorder="1" applyAlignment="1">
      <alignment horizontal="center"/>
    </xf>
    <xf numFmtId="0" fontId="38" fillId="12" borderId="24" xfId="6" applyFont="1" applyFill="1" applyBorder="1" applyAlignment="1">
      <alignment horizontal="center"/>
    </xf>
    <xf numFmtId="0" fontId="33" fillId="13" borderId="16" xfId="6" quotePrefix="1" applyFont="1" applyFill="1" applyBorder="1" applyAlignment="1" applyProtection="1">
      <alignment horizontal="left"/>
      <protection locked="0"/>
    </xf>
    <xf numFmtId="0" fontId="45" fillId="12" borderId="0" xfId="6" applyFont="1" applyFill="1" applyAlignment="1">
      <alignment horizontal="center"/>
    </xf>
    <xf numFmtId="0" fontId="61" fillId="24" borderId="38" xfId="0" applyFont="1" applyFill="1" applyBorder="1" applyAlignment="1">
      <alignment horizontal="center" vertical="center"/>
    </xf>
    <xf numFmtId="0" fontId="61" fillId="24" borderId="44" xfId="0" applyFont="1" applyFill="1" applyBorder="1" applyAlignment="1">
      <alignment horizontal="center" vertical="center"/>
    </xf>
    <xf numFmtId="0" fontId="61" fillId="24" borderId="39" xfId="0" applyFont="1" applyFill="1" applyBorder="1" applyAlignment="1">
      <alignment horizontal="center" vertical="center"/>
    </xf>
    <xf numFmtId="0" fontId="62" fillId="23" borderId="0" xfId="0" applyFont="1" applyFill="1" applyAlignment="1">
      <alignment horizontal="right"/>
    </xf>
    <xf numFmtId="0" fontId="62" fillId="23" borderId="40" xfId="0" applyFont="1" applyFill="1" applyBorder="1" applyAlignment="1">
      <alignment horizontal="right"/>
    </xf>
    <xf numFmtId="0" fontId="65" fillId="5" borderId="0" xfId="0" applyFont="1" applyFill="1" applyAlignment="1">
      <alignment horizontal="left" vertical="top" wrapText="1"/>
    </xf>
    <xf numFmtId="0" fontId="61" fillId="23" borderId="38" xfId="0" applyFont="1" applyFill="1" applyBorder="1" applyAlignment="1">
      <alignment horizontal="left"/>
    </xf>
    <xf numFmtId="0" fontId="61" fillId="23" borderId="44" xfId="0" applyFont="1" applyFill="1" applyBorder="1" applyAlignment="1">
      <alignment horizontal="left"/>
    </xf>
    <xf numFmtId="0" fontId="61" fillId="23" borderId="39" xfId="0" applyFont="1" applyFill="1" applyBorder="1" applyAlignment="1">
      <alignment horizontal="left"/>
    </xf>
    <xf numFmtId="0" fontId="69" fillId="25" borderId="37" xfId="0" applyFont="1" applyFill="1" applyBorder="1" applyAlignment="1">
      <alignment horizontal="center"/>
    </xf>
    <xf numFmtId="0" fontId="75" fillId="5" borderId="34" xfId="0" applyFont="1" applyFill="1" applyBorder="1" applyAlignment="1">
      <alignment horizontal="right" vertical="top" wrapText="1"/>
    </xf>
    <xf numFmtId="0" fontId="75" fillId="5" borderId="0" xfId="0" applyFont="1" applyFill="1" applyAlignment="1">
      <alignment horizontal="right" vertical="top" wrapText="1"/>
    </xf>
    <xf numFmtId="0" fontId="75" fillId="5" borderId="42" xfId="0" applyFont="1" applyFill="1" applyBorder="1" applyAlignment="1">
      <alignment horizontal="right" vertical="top" wrapText="1"/>
    </xf>
    <xf numFmtId="0" fontId="69" fillId="25" borderId="33" xfId="0" applyFont="1" applyFill="1" applyBorder="1" applyAlignment="1">
      <alignment horizontal="left" vertical="center"/>
    </xf>
    <xf numFmtId="0" fontId="69" fillId="25" borderId="34" xfId="0" applyFont="1" applyFill="1" applyBorder="1" applyAlignment="1">
      <alignment horizontal="left" vertical="center"/>
    </xf>
    <xf numFmtId="0" fontId="69" fillId="25" borderId="41" xfId="0" applyFont="1" applyFill="1" applyBorder="1" applyAlignment="1">
      <alignment horizontal="left" vertical="center"/>
    </xf>
    <xf numFmtId="0" fontId="69" fillId="25" borderId="42" xfId="0" applyFont="1" applyFill="1" applyBorder="1" applyAlignment="1">
      <alignment horizontal="left" vertical="center"/>
    </xf>
    <xf numFmtId="0" fontId="69" fillId="25" borderId="34" xfId="0" applyFont="1" applyFill="1" applyBorder="1" applyAlignment="1">
      <alignment horizontal="right" vertical="center" wrapText="1"/>
    </xf>
    <xf numFmtId="0" fontId="69" fillId="25" borderId="42" xfId="0" applyFont="1" applyFill="1" applyBorder="1" applyAlignment="1">
      <alignment horizontal="right" vertical="center" wrapText="1"/>
    </xf>
    <xf numFmtId="0" fontId="69" fillId="25" borderId="35" xfId="0" applyFont="1" applyFill="1" applyBorder="1" applyAlignment="1">
      <alignment horizontal="right" vertical="center" wrapText="1"/>
    </xf>
    <xf numFmtId="0" fontId="69" fillId="25" borderId="43" xfId="0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49" fillId="0" borderId="0" xfId="0" applyFont="1" applyAlignment="1">
      <alignment horizontal="center" vertical="center" wrapText="1"/>
    </xf>
    <xf numFmtId="0" fontId="0" fillId="0" borderId="0" xfId="0"/>
    <xf numFmtId="0" fontId="50" fillId="0" borderId="0" xfId="0" applyFont="1" applyAlignment="1">
      <alignment horizontal="center" vertical="center" wrapText="1"/>
    </xf>
  </cellXfs>
  <cellStyles count="24">
    <cellStyle name="Comma 2" xfId="7" xr:uid="{5795D091-7A4C-422A-B42B-AFF09EC36509}"/>
    <cellStyle name="Hyperlink" xfId="21" builtinId="8"/>
    <cellStyle name="Invisible" xfId="8" xr:uid="{274CB328-52C9-4394-B61F-316B0D2DB681}"/>
    <cellStyle name="Invisible 2" xfId="9" xr:uid="{1BA24090-4336-4D0C-AD23-C8E20DFB5AE0}"/>
    <cellStyle name="Normal" xfId="0" builtinId="0"/>
    <cellStyle name="Normal 2" xfId="2" xr:uid="{B0D9F533-A578-4018-B876-8FF9DA07C086}"/>
    <cellStyle name="Normal 2 2" xfId="3" xr:uid="{C6ABA299-4E3B-4E72-A2B6-04B76CAC0AB1}"/>
    <cellStyle name="Normal 2 2 2" xfId="11" xr:uid="{1FEC110A-D11F-4BB9-911D-180B7447BD78}"/>
    <cellStyle name="Normal 2 3" xfId="10" xr:uid="{48ACF000-AB78-4B4F-ADC3-04979DF5037E}"/>
    <cellStyle name="Normal 2 4" xfId="23" xr:uid="{8132B9F2-2454-47C6-8DA1-4D91B7B13B1B}"/>
    <cellStyle name="Normal 3" xfId="4" xr:uid="{650B8968-C215-4851-97E7-A6DCB73FCA94}"/>
    <cellStyle name="Normal 3 2" xfId="13" xr:uid="{A193B3C3-0A5A-4B16-B296-1EF908A69608}"/>
    <cellStyle name="Normal 3 3" xfId="12" xr:uid="{D82F57F0-B112-4D30-832B-CC6B97550924}"/>
    <cellStyle name="Normal 4" xfId="14" xr:uid="{1C4A8F9F-1F8A-4688-BAB1-6CA0A1B44B12}"/>
    <cellStyle name="Normal 5" xfId="15" xr:uid="{4A79B51C-FD03-49AB-A851-D4997D178B38}"/>
    <cellStyle name="Normal 6" xfId="16" xr:uid="{509A56A3-C781-4F44-8562-649B9F7A4F13}"/>
    <cellStyle name="Normal 7" xfId="17" xr:uid="{18507E33-53ED-48CE-9BD4-002542A9B1CD}"/>
    <cellStyle name="Normal 8" xfId="6" xr:uid="{E5097389-5188-41ED-BFB3-E09DC7C98041}"/>
    <cellStyle name="PB - Table Top Line" xfId="22" xr:uid="{27992C66-6C8A-4796-A765-04AC2150D39D}"/>
    <cellStyle name="Percent" xfId="1" builtinId="5"/>
    <cellStyle name="Percent 2" xfId="5" xr:uid="{67FBA53F-B97F-4CCB-9B76-EDC909094EC5}"/>
    <cellStyle name="Percent 2 2" xfId="19" xr:uid="{FCAD00B4-1FFE-4B72-A596-2E8681BF89ED}"/>
    <cellStyle name="Percent 3" xfId="20" xr:uid="{CB93FE1D-5FA1-4F7B-921C-B0E1E77EC2F3}"/>
    <cellStyle name="Percent 4" xfId="18" xr:uid="{0FE45234-B860-425C-9817-898AF87DF03A}"/>
  </cellStyles>
  <dxfs count="0"/>
  <tableStyles count="1" defaultTableStyle="TableStyleMedium2" defaultPivotStyle="PivotStyleLight16">
    <tableStyle name="Invisible" pivot="0" table="0" count="0" xr9:uid="{2BA64F5F-3CA5-449B-9CEB-039FFECBB130}"/>
  </tableStyles>
  <colors>
    <mruColors>
      <color rgb="FF95AECF"/>
      <color rgb="FFE7E6E6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eetMetadata" Target="metadata.xml"/><Relationship Id="rId30" Type="http://schemas.openxmlformats.org/officeDocument/2006/relationships/customXml" Target="../customXml/item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8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Valuation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Total Revenue</c:v>
          </c:tx>
          <c:spPr>
            <a:solidFill>
              <a:srgbClr val="3C5B7B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2024E</c:v>
              </c:pt>
              <c:pt idx="4">
                <c:v>2025E</c:v>
              </c:pt>
            </c:strLit>
          </c:cat>
          <c:val>
            <c:numLit>
              <c:formatCode>General</c:formatCode>
              <c:ptCount val="5"/>
              <c:pt idx="0">
                <c:v>14819</c:v>
              </c:pt>
              <c:pt idx="1">
                <c:v>15587</c:v>
              </c:pt>
              <c:pt idx="2">
                <c:v>14486</c:v>
              </c:pt>
              <c:pt idx="3">
                <c:v>17873</c:v>
              </c:pt>
              <c:pt idx="4">
                <c:v>20067.5</c:v>
              </c:pt>
            </c:numLit>
          </c:val>
          <c:extLst>
            <c:ext xmlns:c16="http://schemas.microsoft.com/office/drawing/2014/chart" uri="{C3380CC4-5D6E-409C-BE32-E72D297353CC}">
              <c16:uniqueId val="{00000000-10D8-4B1E-9BBA-97EBBDA4C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47904"/>
        <c:axId val="62357888"/>
      </c:barChart>
      <c:lineChart>
        <c:grouping val="standard"/>
        <c:varyColors val="0"/>
        <c:ser>
          <c:idx val="0"/>
          <c:order val="0"/>
          <c:tx>
            <c:v>EV to Revenue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5B7B"/>
              </a:solidFill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5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2024E</c:v>
              </c:pt>
              <c:pt idx="4">
                <c:v>2025E</c:v>
              </c:pt>
            </c:strLit>
          </c:cat>
          <c:val>
            <c:numLit>
              <c:formatCode>General</c:formatCode>
              <c:ptCount val="5"/>
              <c:pt idx="0">
                <c:v>2.4624708917478282</c:v>
              </c:pt>
              <c:pt idx="1">
                <c:v>1.7362390137827421</c:v>
              </c:pt>
              <c:pt idx="2">
                <c:v>2.0178335411112669</c:v>
              </c:pt>
              <c:pt idx="3">
                <c:v>1.5487108179376714</c:v>
              </c:pt>
              <c:pt idx="4">
                <c:v>1.3793501158091441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0D8-4B1E-9BBA-97EBBDA4C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60960"/>
        <c:axId val="62359424"/>
      </c:lineChart>
      <c:catAx>
        <c:axId val="62347904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57888"/>
        <c:crosses val="autoZero"/>
        <c:auto val="0"/>
        <c:lblAlgn val="ctr"/>
        <c:lblOffset val="100"/>
        <c:tickLblSkip val="1"/>
        <c:noMultiLvlLbl val="0"/>
      </c:catAx>
      <c:valAx>
        <c:axId val="623578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?_);\(#,##0.?\)" sourceLinked="0"/>
        <c:majorTickMark val="cross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47904"/>
        <c:crosses val="autoZero"/>
        <c:crossBetween val="between"/>
      </c:valAx>
      <c:valAx>
        <c:axId val="62359424"/>
        <c:scaling>
          <c:orientation val="minMax"/>
        </c:scaling>
        <c:delete val="0"/>
        <c:axPos val="r"/>
        <c:numFmt formatCode="0.0\x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60960"/>
        <c:crosses val="max"/>
        <c:crossBetween val="between"/>
      </c:valAx>
      <c:catAx>
        <c:axId val="6236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62359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8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YOY Growth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 % Growth</c:v>
          </c:tx>
          <c:spPr>
            <a:solidFill>
              <a:srgbClr val="3C5B7B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5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2024E</c:v>
              </c:pt>
              <c:pt idx="4">
                <c:v>2025E</c:v>
              </c:pt>
            </c:strLit>
          </c:cat>
          <c:val>
            <c:numLit>
              <c:formatCode>General</c:formatCode>
              <c:ptCount val="5"/>
              <c:pt idx="0">
                <c:v>0.19863824748371828</c:v>
              </c:pt>
              <c:pt idx="1">
                <c:v>0.2199720095496831</c:v>
              </c:pt>
              <c:pt idx="2">
                <c:v>5.1825359335987642E-2</c:v>
              </c:pt>
              <c:pt idx="3">
                <c:v>0.23381195637166918</c:v>
              </c:pt>
              <c:pt idx="4">
                <c:v>0.12278296872377337</c:v>
              </c:pt>
            </c:numLit>
          </c:val>
          <c:extLst>
            <c:ext xmlns:c16="http://schemas.microsoft.com/office/drawing/2014/chart" uri="{C3380CC4-5D6E-409C-BE32-E72D297353CC}">
              <c16:uniqueId val="{00000000-C4C2-4AE7-AEC1-9A849ADB7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85536"/>
        <c:axId val="62387328"/>
      </c:barChart>
      <c:catAx>
        <c:axId val="6238553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87328"/>
        <c:crosses val="autoZero"/>
        <c:auto val="1"/>
        <c:lblAlgn val="ctr"/>
        <c:lblOffset val="100"/>
        <c:noMultiLvlLbl val="0"/>
      </c:catAx>
      <c:valAx>
        <c:axId val="623873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%;\(0.0%\)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8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8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Price Volume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Volume</c:v>
          </c:tx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}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A7C-4BB9-86E0-6B131BF1E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058496"/>
        <c:axId val="62052224"/>
      </c:barChart>
      <c:lineChart>
        <c:grouping val="standard"/>
        <c:varyColors val="0"/>
        <c:ser>
          <c:idx val="1"/>
          <c:order val="1"/>
          <c:tx>
            <c:v>Price</c:v>
          </c:tx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}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A7C-4BB9-86E0-6B131BF1E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40704"/>
        <c:axId val="62050688"/>
      </c:lineChart>
      <c:dateAx>
        <c:axId val="62040704"/>
        <c:scaling>
          <c:orientation val="minMax"/>
        </c:scaling>
        <c:delete val="0"/>
        <c:axPos val="b"/>
        <c:numFmt formatCode="dd\-mmm\-yy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050688"/>
        <c:crosses val="autoZero"/>
        <c:auto val="0"/>
        <c:lblOffset val="100"/>
        <c:baseTimeUnit val="days"/>
      </c:dateAx>
      <c:valAx>
        <c:axId val="620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#,##0.00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040704"/>
        <c:crosses val="autoZero"/>
        <c:crossBetween val="between"/>
      </c:valAx>
      <c:valAx>
        <c:axId val="62052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62058496"/>
        <c:crosses val="max"/>
        <c:crossBetween val="between"/>
        <c:dispUnits>
          <c:builtInUnit val="millions"/>
        </c:dispUnits>
      </c:valAx>
      <c:catAx>
        <c:axId val="62058496"/>
        <c:scaling>
          <c:orientation val="minMax"/>
        </c:scaling>
        <c:delete val="1"/>
        <c:axPos val="b"/>
        <c:numFmt formatCode="dd\-mmm\-yy" sourceLinked="1"/>
        <c:majorTickMark val="out"/>
        <c:minorTickMark val="none"/>
        <c:tickLblPos val="none"/>
        <c:crossAx val="62052224"/>
        <c:crosses val="autoZero"/>
        <c:auto val="1"/>
        <c:lblAlgn val="ctr"/>
        <c:lblOffset val="100"/>
        <c:tickLblSkip val="1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'Football feild chart_Vestas'!$D$5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feild chart_Vestas'!$C$6:$C$10</c:f>
              <c:strCache>
                <c:ptCount val="5"/>
                <c:pt idx="0">
                  <c:v>Optimistic
Case (DCF)</c:v>
                </c:pt>
                <c:pt idx="1">
                  <c:v>Street
Case (DCF)</c:v>
                </c:pt>
                <c:pt idx="2">
                  <c:v>Conservative
Case (DCF)</c:v>
                </c:pt>
                <c:pt idx="3">
                  <c:v>EV/Sales
Multiple</c:v>
                </c:pt>
                <c:pt idx="4">
                  <c:v>52 week share 
price movement</c:v>
                </c:pt>
              </c:strCache>
            </c:strRef>
          </c:cat>
          <c:val>
            <c:numRef>
              <c:f>'Football feild chart_Vestas'!$D$6:$D$10</c:f>
              <c:numCache>
                <c:formatCode>0.0</c:formatCode>
                <c:ptCount val="5"/>
                <c:pt idx="0">
                  <c:v>25.21259193124552</c:v>
                </c:pt>
                <c:pt idx="1">
                  <c:v>15.078329675873116</c:v>
                </c:pt>
                <c:pt idx="2">
                  <c:v>9.4279142013185311</c:v>
                </c:pt>
                <c:pt idx="3">
                  <c:v>7.1498315012110423</c:v>
                </c:pt>
                <c:pt idx="4">
                  <c:v>17.650821155500005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3-4D68-B016-A942489E6E90}"/>
            </c:ext>
          </c:extLst>
        </c:ser>
        <c:ser>
          <c:idx val="1"/>
          <c:order val="1"/>
          <c:tx>
            <c:strRef>
              <c:f>'Football feild chart_Vestas'!$E$5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rgbClr val="95AECF"/>
            </a:solidFill>
            <a:ln>
              <a:noFill/>
            </a:ln>
            <a:effectLst/>
          </c:spPr>
          <c:invertIfNegative val="0"/>
          <c:cat>
            <c:strRef>
              <c:f>'Football feild chart_Vestas'!$C$6:$C$10</c:f>
              <c:strCache>
                <c:ptCount val="5"/>
                <c:pt idx="0">
                  <c:v>Optimistic
Case (DCF)</c:v>
                </c:pt>
                <c:pt idx="1">
                  <c:v>Street
Case (DCF)</c:v>
                </c:pt>
                <c:pt idx="2">
                  <c:v>Conservative
Case (DCF)</c:v>
                </c:pt>
                <c:pt idx="3">
                  <c:v>EV/Sales
Multiple</c:v>
                </c:pt>
                <c:pt idx="4">
                  <c:v>52 week share 
price movement</c:v>
                </c:pt>
              </c:strCache>
            </c:strRef>
          </c:cat>
          <c:val>
            <c:numRef>
              <c:f>'Football feild chart_Vestas'!$E$6:$E$10</c:f>
              <c:numCache>
                <c:formatCode>0.0</c:formatCode>
                <c:ptCount val="5"/>
                <c:pt idx="0">
                  <c:v>25.10328317748953</c:v>
                </c:pt>
                <c:pt idx="1">
                  <c:v>11.256083210641952</c:v>
                </c:pt>
                <c:pt idx="2">
                  <c:v>6.045816344427573</c:v>
                </c:pt>
                <c:pt idx="3">
                  <c:v>31.337701782956312</c:v>
                </c:pt>
                <c:pt idx="4">
                  <c:v>14.835219413399997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3-4D68-B016-A942489E6E90}"/>
            </c:ext>
          </c:extLst>
        </c:ser>
        <c:ser>
          <c:idx val="2"/>
          <c:order val="2"/>
          <c:tx>
            <c:strRef>
              <c:f>'Football feild chart_Vestas'!$F$5</c:f>
              <c:strCache>
                <c:ptCount val="1"/>
                <c:pt idx="0">
                  <c:v>High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feild chart_Vestas'!$C$6:$C$10</c:f>
              <c:strCache>
                <c:ptCount val="5"/>
                <c:pt idx="0">
                  <c:v>Optimistic
Case (DCF)</c:v>
                </c:pt>
                <c:pt idx="1">
                  <c:v>Street
Case (DCF)</c:v>
                </c:pt>
                <c:pt idx="2">
                  <c:v>Conservative
Case (DCF)</c:v>
                </c:pt>
                <c:pt idx="3">
                  <c:v>EV/Sales
Multiple</c:v>
                </c:pt>
                <c:pt idx="4">
                  <c:v>52 week share 
price movement</c:v>
                </c:pt>
              </c:strCache>
            </c:strRef>
          </c:cat>
          <c:val>
            <c:numRef>
              <c:f>'Football feild chart_Vestas'!$F$6:$F$10</c:f>
              <c:numCache>
                <c:formatCode>0.0</c:formatCode>
                <c:ptCount val="5"/>
                <c:pt idx="0">
                  <c:v>50.31587510873505</c:v>
                </c:pt>
                <c:pt idx="1">
                  <c:v>26.334412886515068</c:v>
                </c:pt>
                <c:pt idx="2">
                  <c:v>15.473730545746104</c:v>
                </c:pt>
                <c:pt idx="3">
                  <c:v>38.487533284167355</c:v>
                </c:pt>
                <c:pt idx="4">
                  <c:v>32.486040568900002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3-4D68-B016-A942489E6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9928192"/>
        <c:axId val="1869934432"/>
      </c:barChart>
      <c:catAx>
        <c:axId val="1869928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869934432"/>
        <c:crosses val="autoZero"/>
        <c:auto val="1"/>
        <c:lblAlgn val="ctr"/>
        <c:lblOffset val="100"/>
        <c:noMultiLvlLbl val="0"/>
      </c:catAx>
      <c:valAx>
        <c:axId val="1869934432"/>
        <c:scaling>
          <c:orientation val="minMax"/>
          <c:max val="8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86992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 b="1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'Vestas Stock Price Movement'!$M$1</c:f>
              <c:strCache>
                <c:ptCount val="1"/>
                <c:pt idx="0">
                  <c:v>Vestas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'Vestas Stock Price Movement'!$L$2:$L$1234</c:f>
              <c:numCache>
                <c:formatCode>m/d/yyyy</c:formatCode>
                <c:ptCount val="1233"/>
                <c:pt idx="0">
                  <c:v>43160</c:v>
                </c:pt>
                <c:pt idx="1">
                  <c:v>43161</c:v>
                </c:pt>
                <c:pt idx="2">
                  <c:v>43164</c:v>
                </c:pt>
                <c:pt idx="3">
                  <c:v>43165</c:v>
                </c:pt>
                <c:pt idx="4">
                  <c:v>43166</c:v>
                </c:pt>
                <c:pt idx="5">
                  <c:v>43167</c:v>
                </c:pt>
                <c:pt idx="6">
                  <c:v>43168</c:v>
                </c:pt>
                <c:pt idx="7">
                  <c:v>43171</c:v>
                </c:pt>
                <c:pt idx="8">
                  <c:v>43172</c:v>
                </c:pt>
                <c:pt idx="9">
                  <c:v>43173</c:v>
                </c:pt>
                <c:pt idx="10">
                  <c:v>43174</c:v>
                </c:pt>
                <c:pt idx="11">
                  <c:v>43175</c:v>
                </c:pt>
                <c:pt idx="12">
                  <c:v>43178</c:v>
                </c:pt>
                <c:pt idx="13">
                  <c:v>43179</c:v>
                </c:pt>
                <c:pt idx="14">
                  <c:v>43180</c:v>
                </c:pt>
                <c:pt idx="15">
                  <c:v>43181</c:v>
                </c:pt>
                <c:pt idx="16">
                  <c:v>43182</c:v>
                </c:pt>
                <c:pt idx="17">
                  <c:v>43185</c:v>
                </c:pt>
                <c:pt idx="18">
                  <c:v>43186</c:v>
                </c:pt>
                <c:pt idx="19">
                  <c:v>43187</c:v>
                </c:pt>
                <c:pt idx="20">
                  <c:v>43193</c:v>
                </c:pt>
                <c:pt idx="21">
                  <c:v>43194</c:v>
                </c:pt>
                <c:pt idx="22">
                  <c:v>43195</c:v>
                </c:pt>
                <c:pt idx="23">
                  <c:v>43196</c:v>
                </c:pt>
                <c:pt idx="24">
                  <c:v>43199</c:v>
                </c:pt>
                <c:pt idx="25">
                  <c:v>43200</c:v>
                </c:pt>
                <c:pt idx="26">
                  <c:v>43201</c:v>
                </c:pt>
                <c:pt idx="27">
                  <c:v>43202</c:v>
                </c:pt>
                <c:pt idx="28">
                  <c:v>43203</c:v>
                </c:pt>
                <c:pt idx="29">
                  <c:v>43206</c:v>
                </c:pt>
                <c:pt idx="30">
                  <c:v>43207</c:v>
                </c:pt>
                <c:pt idx="31">
                  <c:v>43208</c:v>
                </c:pt>
                <c:pt idx="32">
                  <c:v>43209</c:v>
                </c:pt>
                <c:pt idx="33">
                  <c:v>43210</c:v>
                </c:pt>
                <c:pt idx="34">
                  <c:v>43213</c:v>
                </c:pt>
                <c:pt idx="35">
                  <c:v>43214</c:v>
                </c:pt>
                <c:pt idx="36">
                  <c:v>43215</c:v>
                </c:pt>
                <c:pt idx="37">
                  <c:v>43216</c:v>
                </c:pt>
                <c:pt idx="38">
                  <c:v>43220</c:v>
                </c:pt>
                <c:pt idx="39">
                  <c:v>43222</c:v>
                </c:pt>
                <c:pt idx="40">
                  <c:v>43223</c:v>
                </c:pt>
                <c:pt idx="41">
                  <c:v>43224</c:v>
                </c:pt>
                <c:pt idx="42">
                  <c:v>43227</c:v>
                </c:pt>
                <c:pt idx="43">
                  <c:v>43228</c:v>
                </c:pt>
                <c:pt idx="44">
                  <c:v>43229</c:v>
                </c:pt>
                <c:pt idx="45">
                  <c:v>43234</c:v>
                </c:pt>
                <c:pt idx="46">
                  <c:v>43235</c:v>
                </c:pt>
                <c:pt idx="47">
                  <c:v>43236</c:v>
                </c:pt>
                <c:pt idx="48">
                  <c:v>43237</c:v>
                </c:pt>
                <c:pt idx="49">
                  <c:v>43238</c:v>
                </c:pt>
                <c:pt idx="50">
                  <c:v>43242</c:v>
                </c:pt>
                <c:pt idx="51">
                  <c:v>43243</c:v>
                </c:pt>
                <c:pt idx="52">
                  <c:v>43244</c:v>
                </c:pt>
                <c:pt idx="53">
                  <c:v>43245</c:v>
                </c:pt>
                <c:pt idx="54">
                  <c:v>43248</c:v>
                </c:pt>
                <c:pt idx="55">
                  <c:v>43249</c:v>
                </c:pt>
                <c:pt idx="56">
                  <c:v>43250</c:v>
                </c:pt>
                <c:pt idx="57">
                  <c:v>43251</c:v>
                </c:pt>
                <c:pt idx="58">
                  <c:v>43252</c:v>
                </c:pt>
                <c:pt idx="59">
                  <c:v>43255</c:v>
                </c:pt>
                <c:pt idx="60">
                  <c:v>43257</c:v>
                </c:pt>
                <c:pt idx="61">
                  <c:v>43258</c:v>
                </c:pt>
                <c:pt idx="62">
                  <c:v>43259</c:v>
                </c:pt>
                <c:pt idx="63">
                  <c:v>43262</c:v>
                </c:pt>
                <c:pt idx="64">
                  <c:v>43263</c:v>
                </c:pt>
                <c:pt idx="65">
                  <c:v>43264</c:v>
                </c:pt>
                <c:pt idx="66">
                  <c:v>43265</c:v>
                </c:pt>
                <c:pt idx="67">
                  <c:v>43266</c:v>
                </c:pt>
                <c:pt idx="68">
                  <c:v>43269</c:v>
                </c:pt>
                <c:pt idx="69">
                  <c:v>43270</c:v>
                </c:pt>
                <c:pt idx="70">
                  <c:v>43271</c:v>
                </c:pt>
                <c:pt idx="71">
                  <c:v>43272</c:v>
                </c:pt>
                <c:pt idx="72">
                  <c:v>43273</c:v>
                </c:pt>
                <c:pt idx="73">
                  <c:v>43276</c:v>
                </c:pt>
                <c:pt idx="74">
                  <c:v>43277</c:v>
                </c:pt>
                <c:pt idx="75">
                  <c:v>43278</c:v>
                </c:pt>
                <c:pt idx="76">
                  <c:v>43279</c:v>
                </c:pt>
                <c:pt idx="77">
                  <c:v>43280</c:v>
                </c:pt>
                <c:pt idx="78">
                  <c:v>43283</c:v>
                </c:pt>
                <c:pt idx="79">
                  <c:v>43284</c:v>
                </c:pt>
                <c:pt idx="80">
                  <c:v>43285</c:v>
                </c:pt>
                <c:pt idx="81">
                  <c:v>43286</c:v>
                </c:pt>
                <c:pt idx="82">
                  <c:v>43287</c:v>
                </c:pt>
                <c:pt idx="83">
                  <c:v>43290</c:v>
                </c:pt>
                <c:pt idx="84">
                  <c:v>43291</c:v>
                </c:pt>
                <c:pt idx="85">
                  <c:v>43292</c:v>
                </c:pt>
                <c:pt idx="86">
                  <c:v>43293</c:v>
                </c:pt>
                <c:pt idx="87">
                  <c:v>43294</c:v>
                </c:pt>
                <c:pt idx="88">
                  <c:v>43297</c:v>
                </c:pt>
                <c:pt idx="89">
                  <c:v>43298</c:v>
                </c:pt>
                <c:pt idx="90">
                  <c:v>43299</c:v>
                </c:pt>
                <c:pt idx="91">
                  <c:v>43300</c:v>
                </c:pt>
                <c:pt idx="92">
                  <c:v>43301</c:v>
                </c:pt>
                <c:pt idx="93">
                  <c:v>43304</c:v>
                </c:pt>
                <c:pt idx="94">
                  <c:v>43305</c:v>
                </c:pt>
                <c:pt idx="95">
                  <c:v>43306</c:v>
                </c:pt>
                <c:pt idx="96">
                  <c:v>43307</c:v>
                </c:pt>
                <c:pt idx="97">
                  <c:v>43308</c:v>
                </c:pt>
                <c:pt idx="98">
                  <c:v>43311</c:v>
                </c:pt>
                <c:pt idx="99">
                  <c:v>43312</c:v>
                </c:pt>
                <c:pt idx="100">
                  <c:v>43313</c:v>
                </c:pt>
                <c:pt idx="101">
                  <c:v>43314</c:v>
                </c:pt>
                <c:pt idx="102">
                  <c:v>43315</c:v>
                </c:pt>
                <c:pt idx="103">
                  <c:v>43318</c:v>
                </c:pt>
                <c:pt idx="104">
                  <c:v>43319</c:v>
                </c:pt>
                <c:pt idx="105">
                  <c:v>43320</c:v>
                </c:pt>
                <c:pt idx="106">
                  <c:v>43321</c:v>
                </c:pt>
                <c:pt idx="107">
                  <c:v>43322</c:v>
                </c:pt>
                <c:pt idx="108">
                  <c:v>43325</c:v>
                </c:pt>
                <c:pt idx="109">
                  <c:v>43326</c:v>
                </c:pt>
                <c:pt idx="110">
                  <c:v>43327</c:v>
                </c:pt>
                <c:pt idx="111">
                  <c:v>43328</c:v>
                </c:pt>
                <c:pt idx="112">
                  <c:v>43329</c:v>
                </c:pt>
                <c:pt idx="113">
                  <c:v>43332</c:v>
                </c:pt>
                <c:pt idx="114">
                  <c:v>43333</c:v>
                </c:pt>
                <c:pt idx="115">
                  <c:v>43334</c:v>
                </c:pt>
                <c:pt idx="116">
                  <c:v>43335</c:v>
                </c:pt>
                <c:pt idx="117">
                  <c:v>43336</c:v>
                </c:pt>
                <c:pt idx="118">
                  <c:v>43339</c:v>
                </c:pt>
                <c:pt idx="119">
                  <c:v>43340</c:v>
                </c:pt>
                <c:pt idx="120">
                  <c:v>43341</c:v>
                </c:pt>
                <c:pt idx="121">
                  <c:v>43342</c:v>
                </c:pt>
                <c:pt idx="122">
                  <c:v>43343</c:v>
                </c:pt>
                <c:pt idx="123">
                  <c:v>43346</c:v>
                </c:pt>
                <c:pt idx="124">
                  <c:v>43347</c:v>
                </c:pt>
                <c:pt idx="125">
                  <c:v>43348</c:v>
                </c:pt>
                <c:pt idx="126">
                  <c:v>43349</c:v>
                </c:pt>
                <c:pt idx="127">
                  <c:v>43350</c:v>
                </c:pt>
                <c:pt idx="128">
                  <c:v>43353</c:v>
                </c:pt>
                <c:pt idx="129">
                  <c:v>43354</c:v>
                </c:pt>
                <c:pt idx="130">
                  <c:v>43355</c:v>
                </c:pt>
                <c:pt idx="131">
                  <c:v>43356</c:v>
                </c:pt>
                <c:pt idx="132">
                  <c:v>43357</c:v>
                </c:pt>
                <c:pt idx="133">
                  <c:v>43360</c:v>
                </c:pt>
                <c:pt idx="134">
                  <c:v>43361</c:v>
                </c:pt>
                <c:pt idx="135">
                  <c:v>43362</c:v>
                </c:pt>
                <c:pt idx="136">
                  <c:v>43363</c:v>
                </c:pt>
                <c:pt idx="137">
                  <c:v>43364</c:v>
                </c:pt>
                <c:pt idx="138">
                  <c:v>43367</c:v>
                </c:pt>
                <c:pt idx="139">
                  <c:v>43368</c:v>
                </c:pt>
                <c:pt idx="140">
                  <c:v>43369</c:v>
                </c:pt>
                <c:pt idx="141">
                  <c:v>43370</c:v>
                </c:pt>
                <c:pt idx="142">
                  <c:v>43371</c:v>
                </c:pt>
                <c:pt idx="143">
                  <c:v>43374</c:v>
                </c:pt>
                <c:pt idx="144">
                  <c:v>43375</c:v>
                </c:pt>
                <c:pt idx="145">
                  <c:v>43376</c:v>
                </c:pt>
                <c:pt idx="146">
                  <c:v>43377</c:v>
                </c:pt>
                <c:pt idx="147">
                  <c:v>43378</c:v>
                </c:pt>
                <c:pt idx="148">
                  <c:v>43381</c:v>
                </c:pt>
                <c:pt idx="149">
                  <c:v>43382</c:v>
                </c:pt>
                <c:pt idx="150">
                  <c:v>43383</c:v>
                </c:pt>
                <c:pt idx="151">
                  <c:v>43384</c:v>
                </c:pt>
                <c:pt idx="152">
                  <c:v>43385</c:v>
                </c:pt>
                <c:pt idx="153">
                  <c:v>43388</c:v>
                </c:pt>
                <c:pt idx="154">
                  <c:v>43389</c:v>
                </c:pt>
                <c:pt idx="155">
                  <c:v>43390</c:v>
                </c:pt>
                <c:pt idx="156">
                  <c:v>43391</c:v>
                </c:pt>
                <c:pt idx="157">
                  <c:v>43392</c:v>
                </c:pt>
                <c:pt idx="158">
                  <c:v>43395</c:v>
                </c:pt>
                <c:pt idx="159">
                  <c:v>43396</c:v>
                </c:pt>
                <c:pt idx="160">
                  <c:v>43397</c:v>
                </c:pt>
                <c:pt idx="161">
                  <c:v>43398</c:v>
                </c:pt>
                <c:pt idx="162">
                  <c:v>43399</c:v>
                </c:pt>
                <c:pt idx="163">
                  <c:v>43402</c:v>
                </c:pt>
                <c:pt idx="164">
                  <c:v>43403</c:v>
                </c:pt>
                <c:pt idx="165">
                  <c:v>43404</c:v>
                </c:pt>
                <c:pt idx="166">
                  <c:v>43405</c:v>
                </c:pt>
                <c:pt idx="167">
                  <c:v>43406</c:v>
                </c:pt>
                <c:pt idx="168">
                  <c:v>43409</c:v>
                </c:pt>
                <c:pt idx="169">
                  <c:v>43410</c:v>
                </c:pt>
                <c:pt idx="170">
                  <c:v>43411</c:v>
                </c:pt>
                <c:pt idx="171">
                  <c:v>43412</c:v>
                </c:pt>
                <c:pt idx="172">
                  <c:v>43413</c:v>
                </c:pt>
                <c:pt idx="173">
                  <c:v>43416</c:v>
                </c:pt>
                <c:pt idx="174">
                  <c:v>43417</c:v>
                </c:pt>
                <c:pt idx="175">
                  <c:v>43418</c:v>
                </c:pt>
                <c:pt idx="176">
                  <c:v>43419</c:v>
                </c:pt>
                <c:pt idx="177">
                  <c:v>43420</c:v>
                </c:pt>
                <c:pt idx="178">
                  <c:v>43423</c:v>
                </c:pt>
                <c:pt idx="179">
                  <c:v>43424</c:v>
                </c:pt>
                <c:pt idx="180">
                  <c:v>43425</c:v>
                </c:pt>
                <c:pt idx="181">
                  <c:v>43426</c:v>
                </c:pt>
                <c:pt idx="182">
                  <c:v>43427</c:v>
                </c:pt>
                <c:pt idx="183">
                  <c:v>43430</c:v>
                </c:pt>
                <c:pt idx="184">
                  <c:v>43431</c:v>
                </c:pt>
                <c:pt idx="185">
                  <c:v>43432</c:v>
                </c:pt>
                <c:pt idx="186">
                  <c:v>43433</c:v>
                </c:pt>
                <c:pt idx="187">
                  <c:v>43434</c:v>
                </c:pt>
                <c:pt idx="188">
                  <c:v>43437</c:v>
                </c:pt>
                <c:pt idx="189">
                  <c:v>43438</c:v>
                </c:pt>
                <c:pt idx="190">
                  <c:v>43439</c:v>
                </c:pt>
                <c:pt idx="191">
                  <c:v>43440</c:v>
                </c:pt>
                <c:pt idx="192">
                  <c:v>43441</c:v>
                </c:pt>
                <c:pt idx="193">
                  <c:v>43444</c:v>
                </c:pt>
                <c:pt idx="194">
                  <c:v>43445</c:v>
                </c:pt>
                <c:pt idx="195">
                  <c:v>43446</c:v>
                </c:pt>
                <c:pt idx="196">
                  <c:v>43447</c:v>
                </c:pt>
                <c:pt idx="197">
                  <c:v>43448</c:v>
                </c:pt>
                <c:pt idx="198">
                  <c:v>43451</c:v>
                </c:pt>
                <c:pt idx="199">
                  <c:v>43452</c:v>
                </c:pt>
                <c:pt idx="200">
                  <c:v>43453</c:v>
                </c:pt>
                <c:pt idx="201">
                  <c:v>43454</c:v>
                </c:pt>
                <c:pt idx="202">
                  <c:v>43455</c:v>
                </c:pt>
                <c:pt idx="203">
                  <c:v>43461</c:v>
                </c:pt>
                <c:pt idx="204">
                  <c:v>43462</c:v>
                </c:pt>
                <c:pt idx="205">
                  <c:v>43467</c:v>
                </c:pt>
                <c:pt idx="206">
                  <c:v>43468</c:v>
                </c:pt>
                <c:pt idx="207">
                  <c:v>43469</c:v>
                </c:pt>
                <c:pt idx="208">
                  <c:v>43472</c:v>
                </c:pt>
                <c:pt idx="209">
                  <c:v>43473</c:v>
                </c:pt>
                <c:pt idx="210">
                  <c:v>43474</c:v>
                </c:pt>
                <c:pt idx="211">
                  <c:v>43475</c:v>
                </c:pt>
                <c:pt idx="212">
                  <c:v>43476</c:v>
                </c:pt>
                <c:pt idx="213">
                  <c:v>43479</c:v>
                </c:pt>
                <c:pt idx="214">
                  <c:v>43480</c:v>
                </c:pt>
                <c:pt idx="215">
                  <c:v>43481</c:v>
                </c:pt>
                <c:pt idx="216">
                  <c:v>43482</c:v>
                </c:pt>
                <c:pt idx="217">
                  <c:v>43483</c:v>
                </c:pt>
                <c:pt idx="218">
                  <c:v>43486</c:v>
                </c:pt>
                <c:pt idx="219">
                  <c:v>43487</c:v>
                </c:pt>
                <c:pt idx="220">
                  <c:v>43488</c:v>
                </c:pt>
                <c:pt idx="221">
                  <c:v>43489</c:v>
                </c:pt>
                <c:pt idx="222">
                  <c:v>43490</c:v>
                </c:pt>
                <c:pt idx="223">
                  <c:v>43493</c:v>
                </c:pt>
                <c:pt idx="224">
                  <c:v>43494</c:v>
                </c:pt>
                <c:pt idx="225">
                  <c:v>43495</c:v>
                </c:pt>
                <c:pt idx="226">
                  <c:v>43496</c:v>
                </c:pt>
                <c:pt idx="227">
                  <c:v>43497</c:v>
                </c:pt>
                <c:pt idx="228">
                  <c:v>43500</c:v>
                </c:pt>
                <c:pt idx="229">
                  <c:v>43501</c:v>
                </c:pt>
                <c:pt idx="230">
                  <c:v>43502</c:v>
                </c:pt>
                <c:pt idx="231">
                  <c:v>43503</c:v>
                </c:pt>
                <c:pt idx="232">
                  <c:v>43504</c:v>
                </c:pt>
                <c:pt idx="233">
                  <c:v>43507</c:v>
                </c:pt>
                <c:pt idx="234">
                  <c:v>43508</c:v>
                </c:pt>
                <c:pt idx="235">
                  <c:v>43509</c:v>
                </c:pt>
                <c:pt idx="236">
                  <c:v>43510</c:v>
                </c:pt>
                <c:pt idx="237">
                  <c:v>43511</c:v>
                </c:pt>
                <c:pt idx="238">
                  <c:v>43514</c:v>
                </c:pt>
                <c:pt idx="239">
                  <c:v>43515</c:v>
                </c:pt>
                <c:pt idx="240">
                  <c:v>43516</c:v>
                </c:pt>
                <c:pt idx="241">
                  <c:v>43517</c:v>
                </c:pt>
                <c:pt idx="242">
                  <c:v>43518</c:v>
                </c:pt>
                <c:pt idx="243">
                  <c:v>43521</c:v>
                </c:pt>
                <c:pt idx="244">
                  <c:v>43522</c:v>
                </c:pt>
                <c:pt idx="245">
                  <c:v>43523</c:v>
                </c:pt>
                <c:pt idx="246">
                  <c:v>43524</c:v>
                </c:pt>
                <c:pt idx="247">
                  <c:v>43525</c:v>
                </c:pt>
                <c:pt idx="248">
                  <c:v>43528</c:v>
                </c:pt>
                <c:pt idx="249">
                  <c:v>43529</c:v>
                </c:pt>
                <c:pt idx="250">
                  <c:v>43530</c:v>
                </c:pt>
                <c:pt idx="251">
                  <c:v>43531</c:v>
                </c:pt>
                <c:pt idx="252">
                  <c:v>43532</c:v>
                </c:pt>
                <c:pt idx="253">
                  <c:v>43535</c:v>
                </c:pt>
                <c:pt idx="254">
                  <c:v>43536</c:v>
                </c:pt>
                <c:pt idx="255">
                  <c:v>43537</c:v>
                </c:pt>
                <c:pt idx="256">
                  <c:v>43538</c:v>
                </c:pt>
                <c:pt idx="257">
                  <c:v>43539</c:v>
                </c:pt>
                <c:pt idx="258">
                  <c:v>43542</c:v>
                </c:pt>
                <c:pt idx="259">
                  <c:v>43543</c:v>
                </c:pt>
                <c:pt idx="260">
                  <c:v>43544</c:v>
                </c:pt>
                <c:pt idx="261">
                  <c:v>43545</c:v>
                </c:pt>
                <c:pt idx="262">
                  <c:v>43546</c:v>
                </c:pt>
                <c:pt idx="263">
                  <c:v>43549</c:v>
                </c:pt>
                <c:pt idx="264">
                  <c:v>43550</c:v>
                </c:pt>
                <c:pt idx="265">
                  <c:v>43551</c:v>
                </c:pt>
                <c:pt idx="266">
                  <c:v>43552</c:v>
                </c:pt>
                <c:pt idx="267">
                  <c:v>43553</c:v>
                </c:pt>
                <c:pt idx="268">
                  <c:v>43556</c:v>
                </c:pt>
                <c:pt idx="269">
                  <c:v>43557</c:v>
                </c:pt>
                <c:pt idx="270">
                  <c:v>43558</c:v>
                </c:pt>
                <c:pt idx="271">
                  <c:v>43559</c:v>
                </c:pt>
                <c:pt idx="272">
                  <c:v>43560</c:v>
                </c:pt>
                <c:pt idx="273">
                  <c:v>43563</c:v>
                </c:pt>
                <c:pt idx="274">
                  <c:v>43564</c:v>
                </c:pt>
                <c:pt idx="275">
                  <c:v>43565</c:v>
                </c:pt>
                <c:pt idx="276">
                  <c:v>43566</c:v>
                </c:pt>
                <c:pt idx="277">
                  <c:v>43567</c:v>
                </c:pt>
                <c:pt idx="278">
                  <c:v>43570</c:v>
                </c:pt>
                <c:pt idx="279">
                  <c:v>43571</c:v>
                </c:pt>
                <c:pt idx="280">
                  <c:v>43572</c:v>
                </c:pt>
                <c:pt idx="281">
                  <c:v>43578</c:v>
                </c:pt>
                <c:pt idx="282">
                  <c:v>43579</c:v>
                </c:pt>
                <c:pt idx="283">
                  <c:v>43580</c:v>
                </c:pt>
                <c:pt idx="284">
                  <c:v>43581</c:v>
                </c:pt>
                <c:pt idx="285">
                  <c:v>43584</c:v>
                </c:pt>
                <c:pt idx="286">
                  <c:v>43585</c:v>
                </c:pt>
                <c:pt idx="287">
                  <c:v>43587</c:v>
                </c:pt>
                <c:pt idx="288">
                  <c:v>43588</c:v>
                </c:pt>
                <c:pt idx="289">
                  <c:v>43591</c:v>
                </c:pt>
                <c:pt idx="290">
                  <c:v>43592</c:v>
                </c:pt>
                <c:pt idx="291">
                  <c:v>43593</c:v>
                </c:pt>
                <c:pt idx="292">
                  <c:v>43594</c:v>
                </c:pt>
                <c:pt idx="293">
                  <c:v>43595</c:v>
                </c:pt>
                <c:pt idx="294">
                  <c:v>43598</c:v>
                </c:pt>
                <c:pt idx="295">
                  <c:v>43599</c:v>
                </c:pt>
                <c:pt idx="296">
                  <c:v>43600</c:v>
                </c:pt>
                <c:pt idx="297">
                  <c:v>43601</c:v>
                </c:pt>
                <c:pt idx="298">
                  <c:v>43605</c:v>
                </c:pt>
                <c:pt idx="299">
                  <c:v>43606</c:v>
                </c:pt>
                <c:pt idx="300">
                  <c:v>43607</c:v>
                </c:pt>
                <c:pt idx="301">
                  <c:v>43608</c:v>
                </c:pt>
                <c:pt idx="302">
                  <c:v>43609</c:v>
                </c:pt>
                <c:pt idx="303">
                  <c:v>43612</c:v>
                </c:pt>
                <c:pt idx="304">
                  <c:v>43613</c:v>
                </c:pt>
                <c:pt idx="305">
                  <c:v>43614</c:v>
                </c:pt>
                <c:pt idx="306">
                  <c:v>43619</c:v>
                </c:pt>
                <c:pt idx="307">
                  <c:v>43620</c:v>
                </c:pt>
                <c:pt idx="308">
                  <c:v>43623</c:v>
                </c:pt>
                <c:pt idx="309">
                  <c:v>43627</c:v>
                </c:pt>
                <c:pt idx="310">
                  <c:v>43628</c:v>
                </c:pt>
                <c:pt idx="311">
                  <c:v>43629</c:v>
                </c:pt>
                <c:pt idx="312">
                  <c:v>43630</c:v>
                </c:pt>
                <c:pt idx="313">
                  <c:v>43634</c:v>
                </c:pt>
                <c:pt idx="314">
                  <c:v>43635</c:v>
                </c:pt>
                <c:pt idx="315">
                  <c:v>43636</c:v>
                </c:pt>
                <c:pt idx="316">
                  <c:v>43640</c:v>
                </c:pt>
                <c:pt idx="317">
                  <c:v>43641</c:v>
                </c:pt>
                <c:pt idx="318">
                  <c:v>43642</c:v>
                </c:pt>
                <c:pt idx="319">
                  <c:v>43643</c:v>
                </c:pt>
                <c:pt idx="320">
                  <c:v>43644</c:v>
                </c:pt>
                <c:pt idx="321">
                  <c:v>43647</c:v>
                </c:pt>
                <c:pt idx="322">
                  <c:v>43648</c:v>
                </c:pt>
                <c:pt idx="323">
                  <c:v>43649</c:v>
                </c:pt>
                <c:pt idx="324">
                  <c:v>43650</c:v>
                </c:pt>
                <c:pt idx="325">
                  <c:v>43651</c:v>
                </c:pt>
                <c:pt idx="326">
                  <c:v>43654</c:v>
                </c:pt>
                <c:pt idx="327">
                  <c:v>43655</c:v>
                </c:pt>
                <c:pt idx="328">
                  <c:v>43656</c:v>
                </c:pt>
                <c:pt idx="329">
                  <c:v>43657</c:v>
                </c:pt>
                <c:pt idx="330">
                  <c:v>43658</c:v>
                </c:pt>
                <c:pt idx="331">
                  <c:v>43661</c:v>
                </c:pt>
                <c:pt idx="332">
                  <c:v>43662</c:v>
                </c:pt>
                <c:pt idx="333">
                  <c:v>43663</c:v>
                </c:pt>
                <c:pt idx="334">
                  <c:v>43664</c:v>
                </c:pt>
                <c:pt idx="335">
                  <c:v>43665</c:v>
                </c:pt>
                <c:pt idx="336">
                  <c:v>43668</c:v>
                </c:pt>
                <c:pt idx="337">
                  <c:v>43669</c:v>
                </c:pt>
                <c:pt idx="338">
                  <c:v>43670</c:v>
                </c:pt>
                <c:pt idx="339">
                  <c:v>43671</c:v>
                </c:pt>
                <c:pt idx="340">
                  <c:v>43672</c:v>
                </c:pt>
                <c:pt idx="341">
                  <c:v>43675</c:v>
                </c:pt>
                <c:pt idx="342">
                  <c:v>43676</c:v>
                </c:pt>
                <c:pt idx="343">
                  <c:v>43677</c:v>
                </c:pt>
                <c:pt idx="344">
                  <c:v>43678</c:v>
                </c:pt>
                <c:pt idx="345">
                  <c:v>43679</c:v>
                </c:pt>
                <c:pt idx="346">
                  <c:v>43683</c:v>
                </c:pt>
                <c:pt idx="347">
                  <c:v>43684</c:v>
                </c:pt>
                <c:pt idx="348">
                  <c:v>43685</c:v>
                </c:pt>
                <c:pt idx="349">
                  <c:v>43686</c:v>
                </c:pt>
                <c:pt idx="350">
                  <c:v>43689</c:v>
                </c:pt>
                <c:pt idx="351">
                  <c:v>43690</c:v>
                </c:pt>
                <c:pt idx="352">
                  <c:v>43691</c:v>
                </c:pt>
                <c:pt idx="353">
                  <c:v>43692</c:v>
                </c:pt>
                <c:pt idx="354">
                  <c:v>43693</c:v>
                </c:pt>
                <c:pt idx="355">
                  <c:v>43696</c:v>
                </c:pt>
                <c:pt idx="356">
                  <c:v>43697</c:v>
                </c:pt>
                <c:pt idx="357">
                  <c:v>43698</c:v>
                </c:pt>
                <c:pt idx="358">
                  <c:v>43699</c:v>
                </c:pt>
                <c:pt idx="359">
                  <c:v>43700</c:v>
                </c:pt>
                <c:pt idx="360">
                  <c:v>43703</c:v>
                </c:pt>
                <c:pt idx="361">
                  <c:v>43704</c:v>
                </c:pt>
                <c:pt idx="362">
                  <c:v>43705</c:v>
                </c:pt>
                <c:pt idx="363">
                  <c:v>43706</c:v>
                </c:pt>
                <c:pt idx="364">
                  <c:v>43707</c:v>
                </c:pt>
                <c:pt idx="365">
                  <c:v>43710</c:v>
                </c:pt>
                <c:pt idx="366">
                  <c:v>43711</c:v>
                </c:pt>
                <c:pt idx="367">
                  <c:v>43712</c:v>
                </c:pt>
                <c:pt idx="368">
                  <c:v>43713</c:v>
                </c:pt>
                <c:pt idx="369">
                  <c:v>43714</c:v>
                </c:pt>
                <c:pt idx="370">
                  <c:v>43717</c:v>
                </c:pt>
                <c:pt idx="371">
                  <c:v>43718</c:v>
                </c:pt>
                <c:pt idx="372">
                  <c:v>43719</c:v>
                </c:pt>
                <c:pt idx="373">
                  <c:v>43720</c:v>
                </c:pt>
                <c:pt idx="374">
                  <c:v>43721</c:v>
                </c:pt>
                <c:pt idx="375">
                  <c:v>43724</c:v>
                </c:pt>
                <c:pt idx="376">
                  <c:v>43725</c:v>
                </c:pt>
                <c:pt idx="377">
                  <c:v>43726</c:v>
                </c:pt>
                <c:pt idx="378">
                  <c:v>43727</c:v>
                </c:pt>
                <c:pt idx="379">
                  <c:v>43728</c:v>
                </c:pt>
                <c:pt idx="380">
                  <c:v>43731</c:v>
                </c:pt>
                <c:pt idx="381">
                  <c:v>43732</c:v>
                </c:pt>
                <c:pt idx="382">
                  <c:v>43733</c:v>
                </c:pt>
                <c:pt idx="383">
                  <c:v>43734</c:v>
                </c:pt>
                <c:pt idx="384">
                  <c:v>43735</c:v>
                </c:pt>
                <c:pt idx="385">
                  <c:v>43738</c:v>
                </c:pt>
                <c:pt idx="386">
                  <c:v>43739</c:v>
                </c:pt>
                <c:pt idx="387">
                  <c:v>43740</c:v>
                </c:pt>
                <c:pt idx="388">
                  <c:v>43741</c:v>
                </c:pt>
                <c:pt idx="389">
                  <c:v>43742</c:v>
                </c:pt>
                <c:pt idx="390">
                  <c:v>43745</c:v>
                </c:pt>
                <c:pt idx="391">
                  <c:v>43746</c:v>
                </c:pt>
                <c:pt idx="392">
                  <c:v>43747</c:v>
                </c:pt>
                <c:pt idx="393">
                  <c:v>43748</c:v>
                </c:pt>
                <c:pt idx="394">
                  <c:v>43749</c:v>
                </c:pt>
                <c:pt idx="395">
                  <c:v>43752</c:v>
                </c:pt>
                <c:pt idx="396">
                  <c:v>43753</c:v>
                </c:pt>
                <c:pt idx="397">
                  <c:v>43754</c:v>
                </c:pt>
                <c:pt idx="398">
                  <c:v>43755</c:v>
                </c:pt>
                <c:pt idx="399">
                  <c:v>43756</c:v>
                </c:pt>
                <c:pt idx="400">
                  <c:v>43759</c:v>
                </c:pt>
                <c:pt idx="401">
                  <c:v>43760</c:v>
                </c:pt>
                <c:pt idx="402">
                  <c:v>43761</c:v>
                </c:pt>
                <c:pt idx="403">
                  <c:v>43762</c:v>
                </c:pt>
                <c:pt idx="404">
                  <c:v>43763</c:v>
                </c:pt>
                <c:pt idx="405">
                  <c:v>43766</c:v>
                </c:pt>
                <c:pt idx="406">
                  <c:v>43767</c:v>
                </c:pt>
                <c:pt idx="407">
                  <c:v>43768</c:v>
                </c:pt>
                <c:pt idx="408">
                  <c:v>43769</c:v>
                </c:pt>
                <c:pt idx="409">
                  <c:v>43770</c:v>
                </c:pt>
                <c:pt idx="410">
                  <c:v>43773</c:v>
                </c:pt>
                <c:pt idx="411">
                  <c:v>43774</c:v>
                </c:pt>
                <c:pt idx="412">
                  <c:v>43775</c:v>
                </c:pt>
                <c:pt idx="413">
                  <c:v>43776</c:v>
                </c:pt>
                <c:pt idx="414">
                  <c:v>43777</c:v>
                </c:pt>
                <c:pt idx="415">
                  <c:v>43780</c:v>
                </c:pt>
                <c:pt idx="416">
                  <c:v>43781</c:v>
                </c:pt>
                <c:pt idx="417">
                  <c:v>43782</c:v>
                </c:pt>
                <c:pt idx="418">
                  <c:v>43783</c:v>
                </c:pt>
                <c:pt idx="419">
                  <c:v>43784</c:v>
                </c:pt>
                <c:pt idx="420">
                  <c:v>43787</c:v>
                </c:pt>
                <c:pt idx="421">
                  <c:v>43788</c:v>
                </c:pt>
                <c:pt idx="422">
                  <c:v>43789</c:v>
                </c:pt>
                <c:pt idx="423">
                  <c:v>43790</c:v>
                </c:pt>
                <c:pt idx="424">
                  <c:v>43791</c:v>
                </c:pt>
                <c:pt idx="425">
                  <c:v>43794</c:v>
                </c:pt>
                <c:pt idx="426">
                  <c:v>43795</c:v>
                </c:pt>
                <c:pt idx="427">
                  <c:v>43796</c:v>
                </c:pt>
                <c:pt idx="428">
                  <c:v>43797</c:v>
                </c:pt>
                <c:pt idx="429">
                  <c:v>43798</c:v>
                </c:pt>
                <c:pt idx="430">
                  <c:v>43801</c:v>
                </c:pt>
                <c:pt idx="431">
                  <c:v>43802</c:v>
                </c:pt>
                <c:pt idx="432">
                  <c:v>43803</c:v>
                </c:pt>
                <c:pt idx="433">
                  <c:v>43804</c:v>
                </c:pt>
                <c:pt idx="434">
                  <c:v>43805</c:v>
                </c:pt>
                <c:pt idx="435">
                  <c:v>43808</c:v>
                </c:pt>
                <c:pt idx="436">
                  <c:v>43809</c:v>
                </c:pt>
                <c:pt idx="437">
                  <c:v>43810</c:v>
                </c:pt>
                <c:pt idx="438">
                  <c:v>43811</c:v>
                </c:pt>
                <c:pt idx="439">
                  <c:v>43812</c:v>
                </c:pt>
                <c:pt idx="440">
                  <c:v>43815</c:v>
                </c:pt>
                <c:pt idx="441">
                  <c:v>43816</c:v>
                </c:pt>
                <c:pt idx="442">
                  <c:v>43817</c:v>
                </c:pt>
                <c:pt idx="443">
                  <c:v>43818</c:v>
                </c:pt>
                <c:pt idx="444">
                  <c:v>43819</c:v>
                </c:pt>
                <c:pt idx="445">
                  <c:v>43822</c:v>
                </c:pt>
                <c:pt idx="446">
                  <c:v>43826</c:v>
                </c:pt>
                <c:pt idx="447">
                  <c:v>43829</c:v>
                </c:pt>
                <c:pt idx="448">
                  <c:v>43832</c:v>
                </c:pt>
                <c:pt idx="449">
                  <c:v>43833</c:v>
                </c:pt>
                <c:pt idx="450">
                  <c:v>43837</c:v>
                </c:pt>
                <c:pt idx="451">
                  <c:v>43838</c:v>
                </c:pt>
                <c:pt idx="452">
                  <c:v>43839</c:v>
                </c:pt>
                <c:pt idx="453">
                  <c:v>43840</c:v>
                </c:pt>
                <c:pt idx="454">
                  <c:v>43843</c:v>
                </c:pt>
                <c:pt idx="455">
                  <c:v>43844</c:v>
                </c:pt>
                <c:pt idx="456">
                  <c:v>43845</c:v>
                </c:pt>
                <c:pt idx="457">
                  <c:v>43846</c:v>
                </c:pt>
                <c:pt idx="458">
                  <c:v>43847</c:v>
                </c:pt>
                <c:pt idx="459">
                  <c:v>43850</c:v>
                </c:pt>
                <c:pt idx="460">
                  <c:v>43851</c:v>
                </c:pt>
                <c:pt idx="461">
                  <c:v>43852</c:v>
                </c:pt>
                <c:pt idx="462">
                  <c:v>43853</c:v>
                </c:pt>
                <c:pt idx="463">
                  <c:v>43854</c:v>
                </c:pt>
                <c:pt idx="464">
                  <c:v>43857</c:v>
                </c:pt>
                <c:pt idx="465">
                  <c:v>43858</c:v>
                </c:pt>
                <c:pt idx="466">
                  <c:v>43859</c:v>
                </c:pt>
                <c:pt idx="467">
                  <c:v>43860</c:v>
                </c:pt>
                <c:pt idx="468">
                  <c:v>43861</c:v>
                </c:pt>
                <c:pt idx="469">
                  <c:v>43864</c:v>
                </c:pt>
                <c:pt idx="470">
                  <c:v>43865</c:v>
                </c:pt>
                <c:pt idx="471">
                  <c:v>43866</c:v>
                </c:pt>
                <c:pt idx="472">
                  <c:v>43867</c:v>
                </c:pt>
                <c:pt idx="473">
                  <c:v>43868</c:v>
                </c:pt>
                <c:pt idx="474">
                  <c:v>43871</c:v>
                </c:pt>
                <c:pt idx="475">
                  <c:v>43872</c:v>
                </c:pt>
                <c:pt idx="476">
                  <c:v>43873</c:v>
                </c:pt>
                <c:pt idx="477">
                  <c:v>43874</c:v>
                </c:pt>
                <c:pt idx="478">
                  <c:v>43875</c:v>
                </c:pt>
                <c:pt idx="479">
                  <c:v>43878</c:v>
                </c:pt>
                <c:pt idx="480">
                  <c:v>43879</c:v>
                </c:pt>
                <c:pt idx="481">
                  <c:v>43880</c:v>
                </c:pt>
                <c:pt idx="482">
                  <c:v>43881</c:v>
                </c:pt>
                <c:pt idx="483">
                  <c:v>43882</c:v>
                </c:pt>
                <c:pt idx="484">
                  <c:v>43885</c:v>
                </c:pt>
                <c:pt idx="485">
                  <c:v>43886</c:v>
                </c:pt>
                <c:pt idx="486">
                  <c:v>43887</c:v>
                </c:pt>
                <c:pt idx="487">
                  <c:v>43888</c:v>
                </c:pt>
                <c:pt idx="488">
                  <c:v>43889</c:v>
                </c:pt>
                <c:pt idx="489">
                  <c:v>43892</c:v>
                </c:pt>
                <c:pt idx="490">
                  <c:v>43893</c:v>
                </c:pt>
                <c:pt idx="491">
                  <c:v>43894</c:v>
                </c:pt>
                <c:pt idx="492">
                  <c:v>43895</c:v>
                </c:pt>
                <c:pt idx="493">
                  <c:v>43896</c:v>
                </c:pt>
                <c:pt idx="494">
                  <c:v>43899</c:v>
                </c:pt>
                <c:pt idx="495">
                  <c:v>43900</c:v>
                </c:pt>
                <c:pt idx="496">
                  <c:v>43901</c:v>
                </c:pt>
                <c:pt idx="497">
                  <c:v>43902</c:v>
                </c:pt>
                <c:pt idx="498">
                  <c:v>43903</c:v>
                </c:pt>
                <c:pt idx="499">
                  <c:v>43906</c:v>
                </c:pt>
                <c:pt idx="500">
                  <c:v>43907</c:v>
                </c:pt>
                <c:pt idx="501">
                  <c:v>43908</c:v>
                </c:pt>
                <c:pt idx="502">
                  <c:v>43909</c:v>
                </c:pt>
                <c:pt idx="503">
                  <c:v>43910</c:v>
                </c:pt>
                <c:pt idx="504">
                  <c:v>43913</c:v>
                </c:pt>
                <c:pt idx="505">
                  <c:v>43914</c:v>
                </c:pt>
                <c:pt idx="506">
                  <c:v>43915</c:v>
                </c:pt>
                <c:pt idx="507">
                  <c:v>43916</c:v>
                </c:pt>
                <c:pt idx="508">
                  <c:v>43917</c:v>
                </c:pt>
                <c:pt idx="509">
                  <c:v>43920</c:v>
                </c:pt>
                <c:pt idx="510">
                  <c:v>43921</c:v>
                </c:pt>
                <c:pt idx="511">
                  <c:v>43922</c:v>
                </c:pt>
                <c:pt idx="512">
                  <c:v>43923</c:v>
                </c:pt>
                <c:pt idx="513">
                  <c:v>43924</c:v>
                </c:pt>
                <c:pt idx="514">
                  <c:v>43927</c:v>
                </c:pt>
                <c:pt idx="515">
                  <c:v>43928</c:v>
                </c:pt>
                <c:pt idx="516">
                  <c:v>43929</c:v>
                </c:pt>
                <c:pt idx="517">
                  <c:v>43935</c:v>
                </c:pt>
                <c:pt idx="518">
                  <c:v>43936</c:v>
                </c:pt>
                <c:pt idx="519">
                  <c:v>43937</c:v>
                </c:pt>
                <c:pt idx="520">
                  <c:v>43938</c:v>
                </c:pt>
                <c:pt idx="521">
                  <c:v>43941</c:v>
                </c:pt>
                <c:pt idx="522">
                  <c:v>43942</c:v>
                </c:pt>
                <c:pt idx="523">
                  <c:v>43943</c:v>
                </c:pt>
                <c:pt idx="524">
                  <c:v>43944</c:v>
                </c:pt>
                <c:pt idx="525">
                  <c:v>43945</c:v>
                </c:pt>
                <c:pt idx="526">
                  <c:v>43948</c:v>
                </c:pt>
                <c:pt idx="527">
                  <c:v>43949</c:v>
                </c:pt>
                <c:pt idx="528">
                  <c:v>43950</c:v>
                </c:pt>
                <c:pt idx="529">
                  <c:v>43951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43962</c:v>
                </c:pt>
                <c:pt idx="535">
                  <c:v>43963</c:v>
                </c:pt>
                <c:pt idx="536">
                  <c:v>43964</c:v>
                </c:pt>
                <c:pt idx="537">
                  <c:v>43965</c:v>
                </c:pt>
                <c:pt idx="538">
                  <c:v>43966</c:v>
                </c:pt>
                <c:pt idx="539">
                  <c:v>43969</c:v>
                </c:pt>
                <c:pt idx="540">
                  <c:v>43970</c:v>
                </c:pt>
                <c:pt idx="541">
                  <c:v>43971</c:v>
                </c:pt>
                <c:pt idx="542">
                  <c:v>43976</c:v>
                </c:pt>
                <c:pt idx="543">
                  <c:v>43977</c:v>
                </c:pt>
                <c:pt idx="544">
                  <c:v>43978</c:v>
                </c:pt>
                <c:pt idx="545">
                  <c:v>43979</c:v>
                </c:pt>
                <c:pt idx="546">
                  <c:v>43980</c:v>
                </c:pt>
                <c:pt idx="547">
                  <c:v>43984</c:v>
                </c:pt>
                <c:pt idx="548">
                  <c:v>43985</c:v>
                </c:pt>
                <c:pt idx="549">
                  <c:v>43986</c:v>
                </c:pt>
                <c:pt idx="550">
                  <c:v>43990</c:v>
                </c:pt>
                <c:pt idx="551">
                  <c:v>43991</c:v>
                </c:pt>
                <c:pt idx="552">
                  <c:v>43992</c:v>
                </c:pt>
                <c:pt idx="553">
                  <c:v>43993</c:v>
                </c:pt>
                <c:pt idx="554">
                  <c:v>43994</c:v>
                </c:pt>
                <c:pt idx="555">
                  <c:v>43997</c:v>
                </c:pt>
                <c:pt idx="556">
                  <c:v>43998</c:v>
                </c:pt>
                <c:pt idx="557">
                  <c:v>43999</c:v>
                </c:pt>
                <c:pt idx="558">
                  <c:v>44000</c:v>
                </c:pt>
                <c:pt idx="559">
                  <c:v>44004</c:v>
                </c:pt>
                <c:pt idx="560">
                  <c:v>44005</c:v>
                </c:pt>
                <c:pt idx="561">
                  <c:v>44006</c:v>
                </c:pt>
                <c:pt idx="562">
                  <c:v>44007</c:v>
                </c:pt>
                <c:pt idx="563">
                  <c:v>44008</c:v>
                </c:pt>
                <c:pt idx="564">
                  <c:v>44011</c:v>
                </c:pt>
                <c:pt idx="565">
                  <c:v>44012</c:v>
                </c:pt>
                <c:pt idx="566">
                  <c:v>44013</c:v>
                </c:pt>
                <c:pt idx="567">
                  <c:v>44014</c:v>
                </c:pt>
                <c:pt idx="568">
                  <c:v>44015</c:v>
                </c:pt>
                <c:pt idx="569">
                  <c:v>44018</c:v>
                </c:pt>
                <c:pt idx="570">
                  <c:v>44019</c:v>
                </c:pt>
                <c:pt idx="571">
                  <c:v>44020</c:v>
                </c:pt>
                <c:pt idx="572">
                  <c:v>44021</c:v>
                </c:pt>
                <c:pt idx="573">
                  <c:v>44022</c:v>
                </c:pt>
                <c:pt idx="574">
                  <c:v>44025</c:v>
                </c:pt>
                <c:pt idx="575">
                  <c:v>44026</c:v>
                </c:pt>
                <c:pt idx="576">
                  <c:v>44027</c:v>
                </c:pt>
                <c:pt idx="577">
                  <c:v>44028</c:v>
                </c:pt>
                <c:pt idx="578">
                  <c:v>44029</c:v>
                </c:pt>
                <c:pt idx="579">
                  <c:v>44032</c:v>
                </c:pt>
                <c:pt idx="580">
                  <c:v>44033</c:v>
                </c:pt>
                <c:pt idx="581">
                  <c:v>44034</c:v>
                </c:pt>
                <c:pt idx="582">
                  <c:v>44035</c:v>
                </c:pt>
                <c:pt idx="583">
                  <c:v>44036</c:v>
                </c:pt>
                <c:pt idx="584">
                  <c:v>44039</c:v>
                </c:pt>
                <c:pt idx="585">
                  <c:v>44040</c:v>
                </c:pt>
                <c:pt idx="586">
                  <c:v>44041</c:v>
                </c:pt>
                <c:pt idx="587">
                  <c:v>44042</c:v>
                </c:pt>
                <c:pt idx="588">
                  <c:v>44043</c:v>
                </c:pt>
                <c:pt idx="589">
                  <c:v>44046</c:v>
                </c:pt>
                <c:pt idx="590">
                  <c:v>44047</c:v>
                </c:pt>
                <c:pt idx="591">
                  <c:v>44048</c:v>
                </c:pt>
                <c:pt idx="592">
                  <c:v>44049</c:v>
                </c:pt>
                <c:pt idx="593">
                  <c:v>44050</c:v>
                </c:pt>
                <c:pt idx="594">
                  <c:v>44053</c:v>
                </c:pt>
                <c:pt idx="595">
                  <c:v>44054</c:v>
                </c:pt>
                <c:pt idx="596">
                  <c:v>44055</c:v>
                </c:pt>
                <c:pt idx="597">
                  <c:v>44056</c:v>
                </c:pt>
                <c:pt idx="598">
                  <c:v>44057</c:v>
                </c:pt>
                <c:pt idx="599">
                  <c:v>44060</c:v>
                </c:pt>
                <c:pt idx="600">
                  <c:v>44061</c:v>
                </c:pt>
                <c:pt idx="601">
                  <c:v>44062</c:v>
                </c:pt>
                <c:pt idx="602">
                  <c:v>44063</c:v>
                </c:pt>
                <c:pt idx="603">
                  <c:v>44064</c:v>
                </c:pt>
                <c:pt idx="604">
                  <c:v>44067</c:v>
                </c:pt>
                <c:pt idx="605">
                  <c:v>44068</c:v>
                </c:pt>
                <c:pt idx="606">
                  <c:v>44069</c:v>
                </c:pt>
                <c:pt idx="607">
                  <c:v>44070</c:v>
                </c:pt>
                <c:pt idx="608">
                  <c:v>44071</c:v>
                </c:pt>
                <c:pt idx="609">
                  <c:v>44074</c:v>
                </c:pt>
                <c:pt idx="610">
                  <c:v>44075</c:v>
                </c:pt>
                <c:pt idx="611">
                  <c:v>44076</c:v>
                </c:pt>
                <c:pt idx="612">
                  <c:v>44077</c:v>
                </c:pt>
                <c:pt idx="613">
                  <c:v>44078</c:v>
                </c:pt>
                <c:pt idx="614">
                  <c:v>44081</c:v>
                </c:pt>
                <c:pt idx="615">
                  <c:v>44082</c:v>
                </c:pt>
                <c:pt idx="616">
                  <c:v>44083</c:v>
                </c:pt>
                <c:pt idx="617">
                  <c:v>44084</c:v>
                </c:pt>
                <c:pt idx="618">
                  <c:v>44085</c:v>
                </c:pt>
                <c:pt idx="619">
                  <c:v>44088</c:v>
                </c:pt>
                <c:pt idx="620">
                  <c:v>44089</c:v>
                </c:pt>
                <c:pt idx="621">
                  <c:v>44090</c:v>
                </c:pt>
                <c:pt idx="622">
                  <c:v>44091</c:v>
                </c:pt>
                <c:pt idx="623">
                  <c:v>44092</c:v>
                </c:pt>
                <c:pt idx="624">
                  <c:v>44095</c:v>
                </c:pt>
                <c:pt idx="625">
                  <c:v>44096</c:v>
                </c:pt>
                <c:pt idx="626">
                  <c:v>44097</c:v>
                </c:pt>
                <c:pt idx="627">
                  <c:v>44098</c:v>
                </c:pt>
                <c:pt idx="628">
                  <c:v>44099</c:v>
                </c:pt>
                <c:pt idx="629">
                  <c:v>44102</c:v>
                </c:pt>
                <c:pt idx="630">
                  <c:v>44103</c:v>
                </c:pt>
                <c:pt idx="631">
                  <c:v>44104</c:v>
                </c:pt>
                <c:pt idx="632">
                  <c:v>44105</c:v>
                </c:pt>
                <c:pt idx="633">
                  <c:v>44106</c:v>
                </c:pt>
                <c:pt idx="634">
                  <c:v>44109</c:v>
                </c:pt>
                <c:pt idx="635">
                  <c:v>44110</c:v>
                </c:pt>
                <c:pt idx="636">
                  <c:v>44111</c:v>
                </c:pt>
                <c:pt idx="637">
                  <c:v>44112</c:v>
                </c:pt>
                <c:pt idx="638">
                  <c:v>44113</c:v>
                </c:pt>
                <c:pt idx="639">
                  <c:v>44116</c:v>
                </c:pt>
                <c:pt idx="640">
                  <c:v>44117</c:v>
                </c:pt>
                <c:pt idx="641">
                  <c:v>44118</c:v>
                </c:pt>
                <c:pt idx="642">
                  <c:v>44119</c:v>
                </c:pt>
                <c:pt idx="643">
                  <c:v>44120</c:v>
                </c:pt>
                <c:pt idx="644">
                  <c:v>44123</c:v>
                </c:pt>
                <c:pt idx="645">
                  <c:v>44124</c:v>
                </c:pt>
                <c:pt idx="646">
                  <c:v>44125</c:v>
                </c:pt>
                <c:pt idx="647">
                  <c:v>44126</c:v>
                </c:pt>
                <c:pt idx="648">
                  <c:v>44127</c:v>
                </c:pt>
                <c:pt idx="649">
                  <c:v>44130</c:v>
                </c:pt>
                <c:pt idx="650">
                  <c:v>44131</c:v>
                </c:pt>
                <c:pt idx="651">
                  <c:v>44132</c:v>
                </c:pt>
                <c:pt idx="652">
                  <c:v>44133</c:v>
                </c:pt>
                <c:pt idx="653">
                  <c:v>44134</c:v>
                </c:pt>
                <c:pt idx="654">
                  <c:v>44137</c:v>
                </c:pt>
                <c:pt idx="655">
                  <c:v>44138</c:v>
                </c:pt>
                <c:pt idx="656">
                  <c:v>44139</c:v>
                </c:pt>
                <c:pt idx="657">
                  <c:v>44140</c:v>
                </c:pt>
                <c:pt idx="658">
                  <c:v>44141</c:v>
                </c:pt>
                <c:pt idx="659">
                  <c:v>44144</c:v>
                </c:pt>
                <c:pt idx="660">
                  <c:v>44145</c:v>
                </c:pt>
                <c:pt idx="661">
                  <c:v>44146</c:v>
                </c:pt>
                <c:pt idx="662">
                  <c:v>44147</c:v>
                </c:pt>
                <c:pt idx="663">
                  <c:v>44148</c:v>
                </c:pt>
                <c:pt idx="664">
                  <c:v>44151</c:v>
                </c:pt>
                <c:pt idx="665">
                  <c:v>44152</c:v>
                </c:pt>
                <c:pt idx="666">
                  <c:v>44153</c:v>
                </c:pt>
                <c:pt idx="667">
                  <c:v>44154</c:v>
                </c:pt>
                <c:pt idx="668">
                  <c:v>44155</c:v>
                </c:pt>
                <c:pt idx="669">
                  <c:v>44158</c:v>
                </c:pt>
                <c:pt idx="670">
                  <c:v>44159</c:v>
                </c:pt>
                <c:pt idx="671">
                  <c:v>44160</c:v>
                </c:pt>
                <c:pt idx="672">
                  <c:v>44161</c:v>
                </c:pt>
                <c:pt idx="673">
                  <c:v>44162</c:v>
                </c:pt>
                <c:pt idx="674">
                  <c:v>44165</c:v>
                </c:pt>
                <c:pt idx="675">
                  <c:v>44166</c:v>
                </c:pt>
                <c:pt idx="676">
                  <c:v>44167</c:v>
                </c:pt>
                <c:pt idx="677">
                  <c:v>44168</c:v>
                </c:pt>
                <c:pt idx="678">
                  <c:v>44169</c:v>
                </c:pt>
                <c:pt idx="679">
                  <c:v>44172</c:v>
                </c:pt>
                <c:pt idx="680">
                  <c:v>44173</c:v>
                </c:pt>
                <c:pt idx="681">
                  <c:v>44174</c:v>
                </c:pt>
                <c:pt idx="682">
                  <c:v>44175</c:v>
                </c:pt>
                <c:pt idx="683">
                  <c:v>44176</c:v>
                </c:pt>
                <c:pt idx="684">
                  <c:v>44179</c:v>
                </c:pt>
                <c:pt idx="685">
                  <c:v>44180</c:v>
                </c:pt>
                <c:pt idx="686">
                  <c:v>44181</c:v>
                </c:pt>
                <c:pt idx="687">
                  <c:v>44182</c:v>
                </c:pt>
                <c:pt idx="688">
                  <c:v>44183</c:v>
                </c:pt>
                <c:pt idx="689">
                  <c:v>44186</c:v>
                </c:pt>
                <c:pt idx="690">
                  <c:v>44187</c:v>
                </c:pt>
                <c:pt idx="691">
                  <c:v>44188</c:v>
                </c:pt>
                <c:pt idx="692">
                  <c:v>44193</c:v>
                </c:pt>
                <c:pt idx="693">
                  <c:v>44194</c:v>
                </c:pt>
                <c:pt idx="694">
                  <c:v>44195</c:v>
                </c:pt>
                <c:pt idx="695">
                  <c:v>44200</c:v>
                </c:pt>
                <c:pt idx="696">
                  <c:v>44201</c:v>
                </c:pt>
                <c:pt idx="697">
                  <c:v>44203</c:v>
                </c:pt>
                <c:pt idx="698">
                  <c:v>44204</c:v>
                </c:pt>
                <c:pt idx="699">
                  <c:v>44207</c:v>
                </c:pt>
                <c:pt idx="700">
                  <c:v>44208</c:v>
                </c:pt>
                <c:pt idx="701">
                  <c:v>44209</c:v>
                </c:pt>
                <c:pt idx="702">
                  <c:v>44210</c:v>
                </c:pt>
                <c:pt idx="703">
                  <c:v>44211</c:v>
                </c:pt>
                <c:pt idx="704">
                  <c:v>44214</c:v>
                </c:pt>
                <c:pt idx="705">
                  <c:v>44215</c:v>
                </c:pt>
                <c:pt idx="706">
                  <c:v>44216</c:v>
                </c:pt>
                <c:pt idx="707">
                  <c:v>44217</c:v>
                </c:pt>
                <c:pt idx="708">
                  <c:v>44218</c:v>
                </c:pt>
                <c:pt idx="709">
                  <c:v>44221</c:v>
                </c:pt>
                <c:pt idx="710">
                  <c:v>44222</c:v>
                </c:pt>
                <c:pt idx="711">
                  <c:v>44223</c:v>
                </c:pt>
                <c:pt idx="712">
                  <c:v>44224</c:v>
                </c:pt>
                <c:pt idx="713">
                  <c:v>44225</c:v>
                </c:pt>
                <c:pt idx="714">
                  <c:v>44228</c:v>
                </c:pt>
                <c:pt idx="715">
                  <c:v>44229</c:v>
                </c:pt>
                <c:pt idx="716">
                  <c:v>44230</c:v>
                </c:pt>
                <c:pt idx="717">
                  <c:v>44231</c:v>
                </c:pt>
                <c:pt idx="718">
                  <c:v>44232</c:v>
                </c:pt>
                <c:pt idx="719">
                  <c:v>44235</c:v>
                </c:pt>
                <c:pt idx="720">
                  <c:v>44236</c:v>
                </c:pt>
                <c:pt idx="721">
                  <c:v>44237</c:v>
                </c:pt>
                <c:pt idx="722">
                  <c:v>44238</c:v>
                </c:pt>
                <c:pt idx="723">
                  <c:v>44239</c:v>
                </c:pt>
                <c:pt idx="724">
                  <c:v>44243</c:v>
                </c:pt>
                <c:pt idx="725">
                  <c:v>44245</c:v>
                </c:pt>
                <c:pt idx="726">
                  <c:v>44246</c:v>
                </c:pt>
                <c:pt idx="727">
                  <c:v>44249</c:v>
                </c:pt>
                <c:pt idx="728">
                  <c:v>44250</c:v>
                </c:pt>
                <c:pt idx="729">
                  <c:v>44251</c:v>
                </c:pt>
                <c:pt idx="730">
                  <c:v>44252</c:v>
                </c:pt>
                <c:pt idx="731">
                  <c:v>44253</c:v>
                </c:pt>
                <c:pt idx="732">
                  <c:v>44256</c:v>
                </c:pt>
                <c:pt idx="733">
                  <c:v>44257</c:v>
                </c:pt>
                <c:pt idx="734">
                  <c:v>44258</c:v>
                </c:pt>
                <c:pt idx="735">
                  <c:v>44259</c:v>
                </c:pt>
                <c:pt idx="736">
                  <c:v>44260</c:v>
                </c:pt>
                <c:pt idx="737">
                  <c:v>44263</c:v>
                </c:pt>
                <c:pt idx="738">
                  <c:v>44264</c:v>
                </c:pt>
                <c:pt idx="739">
                  <c:v>44265</c:v>
                </c:pt>
                <c:pt idx="740">
                  <c:v>44266</c:v>
                </c:pt>
                <c:pt idx="741">
                  <c:v>44267</c:v>
                </c:pt>
                <c:pt idx="742">
                  <c:v>44270</c:v>
                </c:pt>
                <c:pt idx="743">
                  <c:v>44271</c:v>
                </c:pt>
                <c:pt idx="744">
                  <c:v>44272</c:v>
                </c:pt>
                <c:pt idx="745">
                  <c:v>44273</c:v>
                </c:pt>
                <c:pt idx="746">
                  <c:v>44274</c:v>
                </c:pt>
                <c:pt idx="747">
                  <c:v>44277</c:v>
                </c:pt>
                <c:pt idx="748">
                  <c:v>44278</c:v>
                </c:pt>
                <c:pt idx="749">
                  <c:v>44279</c:v>
                </c:pt>
                <c:pt idx="750">
                  <c:v>44280</c:v>
                </c:pt>
                <c:pt idx="751">
                  <c:v>44281</c:v>
                </c:pt>
                <c:pt idx="752">
                  <c:v>44284</c:v>
                </c:pt>
                <c:pt idx="753">
                  <c:v>44285</c:v>
                </c:pt>
                <c:pt idx="754">
                  <c:v>44286</c:v>
                </c:pt>
                <c:pt idx="755">
                  <c:v>44292</c:v>
                </c:pt>
                <c:pt idx="756">
                  <c:v>44293</c:v>
                </c:pt>
                <c:pt idx="757">
                  <c:v>44294</c:v>
                </c:pt>
                <c:pt idx="758">
                  <c:v>44295</c:v>
                </c:pt>
                <c:pt idx="759">
                  <c:v>44298</c:v>
                </c:pt>
                <c:pt idx="760">
                  <c:v>44299</c:v>
                </c:pt>
                <c:pt idx="761">
                  <c:v>44300</c:v>
                </c:pt>
                <c:pt idx="762">
                  <c:v>44301</c:v>
                </c:pt>
                <c:pt idx="763">
                  <c:v>44302</c:v>
                </c:pt>
                <c:pt idx="764">
                  <c:v>44305</c:v>
                </c:pt>
                <c:pt idx="765">
                  <c:v>44306</c:v>
                </c:pt>
                <c:pt idx="766">
                  <c:v>44307</c:v>
                </c:pt>
                <c:pt idx="767">
                  <c:v>44308</c:v>
                </c:pt>
                <c:pt idx="768">
                  <c:v>44309</c:v>
                </c:pt>
                <c:pt idx="769">
                  <c:v>44312</c:v>
                </c:pt>
                <c:pt idx="770">
                  <c:v>44313</c:v>
                </c:pt>
                <c:pt idx="771">
                  <c:v>44314</c:v>
                </c:pt>
                <c:pt idx="772">
                  <c:v>44315</c:v>
                </c:pt>
                <c:pt idx="773">
                  <c:v>44319</c:v>
                </c:pt>
                <c:pt idx="774">
                  <c:v>44320</c:v>
                </c:pt>
                <c:pt idx="775">
                  <c:v>44321</c:v>
                </c:pt>
                <c:pt idx="776">
                  <c:v>44322</c:v>
                </c:pt>
                <c:pt idx="777">
                  <c:v>44323</c:v>
                </c:pt>
                <c:pt idx="778">
                  <c:v>44326</c:v>
                </c:pt>
                <c:pt idx="779">
                  <c:v>44327</c:v>
                </c:pt>
                <c:pt idx="780">
                  <c:v>44328</c:v>
                </c:pt>
                <c:pt idx="781">
                  <c:v>44333</c:v>
                </c:pt>
                <c:pt idx="782">
                  <c:v>44334</c:v>
                </c:pt>
                <c:pt idx="783">
                  <c:v>44335</c:v>
                </c:pt>
                <c:pt idx="784">
                  <c:v>44336</c:v>
                </c:pt>
                <c:pt idx="785">
                  <c:v>44337</c:v>
                </c:pt>
                <c:pt idx="786">
                  <c:v>44341</c:v>
                </c:pt>
                <c:pt idx="787">
                  <c:v>44342</c:v>
                </c:pt>
                <c:pt idx="788">
                  <c:v>44343</c:v>
                </c:pt>
                <c:pt idx="789">
                  <c:v>44344</c:v>
                </c:pt>
                <c:pt idx="790">
                  <c:v>44347</c:v>
                </c:pt>
                <c:pt idx="791">
                  <c:v>44348</c:v>
                </c:pt>
                <c:pt idx="792">
                  <c:v>44349</c:v>
                </c:pt>
                <c:pt idx="793">
                  <c:v>44350</c:v>
                </c:pt>
                <c:pt idx="794">
                  <c:v>44351</c:v>
                </c:pt>
                <c:pt idx="795">
                  <c:v>44354</c:v>
                </c:pt>
                <c:pt idx="796">
                  <c:v>44355</c:v>
                </c:pt>
                <c:pt idx="797">
                  <c:v>44356</c:v>
                </c:pt>
                <c:pt idx="798">
                  <c:v>44357</c:v>
                </c:pt>
                <c:pt idx="799">
                  <c:v>44358</c:v>
                </c:pt>
                <c:pt idx="800">
                  <c:v>44361</c:v>
                </c:pt>
                <c:pt idx="801">
                  <c:v>44362</c:v>
                </c:pt>
                <c:pt idx="802">
                  <c:v>44363</c:v>
                </c:pt>
                <c:pt idx="803">
                  <c:v>44364</c:v>
                </c:pt>
                <c:pt idx="804">
                  <c:v>44365</c:v>
                </c:pt>
                <c:pt idx="805">
                  <c:v>44368</c:v>
                </c:pt>
                <c:pt idx="806">
                  <c:v>44369</c:v>
                </c:pt>
                <c:pt idx="807">
                  <c:v>44370</c:v>
                </c:pt>
                <c:pt idx="808">
                  <c:v>44371</c:v>
                </c:pt>
                <c:pt idx="809">
                  <c:v>44375</c:v>
                </c:pt>
                <c:pt idx="810">
                  <c:v>44376</c:v>
                </c:pt>
                <c:pt idx="811">
                  <c:v>44377</c:v>
                </c:pt>
                <c:pt idx="812">
                  <c:v>44378</c:v>
                </c:pt>
                <c:pt idx="813">
                  <c:v>44379</c:v>
                </c:pt>
                <c:pt idx="814">
                  <c:v>44382</c:v>
                </c:pt>
                <c:pt idx="815">
                  <c:v>44383</c:v>
                </c:pt>
                <c:pt idx="816">
                  <c:v>44384</c:v>
                </c:pt>
                <c:pt idx="817">
                  <c:v>44385</c:v>
                </c:pt>
                <c:pt idx="818">
                  <c:v>44386</c:v>
                </c:pt>
                <c:pt idx="819">
                  <c:v>44389</c:v>
                </c:pt>
                <c:pt idx="820">
                  <c:v>44390</c:v>
                </c:pt>
                <c:pt idx="821">
                  <c:v>44391</c:v>
                </c:pt>
                <c:pt idx="822">
                  <c:v>44392</c:v>
                </c:pt>
                <c:pt idx="823">
                  <c:v>44393</c:v>
                </c:pt>
                <c:pt idx="824">
                  <c:v>44396</c:v>
                </c:pt>
                <c:pt idx="825">
                  <c:v>44397</c:v>
                </c:pt>
                <c:pt idx="826">
                  <c:v>44398</c:v>
                </c:pt>
                <c:pt idx="827">
                  <c:v>44399</c:v>
                </c:pt>
                <c:pt idx="828">
                  <c:v>44400</c:v>
                </c:pt>
                <c:pt idx="829">
                  <c:v>44403</c:v>
                </c:pt>
                <c:pt idx="830">
                  <c:v>44404</c:v>
                </c:pt>
                <c:pt idx="831">
                  <c:v>44405</c:v>
                </c:pt>
                <c:pt idx="832">
                  <c:v>44406</c:v>
                </c:pt>
                <c:pt idx="833">
                  <c:v>44407</c:v>
                </c:pt>
                <c:pt idx="834">
                  <c:v>44410</c:v>
                </c:pt>
                <c:pt idx="835">
                  <c:v>44411</c:v>
                </c:pt>
                <c:pt idx="836">
                  <c:v>44412</c:v>
                </c:pt>
                <c:pt idx="837">
                  <c:v>44413</c:v>
                </c:pt>
                <c:pt idx="838">
                  <c:v>44414</c:v>
                </c:pt>
                <c:pt idx="839">
                  <c:v>44417</c:v>
                </c:pt>
                <c:pt idx="840">
                  <c:v>44418</c:v>
                </c:pt>
                <c:pt idx="841">
                  <c:v>44419</c:v>
                </c:pt>
                <c:pt idx="842">
                  <c:v>44420</c:v>
                </c:pt>
                <c:pt idx="843">
                  <c:v>44421</c:v>
                </c:pt>
                <c:pt idx="844">
                  <c:v>44424</c:v>
                </c:pt>
                <c:pt idx="845">
                  <c:v>44425</c:v>
                </c:pt>
                <c:pt idx="846">
                  <c:v>44426</c:v>
                </c:pt>
                <c:pt idx="847">
                  <c:v>44427</c:v>
                </c:pt>
                <c:pt idx="848">
                  <c:v>44428</c:v>
                </c:pt>
                <c:pt idx="849">
                  <c:v>44431</c:v>
                </c:pt>
                <c:pt idx="850">
                  <c:v>44432</c:v>
                </c:pt>
                <c:pt idx="851">
                  <c:v>44433</c:v>
                </c:pt>
                <c:pt idx="852">
                  <c:v>44434</c:v>
                </c:pt>
                <c:pt idx="853">
                  <c:v>44435</c:v>
                </c:pt>
                <c:pt idx="854">
                  <c:v>44438</c:v>
                </c:pt>
                <c:pt idx="855">
                  <c:v>44439</c:v>
                </c:pt>
                <c:pt idx="856">
                  <c:v>44440</c:v>
                </c:pt>
                <c:pt idx="857">
                  <c:v>44441</c:v>
                </c:pt>
                <c:pt idx="858">
                  <c:v>44442</c:v>
                </c:pt>
                <c:pt idx="859">
                  <c:v>44445</c:v>
                </c:pt>
                <c:pt idx="860">
                  <c:v>44446</c:v>
                </c:pt>
                <c:pt idx="861">
                  <c:v>44447</c:v>
                </c:pt>
                <c:pt idx="862">
                  <c:v>44448</c:v>
                </c:pt>
                <c:pt idx="863">
                  <c:v>44449</c:v>
                </c:pt>
                <c:pt idx="864">
                  <c:v>44452</c:v>
                </c:pt>
                <c:pt idx="865">
                  <c:v>44453</c:v>
                </c:pt>
                <c:pt idx="866">
                  <c:v>44454</c:v>
                </c:pt>
                <c:pt idx="867">
                  <c:v>44455</c:v>
                </c:pt>
                <c:pt idx="868">
                  <c:v>44456</c:v>
                </c:pt>
                <c:pt idx="869">
                  <c:v>44459</c:v>
                </c:pt>
                <c:pt idx="870">
                  <c:v>44460</c:v>
                </c:pt>
                <c:pt idx="871">
                  <c:v>44461</c:v>
                </c:pt>
                <c:pt idx="872">
                  <c:v>44462</c:v>
                </c:pt>
                <c:pt idx="873">
                  <c:v>44463</c:v>
                </c:pt>
                <c:pt idx="874">
                  <c:v>44466</c:v>
                </c:pt>
                <c:pt idx="875">
                  <c:v>44467</c:v>
                </c:pt>
                <c:pt idx="876">
                  <c:v>44468</c:v>
                </c:pt>
                <c:pt idx="877">
                  <c:v>44469</c:v>
                </c:pt>
                <c:pt idx="878">
                  <c:v>44470</c:v>
                </c:pt>
                <c:pt idx="879">
                  <c:v>44473</c:v>
                </c:pt>
                <c:pt idx="880">
                  <c:v>44474</c:v>
                </c:pt>
                <c:pt idx="881">
                  <c:v>44475</c:v>
                </c:pt>
                <c:pt idx="882">
                  <c:v>44476</c:v>
                </c:pt>
                <c:pt idx="883">
                  <c:v>44477</c:v>
                </c:pt>
                <c:pt idx="884">
                  <c:v>44480</c:v>
                </c:pt>
                <c:pt idx="885">
                  <c:v>44481</c:v>
                </c:pt>
                <c:pt idx="886">
                  <c:v>44482</c:v>
                </c:pt>
                <c:pt idx="887">
                  <c:v>44483</c:v>
                </c:pt>
                <c:pt idx="888">
                  <c:v>44484</c:v>
                </c:pt>
                <c:pt idx="889">
                  <c:v>44487</c:v>
                </c:pt>
                <c:pt idx="890">
                  <c:v>44488</c:v>
                </c:pt>
                <c:pt idx="891">
                  <c:v>44489</c:v>
                </c:pt>
                <c:pt idx="892">
                  <c:v>44490</c:v>
                </c:pt>
                <c:pt idx="893">
                  <c:v>44491</c:v>
                </c:pt>
                <c:pt idx="894">
                  <c:v>44494</c:v>
                </c:pt>
                <c:pt idx="895">
                  <c:v>44495</c:v>
                </c:pt>
                <c:pt idx="896">
                  <c:v>44496</c:v>
                </c:pt>
                <c:pt idx="897">
                  <c:v>44497</c:v>
                </c:pt>
                <c:pt idx="898">
                  <c:v>44498</c:v>
                </c:pt>
                <c:pt idx="899">
                  <c:v>44501</c:v>
                </c:pt>
                <c:pt idx="900">
                  <c:v>44502</c:v>
                </c:pt>
                <c:pt idx="901">
                  <c:v>44503</c:v>
                </c:pt>
                <c:pt idx="902">
                  <c:v>44504</c:v>
                </c:pt>
                <c:pt idx="903">
                  <c:v>44505</c:v>
                </c:pt>
                <c:pt idx="904">
                  <c:v>44508</c:v>
                </c:pt>
                <c:pt idx="905">
                  <c:v>44509</c:v>
                </c:pt>
                <c:pt idx="906">
                  <c:v>44510</c:v>
                </c:pt>
                <c:pt idx="907">
                  <c:v>44511</c:v>
                </c:pt>
                <c:pt idx="908">
                  <c:v>44512</c:v>
                </c:pt>
                <c:pt idx="909">
                  <c:v>44515</c:v>
                </c:pt>
                <c:pt idx="910">
                  <c:v>44516</c:v>
                </c:pt>
                <c:pt idx="911">
                  <c:v>44517</c:v>
                </c:pt>
                <c:pt idx="912">
                  <c:v>44518</c:v>
                </c:pt>
                <c:pt idx="913">
                  <c:v>44519</c:v>
                </c:pt>
                <c:pt idx="914">
                  <c:v>44522</c:v>
                </c:pt>
                <c:pt idx="915">
                  <c:v>44523</c:v>
                </c:pt>
                <c:pt idx="916">
                  <c:v>44524</c:v>
                </c:pt>
                <c:pt idx="917">
                  <c:v>44525</c:v>
                </c:pt>
                <c:pt idx="918">
                  <c:v>44526</c:v>
                </c:pt>
                <c:pt idx="919">
                  <c:v>44529</c:v>
                </c:pt>
                <c:pt idx="920">
                  <c:v>44530</c:v>
                </c:pt>
                <c:pt idx="921">
                  <c:v>44531</c:v>
                </c:pt>
                <c:pt idx="922">
                  <c:v>44532</c:v>
                </c:pt>
                <c:pt idx="923">
                  <c:v>44533</c:v>
                </c:pt>
                <c:pt idx="924">
                  <c:v>44536</c:v>
                </c:pt>
                <c:pt idx="925">
                  <c:v>44537</c:v>
                </c:pt>
                <c:pt idx="926">
                  <c:v>44538</c:v>
                </c:pt>
                <c:pt idx="927">
                  <c:v>44539</c:v>
                </c:pt>
                <c:pt idx="928">
                  <c:v>44540</c:v>
                </c:pt>
                <c:pt idx="929">
                  <c:v>44543</c:v>
                </c:pt>
                <c:pt idx="930">
                  <c:v>44544</c:v>
                </c:pt>
                <c:pt idx="931">
                  <c:v>44545</c:v>
                </c:pt>
                <c:pt idx="932">
                  <c:v>44546</c:v>
                </c:pt>
                <c:pt idx="933">
                  <c:v>44547</c:v>
                </c:pt>
                <c:pt idx="934">
                  <c:v>44550</c:v>
                </c:pt>
                <c:pt idx="935">
                  <c:v>44551</c:v>
                </c:pt>
                <c:pt idx="936">
                  <c:v>44552</c:v>
                </c:pt>
                <c:pt idx="937">
                  <c:v>44553</c:v>
                </c:pt>
                <c:pt idx="938">
                  <c:v>44557</c:v>
                </c:pt>
                <c:pt idx="939">
                  <c:v>44558</c:v>
                </c:pt>
                <c:pt idx="940">
                  <c:v>44559</c:v>
                </c:pt>
                <c:pt idx="941">
                  <c:v>44560</c:v>
                </c:pt>
                <c:pt idx="942">
                  <c:v>44564</c:v>
                </c:pt>
                <c:pt idx="943">
                  <c:v>44565</c:v>
                </c:pt>
                <c:pt idx="944">
                  <c:v>44566</c:v>
                </c:pt>
                <c:pt idx="945">
                  <c:v>44568</c:v>
                </c:pt>
                <c:pt idx="946">
                  <c:v>44571</c:v>
                </c:pt>
                <c:pt idx="947">
                  <c:v>44572</c:v>
                </c:pt>
                <c:pt idx="948">
                  <c:v>44573</c:v>
                </c:pt>
                <c:pt idx="949">
                  <c:v>44574</c:v>
                </c:pt>
                <c:pt idx="950">
                  <c:v>44575</c:v>
                </c:pt>
                <c:pt idx="951">
                  <c:v>44578</c:v>
                </c:pt>
                <c:pt idx="952">
                  <c:v>44579</c:v>
                </c:pt>
                <c:pt idx="953">
                  <c:v>44580</c:v>
                </c:pt>
                <c:pt idx="954">
                  <c:v>44581</c:v>
                </c:pt>
                <c:pt idx="955">
                  <c:v>44582</c:v>
                </c:pt>
                <c:pt idx="956">
                  <c:v>44585</c:v>
                </c:pt>
                <c:pt idx="957">
                  <c:v>44586</c:v>
                </c:pt>
                <c:pt idx="958">
                  <c:v>44587</c:v>
                </c:pt>
                <c:pt idx="959">
                  <c:v>44588</c:v>
                </c:pt>
                <c:pt idx="960">
                  <c:v>44589</c:v>
                </c:pt>
                <c:pt idx="961">
                  <c:v>44592</c:v>
                </c:pt>
                <c:pt idx="962">
                  <c:v>44593</c:v>
                </c:pt>
                <c:pt idx="963">
                  <c:v>44594</c:v>
                </c:pt>
                <c:pt idx="964">
                  <c:v>44595</c:v>
                </c:pt>
                <c:pt idx="965">
                  <c:v>44596</c:v>
                </c:pt>
                <c:pt idx="966">
                  <c:v>44599</c:v>
                </c:pt>
                <c:pt idx="967">
                  <c:v>44600</c:v>
                </c:pt>
                <c:pt idx="968">
                  <c:v>44601</c:v>
                </c:pt>
                <c:pt idx="969">
                  <c:v>44602</c:v>
                </c:pt>
                <c:pt idx="970">
                  <c:v>44603</c:v>
                </c:pt>
                <c:pt idx="971">
                  <c:v>44606</c:v>
                </c:pt>
                <c:pt idx="972">
                  <c:v>44607</c:v>
                </c:pt>
                <c:pt idx="973">
                  <c:v>44608</c:v>
                </c:pt>
                <c:pt idx="974">
                  <c:v>44609</c:v>
                </c:pt>
                <c:pt idx="975">
                  <c:v>44610</c:v>
                </c:pt>
                <c:pt idx="976">
                  <c:v>44613</c:v>
                </c:pt>
                <c:pt idx="977">
                  <c:v>44614</c:v>
                </c:pt>
                <c:pt idx="978">
                  <c:v>44615</c:v>
                </c:pt>
                <c:pt idx="979">
                  <c:v>44616</c:v>
                </c:pt>
                <c:pt idx="980">
                  <c:v>44617</c:v>
                </c:pt>
                <c:pt idx="981">
                  <c:v>44620</c:v>
                </c:pt>
                <c:pt idx="982">
                  <c:v>44621</c:v>
                </c:pt>
                <c:pt idx="983">
                  <c:v>44622</c:v>
                </c:pt>
                <c:pt idx="984">
                  <c:v>44623</c:v>
                </c:pt>
                <c:pt idx="985">
                  <c:v>44624</c:v>
                </c:pt>
                <c:pt idx="986">
                  <c:v>44627</c:v>
                </c:pt>
                <c:pt idx="987">
                  <c:v>44628</c:v>
                </c:pt>
                <c:pt idx="988">
                  <c:v>44629</c:v>
                </c:pt>
                <c:pt idx="989">
                  <c:v>44630</c:v>
                </c:pt>
                <c:pt idx="990">
                  <c:v>44631</c:v>
                </c:pt>
                <c:pt idx="991">
                  <c:v>44634</c:v>
                </c:pt>
                <c:pt idx="992">
                  <c:v>44635</c:v>
                </c:pt>
                <c:pt idx="993">
                  <c:v>44636</c:v>
                </c:pt>
                <c:pt idx="994">
                  <c:v>44637</c:v>
                </c:pt>
                <c:pt idx="995">
                  <c:v>44638</c:v>
                </c:pt>
                <c:pt idx="996">
                  <c:v>44641</c:v>
                </c:pt>
                <c:pt idx="997">
                  <c:v>44642</c:v>
                </c:pt>
                <c:pt idx="998">
                  <c:v>44643</c:v>
                </c:pt>
                <c:pt idx="999">
                  <c:v>44644</c:v>
                </c:pt>
                <c:pt idx="1000">
                  <c:v>44645</c:v>
                </c:pt>
                <c:pt idx="1001">
                  <c:v>44648</c:v>
                </c:pt>
                <c:pt idx="1002">
                  <c:v>44649</c:v>
                </c:pt>
                <c:pt idx="1003">
                  <c:v>44650</c:v>
                </c:pt>
                <c:pt idx="1004">
                  <c:v>44651</c:v>
                </c:pt>
                <c:pt idx="1005">
                  <c:v>44652</c:v>
                </c:pt>
                <c:pt idx="1006">
                  <c:v>44655</c:v>
                </c:pt>
                <c:pt idx="1007">
                  <c:v>44656</c:v>
                </c:pt>
                <c:pt idx="1008">
                  <c:v>44657</c:v>
                </c:pt>
                <c:pt idx="1009">
                  <c:v>44658</c:v>
                </c:pt>
                <c:pt idx="1010">
                  <c:v>44659</c:v>
                </c:pt>
                <c:pt idx="1011">
                  <c:v>44662</c:v>
                </c:pt>
                <c:pt idx="1012">
                  <c:v>44663</c:v>
                </c:pt>
                <c:pt idx="1013">
                  <c:v>44664</c:v>
                </c:pt>
                <c:pt idx="1014">
                  <c:v>44670</c:v>
                </c:pt>
                <c:pt idx="1015">
                  <c:v>44671</c:v>
                </c:pt>
                <c:pt idx="1016">
                  <c:v>44672</c:v>
                </c:pt>
                <c:pt idx="1017">
                  <c:v>44673</c:v>
                </c:pt>
                <c:pt idx="1018">
                  <c:v>44676</c:v>
                </c:pt>
                <c:pt idx="1019">
                  <c:v>44677</c:v>
                </c:pt>
                <c:pt idx="1020">
                  <c:v>44678</c:v>
                </c:pt>
                <c:pt idx="1021">
                  <c:v>44679</c:v>
                </c:pt>
                <c:pt idx="1022">
                  <c:v>44680</c:v>
                </c:pt>
                <c:pt idx="1023">
                  <c:v>44683</c:v>
                </c:pt>
                <c:pt idx="1024">
                  <c:v>44684</c:v>
                </c:pt>
                <c:pt idx="1025">
                  <c:v>44685</c:v>
                </c:pt>
                <c:pt idx="1026">
                  <c:v>44686</c:v>
                </c:pt>
                <c:pt idx="1027">
                  <c:v>44687</c:v>
                </c:pt>
                <c:pt idx="1028">
                  <c:v>44690</c:v>
                </c:pt>
                <c:pt idx="1029">
                  <c:v>44691</c:v>
                </c:pt>
                <c:pt idx="1030">
                  <c:v>44692</c:v>
                </c:pt>
                <c:pt idx="1031">
                  <c:v>44693</c:v>
                </c:pt>
                <c:pt idx="1032">
                  <c:v>44697</c:v>
                </c:pt>
                <c:pt idx="1033">
                  <c:v>44698</c:v>
                </c:pt>
                <c:pt idx="1034">
                  <c:v>44699</c:v>
                </c:pt>
                <c:pt idx="1035">
                  <c:v>44700</c:v>
                </c:pt>
                <c:pt idx="1036">
                  <c:v>44701</c:v>
                </c:pt>
                <c:pt idx="1037">
                  <c:v>44704</c:v>
                </c:pt>
                <c:pt idx="1038">
                  <c:v>44705</c:v>
                </c:pt>
                <c:pt idx="1039">
                  <c:v>44706</c:v>
                </c:pt>
                <c:pt idx="1040">
                  <c:v>44711</c:v>
                </c:pt>
                <c:pt idx="1041">
                  <c:v>44712</c:v>
                </c:pt>
                <c:pt idx="1042">
                  <c:v>44713</c:v>
                </c:pt>
                <c:pt idx="1043">
                  <c:v>44714</c:v>
                </c:pt>
                <c:pt idx="1044">
                  <c:v>44715</c:v>
                </c:pt>
                <c:pt idx="1045">
                  <c:v>44719</c:v>
                </c:pt>
                <c:pt idx="1046">
                  <c:v>44720</c:v>
                </c:pt>
                <c:pt idx="1047">
                  <c:v>44721</c:v>
                </c:pt>
                <c:pt idx="1048">
                  <c:v>44722</c:v>
                </c:pt>
                <c:pt idx="1049">
                  <c:v>44725</c:v>
                </c:pt>
                <c:pt idx="1050">
                  <c:v>44726</c:v>
                </c:pt>
                <c:pt idx="1051">
                  <c:v>44727</c:v>
                </c:pt>
                <c:pt idx="1052">
                  <c:v>44728</c:v>
                </c:pt>
                <c:pt idx="1053">
                  <c:v>44729</c:v>
                </c:pt>
                <c:pt idx="1054">
                  <c:v>44732</c:v>
                </c:pt>
                <c:pt idx="1055">
                  <c:v>44733</c:v>
                </c:pt>
                <c:pt idx="1056">
                  <c:v>44734</c:v>
                </c:pt>
                <c:pt idx="1057">
                  <c:v>44735</c:v>
                </c:pt>
                <c:pt idx="1058">
                  <c:v>44739</c:v>
                </c:pt>
                <c:pt idx="1059">
                  <c:v>44740</c:v>
                </c:pt>
                <c:pt idx="1060">
                  <c:v>44741</c:v>
                </c:pt>
                <c:pt idx="1061">
                  <c:v>44742</c:v>
                </c:pt>
                <c:pt idx="1062">
                  <c:v>44743</c:v>
                </c:pt>
                <c:pt idx="1063">
                  <c:v>44746</c:v>
                </c:pt>
                <c:pt idx="1064">
                  <c:v>44747</c:v>
                </c:pt>
                <c:pt idx="1065">
                  <c:v>44748</c:v>
                </c:pt>
                <c:pt idx="1066">
                  <c:v>44749</c:v>
                </c:pt>
                <c:pt idx="1067">
                  <c:v>44750</c:v>
                </c:pt>
                <c:pt idx="1068">
                  <c:v>44753</c:v>
                </c:pt>
                <c:pt idx="1069">
                  <c:v>44754</c:v>
                </c:pt>
                <c:pt idx="1070">
                  <c:v>44755</c:v>
                </c:pt>
                <c:pt idx="1071">
                  <c:v>44756</c:v>
                </c:pt>
                <c:pt idx="1072">
                  <c:v>44757</c:v>
                </c:pt>
                <c:pt idx="1073">
                  <c:v>44760</c:v>
                </c:pt>
                <c:pt idx="1074">
                  <c:v>44761</c:v>
                </c:pt>
                <c:pt idx="1075">
                  <c:v>44762</c:v>
                </c:pt>
                <c:pt idx="1076">
                  <c:v>44763</c:v>
                </c:pt>
                <c:pt idx="1077">
                  <c:v>44764</c:v>
                </c:pt>
                <c:pt idx="1078">
                  <c:v>44767</c:v>
                </c:pt>
                <c:pt idx="1079">
                  <c:v>44768</c:v>
                </c:pt>
                <c:pt idx="1080">
                  <c:v>44769</c:v>
                </c:pt>
                <c:pt idx="1081">
                  <c:v>44770</c:v>
                </c:pt>
                <c:pt idx="1082">
                  <c:v>44771</c:v>
                </c:pt>
                <c:pt idx="1083">
                  <c:v>44774</c:v>
                </c:pt>
                <c:pt idx="1084">
                  <c:v>44775</c:v>
                </c:pt>
                <c:pt idx="1085">
                  <c:v>44776</c:v>
                </c:pt>
                <c:pt idx="1086">
                  <c:v>44777</c:v>
                </c:pt>
                <c:pt idx="1087">
                  <c:v>44778</c:v>
                </c:pt>
                <c:pt idx="1088">
                  <c:v>44781</c:v>
                </c:pt>
                <c:pt idx="1089">
                  <c:v>44782</c:v>
                </c:pt>
                <c:pt idx="1090">
                  <c:v>44783</c:v>
                </c:pt>
                <c:pt idx="1091">
                  <c:v>44784</c:v>
                </c:pt>
                <c:pt idx="1092">
                  <c:v>44785</c:v>
                </c:pt>
                <c:pt idx="1093">
                  <c:v>44788</c:v>
                </c:pt>
                <c:pt idx="1094">
                  <c:v>44789</c:v>
                </c:pt>
                <c:pt idx="1095">
                  <c:v>44790</c:v>
                </c:pt>
                <c:pt idx="1096">
                  <c:v>44791</c:v>
                </c:pt>
                <c:pt idx="1097">
                  <c:v>44792</c:v>
                </c:pt>
                <c:pt idx="1098">
                  <c:v>44795</c:v>
                </c:pt>
                <c:pt idx="1099">
                  <c:v>44796</c:v>
                </c:pt>
                <c:pt idx="1100">
                  <c:v>44797</c:v>
                </c:pt>
                <c:pt idx="1101">
                  <c:v>44798</c:v>
                </c:pt>
                <c:pt idx="1102">
                  <c:v>44799</c:v>
                </c:pt>
                <c:pt idx="1103">
                  <c:v>44802</c:v>
                </c:pt>
                <c:pt idx="1104">
                  <c:v>44803</c:v>
                </c:pt>
                <c:pt idx="1105">
                  <c:v>44804</c:v>
                </c:pt>
                <c:pt idx="1106">
                  <c:v>44805</c:v>
                </c:pt>
                <c:pt idx="1107">
                  <c:v>44806</c:v>
                </c:pt>
                <c:pt idx="1108">
                  <c:v>44809</c:v>
                </c:pt>
                <c:pt idx="1109">
                  <c:v>44810</c:v>
                </c:pt>
                <c:pt idx="1110">
                  <c:v>44811</c:v>
                </c:pt>
                <c:pt idx="1111">
                  <c:v>44812</c:v>
                </c:pt>
                <c:pt idx="1112">
                  <c:v>44813</c:v>
                </c:pt>
                <c:pt idx="1113">
                  <c:v>44816</c:v>
                </c:pt>
                <c:pt idx="1114">
                  <c:v>44817</c:v>
                </c:pt>
                <c:pt idx="1115">
                  <c:v>44818</c:v>
                </c:pt>
                <c:pt idx="1116">
                  <c:v>44819</c:v>
                </c:pt>
                <c:pt idx="1117">
                  <c:v>44820</c:v>
                </c:pt>
                <c:pt idx="1118">
                  <c:v>44823</c:v>
                </c:pt>
                <c:pt idx="1119">
                  <c:v>44824</c:v>
                </c:pt>
                <c:pt idx="1120">
                  <c:v>44825</c:v>
                </c:pt>
                <c:pt idx="1121">
                  <c:v>44826</c:v>
                </c:pt>
                <c:pt idx="1122">
                  <c:v>44827</c:v>
                </c:pt>
                <c:pt idx="1123">
                  <c:v>44830</c:v>
                </c:pt>
                <c:pt idx="1124">
                  <c:v>44831</c:v>
                </c:pt>
                <c:pt idx="1125">
                  <c:v>44832</c:v>
                </c:pt>
                <c:pt idx="1126">
                  <c:v>44833</c:v>
                </c:pt>
                <c:pt idx="1127">
                  <c:v>44834</c:v>
                </c:pt>
                <c:pt idx="1128">
                  <c:v>44837</c:v>
                </c:pt>
                <c:pt idx="1129">
                  <c:v>44838</c:v>
                </c:pt>
                <c:pt idx="1130">
                  <c:v>44839</c:v>
                </c:pt>
                <c:pt idx="1131">
                  <c:v>44840</c:v>
                </c:pt>
                <c:pt idx="1132">
                  <c:v>44841</c:v>
                </c:pt>
                <c:pt idx="1133">
                  <c:v>44844</c:v>
                </c:pt>
                <c:pt idx="1134">
                  <c:v>44845</c:v>
                </c:pt>
                <c:pt idx="1135">
                  <c:v>44846</c:v>
                </c:pt>
                <c:pt idx="1136">
                  <c:v>44847</c:v>
                </c:pt>
                <c:pt idx="1137">
                  <c:v>44848</c:v>
                </c:pt>
                <c:pt idx="1138">
                  <c:v>44851</c:v>
                </c:pt>
                <c:pt idx="1139">
                  <c:v>44852</c:v>
                </c:pt>
                <c:pt idx="1140">
                  <c:v>44853</c:v>
                </c:pt>
                <c:pt idx="1141">
                  <c:v>44854</c:v>
                </c:pt>
                <c:pt idx="1142">
                  <c:v>44855</c:v>
                </c:pt>
                <c:pt idx="1143">
                  <c:v>44858</c:v>
                </c:pt>
                <c:pt idx="1144">
                  <c:v>44859</c:v>
                </c:pt>
                <c:pt idx="1145">
                  <c:v>44860</c:v>
                </c:pt>
                <c:pt idx="1146">
                  <c:v>44861</c:v>
                </c:pt>
                <c:pt idx="1147">
                  <c:v>44862</c:v>
                </c:pt>
                <c:pt idx="1148">
                  <c:v>44865</c:v>
                </c:pt>
                <c:pt idx="1149">
                  <c:v>44866</c:v>
                </c:pt>
                <c:pt idx="1150">
                  <c:v>44867</c:v>
                </c:pt>
                <c:pt idx="1151">
                  <c:v>44868</c:v>
                </c:pt>
                <c:pt idx="1152">
                  <c:v>44869</c:v>
                </c:pt>
                <c:pt idx="1153">
                  <c:v>44872</c:v>
                </c:pt>
                <c:pt idx="1154">
                  <c:v>44873</c:v>
                </c:pt>
                <c:pt idx="1155">
                  <c:v>44874</c:v>
                </c:pt>
                <c:pt idx="1156">
                  <c:v>44875</c:v>
                </c:pt>
                <c:pt idx="1157">
                  <c:v>44876</c:v>
                </c:pt>
                <c:pt idx="1158">
                  <c:v>44879</c:v>
                </c:pt>
                <c:pt idx="1159">
                  <c:v>44880</c:v>
                </c:pt>
                <c:pt idx="1160">
                  <c:v>44881</c:v>
                </c:pt>
                <c:pt idx="1161">
                  <c:v>44882</c:v>
                </c:pt>
                <c:pt idx="1162">
                  <c:v>44883</c:v>
                </c:pt>
                <c:pt idx="1163">
                  <c:v>44886</c:v>
                </c:pt>
                <c:pt idx="1164">
                  <c:v>44887</c:v>
                </c:pt>
                <c:pt idx="1165">
                  <c:v>44888</c:v>
                </c:pt>
                <c:pt idx="1166">
                  <c:v>44889</c:v>
                </c:pt>
                <c:pt idx="1167">
                  <c:v>44890</c:v>
                </c:pt>
                <c:pt idx="1168">
                  <c:v>44893</c:v>
                </c:pt>
                <c:pt idx="1169">
                  <c:v>44894</c:v>
                </c:pt>
                <c:pt idx="1170">
                  <c:v>44895</c:v>
                </c:pt>
                <c:pt idx="1171">
                  <c:v>44896</c:v>
                </c:pt>
                <c:pt idx="1172">
                  <c:v>44897</c:v>
                </c:pt>
                <c:pt idx="1173">
                  <c:v>44900</c:v>
                </c:pt>
                <c:pt idx="1174">
                  <c:v>44901</c:v>
                </c:pt>
                <c:pt idx="1175">
                  <c:v>44902</c:v>
                </c:pt>
                <c:pt idx="1176">
                  <c:v>44903</c:v>
                </c:pt>
                <c:pt idx="1177">
                  <c:v>44904</c:v>
                </c:pt>
                <c:pt idx="1178">
                  <c:v>44907</c:v>
                </c:pt>
                <c:pt idx="1179">
                  <c:v>44908</c:v>
                </c:pt>
                <c:pt idx="1180">
                  <c:v>44909</c:v>
                </c:pt>
                <c:pt idx="1181">
                  <c:v>44910</c:v>
                </c:pt>
                <c:pt idx="1182">
                  <c:v>44911</c:v>
                </c:pt>
                <c:pt idx="1183">
                  <c:v>44914</c:v>
                </c:pt>
                <c:pt idx="1184">
                  <c:v>44915</c:v>
                </c:pt>
                <c:pt idx="1185">
                  <c:v>44916</c:v>
                </c:pt>
                <c:pt idx="1186">
                  <c:v>44917</c:v>
                </c:pt>
                <c:pt idx="1187">
                  <c:v>44918</c:v>
                </c:pt>
                <c:pt idx="1188">
                  <c:v>44922</c:v>
                </c:pt>
                <c:pt idx="1189">
                  <c:v>44923</c:v>
                </c:pt>
                <c:pt idx="1190">
                  <c:v>44924</c:v>
                </c:pt>
                <c:pt idx="1191">
                  <c:v>44925</c:v>
                </c:pt>
                <c:pt idx="1192">
                  <c:v>44928</c:v>
                </c:pt>
                <c:pt idx="1193">
                  <c:v>44929</c:v>
                </c:pt>
                <c:pt idx="1194">
                  <c:v>44930</c:v>
                </c:pt>
                <c:pt idx="1195">
                  <c:v>44931</c:v>
                </c:pt>
                <c:pt idx="1196">
                  <c:v>44935</c:v>
                </c:pt>
                <c:pt idx="1197">
                  <c:v>44936</c:v>
                </c:pt>
                <c:pt idx="1198">
                  <c:v>44937</c:v>
                </c:pt>
                <c:pt idx="1199">
                  <c:v>44938</c:v>
                </c:pt>
                <c:pt idx="1200">
                  <c:v>44939</c:v>
                </c:pt>
                <c:pt idx="1201">
                  <c:v>44942</c:v>
                </c:pt>
                <c:pt idx="1202">
                  <c:v>44943</c:v>
                </c:pt>
                <c:pt idx="1203">
                  <c:v>44944</c:v>
                </c:pt>
                <c:pt idx="1204">
                  <c:v>44945</c:v>
                </c:pt>
                <c:pt idx="1205">
                  <c:v>44946</c:v>
                </c:pt>
                <c:pt idx="1206">
                  <c:v>44949</c:v>
                </c:pt>
                <c:pt idx="1207">
                  <c:v>44950</c:v>
                </c:pt>
                <c:pt idx="1208">
                  <c:v>44951</c:v>
                </c:pt>
                <c:pt idx="1209">
                  <c:v>44952</c:v>
                </c:pt>
                <c:pt idx="1210">
                  <c:v>44953</c:v>
                </c:pt>
                <c:pt idx="1211">
                  <c:v>44956</c:v>
                </c:pt>
                <c:pt idx="1212">
                  <c:v>44957</c:v>
                </c:pt>
                <c:pt idx="1213">
                  <c:v>44958</c:v>
                </c:pt>
                <c:pt idx="1214">
                  <c:v>44959</c:v>
                </c:pt>
                <c:pt idx="1215">
                  <c:v>44960</c:v>
                </c:pt>
                <c:pt idx="1216">
                  <c:v>44963</c:v>
                </c:pt>
                <c:pt idx="1217">
                  <c:v>44964</c:v>
                </c:pt>
                <c:pt idx="1218">
                  <c:v>44965</c:v>
                </c:pt>
                <c:pt idx="1219">
                  <c:v>44966</c:v>
                </c:pt>
                <c:pt idx="1220">
                  <c:v>44967</c:v>
                </c:pt>
                <c:pt idx="1221">
                  <c:v>44970</c:v>
                </c:pt>
                <c:pt idx="1222">
                  <c:v>44971</c:v>
                </c:pt>
                <c:pt idx="1223">
                  <c:v>44972</c:v>
                </c:pt>
                <c:pt idx="1224">
                  <c:v>44973</c:v>
                </c:pt>
                <c:pt idx="1225">
                  <c:v>44974</c:v>
                </c:pt>
                <c:pt idx="1226">
                  <c:v>44977</c:v>
                </c:pt>
                <c:pt idx="1227">
                  <c:v>44978</c:v>
                </c:pt>
                <c:pt idx="1228">
                  <c:v>44979</c:v>
                </c:pt>
                <c:pt idx="1229">
                  <c:v>44980</c:v>
                </c:pt>
                <c:pt idx="1230">
                  <c:v>44981</c:v>
                </c:pt>
                <c:pt idx="1231">
                  <c:v>44984</c:v>
                </c:pt>
                <c:pt idx="1232">
                  <c:v>44985</c:v>
                </c:pt>
              </c:numCache>
            </c:numRef>
          </c:cat>
          <c:val>
            <c:numRef>
              <c:f>'Vestas Stock Price Movement'!$M$2:$M$1234</c:f>
              <c:numCache>
                <c:formatCode>General</c:formatCode>
                <c:ptCount val="1233"/>
                <c:pt idx="0">
                  <c:v>100</c:v>
                </c:pt>
                <c:pt idx="1">
                  <c:v>96.881359207750307</c:v>
                </c:pt>
                <c:pt idx="2">
                  <c:v>97.423737283824039</c:v>
                </c:pt>
                <c:pt idx="3">
                  <c:v>97.875719212955588</c:v>
                </c:pt>
                <c:pt idx="4">
                  <c:v>98.508477908502485</c:v>
                </c:pt>
                <c:pt idx="5">
                  <c:v>99.435021095559691</c:v>
                </c:pt>
                <c:pt idx="6">
                  <c:v>97.514126264242066</c:v>
                </c:pt>
                <c:pt idx="7">
                  <c:v>97.740121409280277</c:v>
                </c:pt>
                <c:pt idx="8">
                  <c:v>96.858750018438883</c:v>
                </c:pt>
                <c:pt idx="9">
                  <c:v>99.412431016979355</c:v>
                </c:pt>
                <c:pt idx="10">
                  <c:v>98.146904070520051</c:v>
                </c:pt>
                <c:pt idx="11">
                  <c:v>97.039555450950857</c:v>
                </c:pt>
                <c:pt idx="12">
                  <c:v>97.785312316227191</c:v>
                </c:pt>
                <c:pt idx="13">
                  <c:v>100.11299816972945</c:v>
                </c:pt>
                <c:pt idx="14">
                  <c:v>100.56497890444031</c:v>
                </c:pt>
                <c:pt idx="15">
                  <c:v>98.870069662795331</c:v>
                </c:pt>
                <c:pt idx="16">
                  <c:v>98.711882974960332</c:v>
                </c:pt>
                <c:pt idx="17">
                  <c:v>99.593226894125777</c:v>
                </c:pt>
                <c:pt idx="18">
                  <c:v>98.621484439176783</c:v>
                </c:pt>
                <c:pt idx="19">
                  <c:v>97.129944431368855</c:v>
                </c:pt>
                <c:pt idx="20">
                  <c:v>100.33899331476766</c:v>
                </c:pt>
                <c:pt idx="21">
                  <c:v>97.484173776505614</c:v>
                </c:pt>
                <c:pt idx="22">
                  <c:v>98.961196795202056</c:v>
                </c:pt>
                <c:pt idx="23">
                  <c:v>100.59977118482772</c:v>
                </c:pt>
                <c:pt idx="24">
                  <c:v>100.96904545302259</c:v>
                </c:pt>
                <c:pt idx="25">
                  <c:v>99.815112037556901</c:v>
                </c:pt>
                <c:pt idx="26">
                  <c:v>96.768725336332452</c:v>
                </c:pt>
                <c:pt idx="27">
                  <c:v>95.222454583496869</c:v>
                </c:pt>
                <c:pt idx="28">
                  <c:v>95.845571915204033</c:v>
                </c:pt>
                <c:pt idx="29">
                  <c:v>96.237920002360198</c:v>
                </c:pt>
                <c:pt idx="30">
                  <c:v>94.922426855020461</c:v>
                </c:pt>
                <c:pt idx="31">
                  <c:v>94.622419431695846</c:v>
                </c:pt>
                <c:pt idx="32">
                  <c:v>96.053286451524855</c:v>
                </c:pt>
                <c:pt idx="33">
                  <c:v>94.853198231612424</c:v>
                </c:pt>
                <c:pt idx="34">
                  <c:v>95.245536763403024</c:v>
                </c:pt>
                <c:pt idx="35">
                  <c:v>93.468486016230173</c:v>
                </c:pt>
                <c:pt idx="36">
                  <c:v>93.906962630577823</c:v>
                </c:pt>
                <c:pt idx="37">
                  <c:v>94.183915345672233</c:v>
                </c:pt>
                <c:pt idx="38">
                  <c:v>92.360708599631934</c:v>
                </c:pt>
                <c:pt idx="39">
                  <c:v>94.760895789243065</c:v>
                </c:pt>
                <c:pt idx="40">
                  <c:v>95.130142585761973</c:v>
                </c:pt>
                <c:pt idx="41">
                  <c:v>95.45324293877897</c:v>
                </c:pt>
                <c:pt idx="42">
                  <c:v>99.699709498970989</c:v>
                </c:pt>
                <c:pt idx="43">
                  <c:v>100.34590901058432</c:v>
                </c:pt>
                <c:pt idx="44">
                  <c:v>101.56908060482363</c:v>
                </c:pt>
                <c:pt idx="45">
                  <c:v>100.94596327311645</c:v>
                </c:pt>
                <c:pt idx="46">
                  <c:v>100.9690454530226</c:v>
                </c:pt>
                <c:pt idx="47">
                  <c:v>101.03827527085134</c:v>
                </c:pt>
                <c:pt idx="48">
                  <c:v>104.5462207663296</c:v>
                </c:pt>
                <c:pt idx="49">
                  <c:v>104.03850597320833</c:v>
                </c:pt>
                <c:pt idx="50">
                  <c:v>104.68469712387682</c:v>
                </c:pt>
                <c:pt idx="51">
                  <c:v>102.05373949529398</c:v>
                </c:pt>
                <c:pt idx="52">
                  <c:v>99.030444529341253</c:v>
                </c:pt>
                <c:pt idx="53">
                  <c:v>99.053500431992134</c:v>
                </c:pt>
                <c:pt idx="54">
                  <c:v>96.514854801144224</c:v>
                </c:pt>
                <c:pt idx="55">
                  <c:v>95.360930941044074</c:v>
                </c:pt>
                <c:pt idx="56">
                  <c:v>94.968592409253475</c:v>
                </c:pt>
                <c:pt idx="57">
                  <c:v>96.353314180001263</c:v>
                </c:pt>
                <c:pt idx="58">
                  <c:v>97.807264574157116</c:v>
                </c:pt>
                <c:pt idx="59">
                  <c:v>96.953357692747147</c:v>
                </c:pt>
                <c:pt idx="60">
                  <c:v>96.099442450392303</c:v>
                </c:pt>
                <c:pt idx="61">
                  <c:v>95.176298584629421</c:v>
                </c:pt>
                <c:pt idx="62">
                  <c:v>94.068521168031197</c:v>
                </c:pt>
                <c:pt idx="63">
                  <c:v>95.984048272751252</c:v>
                </c:pt>
                <c:pt idx="64">
                  <c:v>95.360930941044074</c:v>
                </c:pt>
                <c:pt idx="65">
                  <c:v>94.899354230479858</c:v>
                </c:pt>
                <c:pt idx="66">
                  <c:v>95.591709740960624</c:v>
                </c:pt>
                <c:pt idx="67">
                  <c:v>96.791799155293774</c:v>
                </c:pt>
                <c:pt idx="68">
                  <c:v>96.468698802276748</c:v>
                </c:pt>
                <c:pt idx="69">
                  <c:v>96.376378443596991</c:v>
                </c:pt>
                <c:pt idx="70">
                  <c:v>94.622419431695832</c:v>
                </c:pt>
                <c:pt idx="71">
                  <c:v>94.230071344539681</c:v>
                </c:pt>
                <c:pt idx="72">
                  <c:v>94.807042232744934</c:v>
                </c:pt>
                <c:pt idx="73">
                  <c:v>93.145377302268287</c:v>
                </c:pt>
                <c:pt idx="74">
                  <c:v>91.252932377454371</c:v>
                </c:pt>
                <c:pt idx="75">
                  <c:v>90.837510471336913</c:v>
                </c:pt>
                <c:pt idx="76">
                  <c:v>89.72975216546979</c:v>
                </c:pt>
                <c:pt idx="77">
                  <c:v>91.160620379719475</c:v>
                </c:pt>
                <c:pt idx="78">
                  <c:v>88.852745187843269</c:v>
                </c:pt>
                <c:pt idx="79">
                  <c:v>90.560566117187363</c:v>
                </c:pt>
                <c:pt idx="80">
                  <c:v>90.65287811492226</c:v>
                </c:pt>
                <c:pt idx="81">
                  <c:v>88.829680924247512</c:v>
                </c:pt>
                <c:pt idx="82">
                  <c:v>88.968129810118768</c:v>
                </c:pt>
                <c:pt idx="83">
                  <c:v>91.091382200945887</c:v>
                </c:pt>
                <c:pt idx="84">
                  <c:v>91.806819891332793</c:v>
                </c:pt>
                <c:pt idx="85">
                  <c:v>89.660494875965071</c:v>
                </c:pt>
                <c:pt idx="86">
                  <c:v>90.122081141894853</c:v>
                </c:pt>
                <c:pt idx="87">
                  <c:v>89.822045052473584</c:v>
                </c:pt>
                <c:pt idx="88">
                  <c:v>89.9374487854802</c:v>
                </c:pt>
                <c:pt idx="89">
                  <c:v>91.62218753491814</c:v>
                </c:pt>
                <c:pt idx="90">
                  <c:v>92.268396601896995</c:v>
                </c:pt>
                <c:pt idx="91">
                  <c:v>92.568414775007867</c:v>
                </c:pt>
                <c:pt idx="92">
                  <c:v>96.699496712924372</c:v>
                </c:pt>
                <c:pt idx="93">
                  <c:v>95.49939893764639</c:v>
                </c:pt>
                <c:pt idx="94">
                  <c:v>95.476315563319531</c:v>
                </c:pt>
                <c:pt idx="95">
                  <c:v>94.968592409253418</c:v>
                </c:pt>
                <c:pt idx="96">
                  <c:v>97.322604489265984</c:v>
                </c:pt>
                <c:pt idx="97">
                  <c:v>92.960753306798466</c:v>
                </c:pt>
                <c:pt idx="98">
                  <c:v>93.999292544623103</c:v>
                </c:pt>
                <c:pt idx="99">
                  <c:v>94.876280411518536</c:v>
                </c:pt>
                <c:pt idx="100">
                  <c:v>94.160833165766064</c:v>
                </c:pt>
                <c:pt idx="101">
                  <c:v>92.753047131422534</c:v>
                </c:pt>
                <c:pt idx="102">
                  <c:v>93.468486016230145</c:v>
                </c:pt>
                <c:pt idx="103">
                  <c:v>93.468486016230145</c:v>
                </c:pt>
                <c:pt idx="104">
                  <c:v>92.660735133687623</c:v>
                </c:pt>
                <c:pt idx="105">
                  <c:v>94.160833165766064</c:v>
                </c:pt>
                <c:pt idx="106">
                  <c:v>95.060904406988342</c:v>
                </c:pt>
                <c:pt idx="107">
                  <c:v>93.399247837456542</c:v>
                </c:pt>
                <c:pt idx="108">
                  <c:v>92.845349573791864</c:v>
                </c:pt>
                <c:pt idx="109">
                  <c:v>91.160620379719461</c:v>
                </c:pt>
                <c:pt idx="110">
                  <c:v>93.976218725661795</c:v>
                </c:pt>
                <c:pt idx="111">
                  <c:v>92.337616864360214</c:v>
                </c:pt>
                <c:pt idx="112">
                  <c:v>94.737804053971317</c:v>
                </c:pt>
                <c:pt idx="113">
                  <c:v>97.207219866990485</c:v>
                </c:pt>
                <c:pt idx="114">
                  <c:v>100.27668038717623</c:v>
                </c:pt>
                <c:pt idx="115">
                  <c:v>100.34590901058428</c:v>
                </c:pt>
                <c:pt idx="116">
                  <c:v>100.43823892462959</c:v>
                </c:pt>
                <c:pt idx="117">
                  <c:v>100.66900936360128</c:v>
                </c:pt>
                <c:pt idx="118">
                  <c:v>103.71539606482571</c:v>
                </c:pt>
                <c:pt idx="119">
                  <c:v>105.28474183104332</c:v>
                </c:pt>
                <c:pt idx="120">
                  <c:v>103.76155206369317</c:v>
                </c:pt>
                <c:pt idx="121">
                  <c:v>103.23074672972089</c:v>
                </c:pt>
                <c:pt idx="122">
                  <c:v>103.27690272858834</c:v>
                </c:pt>
                <c:pt idx="123">
                  <c:v>101.68447478246459</c:v>
                </c:pt>
                <c:pt idx="124">
                  <c:v>99.607387945870485</c:v>
                </c:pt>
                <c:pt idx="125">
                  <c:v>98.5688582634114</c:v>
                </c:pt>
                <c:pt idx="126">
                  <c:v>99.284297148219025</c:v>
                </c:pt>
                <c:pt idx="127">
                  <c:v>100.39206500945171</c:v>
                </c:pt>
                <c:pt idx="128">
                  <c:v>101.13058607416549</c:v>
                </c:pt>
                <c:pt idx="129">
                  <c:v>99.492003323594986</c:v>
                </c:pt>
                <c:pt idx="130">
                  <c:v>97.876502752930648</c:v>
                </c:pt>
                <c:pt idx="131">
                  <c:v>95.568627561054427</c:v>
                </c:pt>
                <c:pt idx="132">
                  <c:v>96.191764003492693</c:v>
                </c:pt>
                <c:pt idx="133">
                  <c:v>95.960975648210592</c:v>
                </c:pt>
                <c:pt idx="134">
                  <c:v>96.49178098218286</c:v>
                </c:pt>
                <c:pt idx="135">
                  <c:v>96.907193332934767</c:v>
                </c:pt>
                <c:pt idx="136">
                  <c:v>97.484173776505571</c:v>
                </c:pt>
                <c:pt idx="137">
                  <c:v>101.03827527085127</c:v>
                </c:pt>
                <c:pt idx="138">
                  <c:v>99.99973603302665</c:v>
                </c:pt>
                <c:pt idx="139">
                  <c:v>99.261214968312885</c:v>
                </c:pt>
                <c:pt idx="140">
                  <c:v>98.314979367278298</c:v>
                </c:pt>
                <c:pt idx="141">
                  <c:v>98.661170261146296</c:v>
                </c:pt>
                <c:pt idx="142">
                  <c:v>100.25358865190449</c:v>
                </c:pt>
                <c:pt idx="143">
                  <c:v>97.461082041233865</c:v>
                </c:pt>
                <c:pt idx="144">
                  <c:v>95.291701123215276</c:v>
                </c:pt>
                <c:pt idx="145">
                  <c:v>94.622419431695789</c:v>
                </c:pt>
                <c:pt idx="146">
                  <c:v>94.160833165766036</c:v>
                </c:pt>
                <c:pt idx="147">
                  <c:v>92.429938417460633</c:v>
                </c:pt>
                <c:pt idx="148">
                  <c:v>92.660735133687609</c:v>
                </c:pt>
                <c:pt idx="149">
                  <c:v>93.468486016230131</c:v>
                </c:pt>
                <c:pt idx="150">
                  <c:v>91.091382200945858</c:v>
                </c:pt>
                <c:pt idx="151">
                  <c:v>90.860602206608604</c:v>
                </c:pt>
                <c:pt idx="152">
                  <c:v>92.891505572659312</c:v>
                </c:pt>
                <c:pt idx="153">
                  <c:v>94.299309523313241</c:v>
                </c:pt>
                <c:pt idx="154">
                  <c:v>96.399470178868668</c:v>
                </c:pt>
                <c:pt idx="155">
                  <c:v>97.414926042366446</c:v>
                </c:pt>
                <c:pt idx="156">
                  <c:v>97.137981688216883</c:v>
                </c:pt>
                <c:pt idx="157">
                  <c:v>95.614793115287455</c:v>
                </c:pt>
                <c:pt idx="158">
                  <c:v>96.16867226822103</c:v>
                </c:pt>
                <c:pt idx="159">
                  <c:v>94.091612903302874</c:v>
                </c:pt>
                <c:pt idx="160">
                  <c:v>95.476315563319545</c:v>
                </c:pt>
                <c:pt idx="161">
                  <c:v>95.037830588027035</c:v>
                </c:pt>
                <c:pt idx="162">
                  <c:v>93.953136545755655</c:v>
                </c:pt>
                <c:pt idx="163">
                  <c:v>97.668788216609855</c:v>
                </c:pt>
                <c:pt idx="164">
                  <c:v>94.022365169163692</c:v>
                </c:pt>
                <c:pt idx="165">
                  <c:v>95.337857122082738</c:v>
                </c:pt>
                <c:pt idx="166">
                  <c:v>96.953357692747105</c:v>
                </c:pt>
                <c:pt idx="167">
                  <c:v>94.645492056236421</c:v>
                </c:pt>
                <c:pt idx="168">
                  <c:v>93.330009658682926</c:v>
                </c:pt>
                <c:pt idx="169">
                  <c:v>99.053500431992077</c:v>
                </c:pt>
                <c:pt idx="170">
                  <c:v>106.53099560518875</c:v>
                </c:pt>
                <c:pt idx="171">
                  <c:v>112.85454780755421</c:v>
                </c:pt>
                <c:pt idx="172">
                  <c:v>111.81600020878473</c:v>
                </c:pt>
                <c:pt idx="173">
                  <c:v>110.45435225699825</c:v>
                </c:pt>
                <c:pt idx="174">
                  <c:v>110.89284678765631</c:v>
                </c:pt>
                <c:pt idx="175">
                  <c:v>109.78507892642362</c:v>
                </c:pt>
                <c:pt idx="176">
                  <c:v>108.46960488981499</c:v>
                </c:pt>
                <c:pt idx="177">
                  <c:v>107.36180955690635</c:v>
                </c:pt>
                <c:pt idx="178">
                  <c:v>105.5616861851929</c:v>
                </c:pt>
                <c:pt idx="179">
                  <c:v>105.70016254274009</c:v>
                </c:pt>
                <c:pt idx="180">
                  <c:v>107.9849459993446</c:v>
                </c:pt>
                <c:pt idx="181">
                  <c:v>107.6849194652889</c:v>
                </c:pt>
                <c:pt idx="182">
                  <c:v>108.44652270990882</c:v>
                </c:pt>
                <c:pt idx="183">
                  <c:v>111.26211150048562</c:v>
                </c:pt>
                <c:pt idx="184">
                  <c:v>112.16217438076303</c:v>
                </c:pt>
                <c:pt idx="185">
                  <c:v>113.63921651019056</c:v>
                </c:pt>
                <c:pt idx="186">
                  <c:v>112.00062420425452</c:v>
                </c:pt>
                <c:pt idx="187">
                  <c:v>113.54689495709013</c:v>
                </c:pt>
                <c:pt idx="188">
                  <c:v>116.73175921028248</c:v>
                </c:pt>
                <c:pt idx="189">
                  <c:v>116.03938458907061</c:v>
                </c:pt>
                <c:pt idx="190">
                  <c:v>115.53166143500449</c:v>
                </c:pt>
                <c:pt idx="191">
                  <c:v>113.06224562198533</c:v>
                </c:pt>
                <c:pt idx="192">
                  <c:v>115.30087307972238</c:v>
                </c:pt>
                <c:pt idx="193">
                  <c:v>112.50834735832065</c:v>
                </c:pt>
                <c:pt idx="194">
                  <c:v>113.91614175360903</c:v>
                </c:pt>
                <c:pt idx="195">
                  <c:v>116.40864094095505</c:v>
                </c:pt>
                <c:pt idx="196">
                  <c:v>121.85520527642507</c:v>
                </c:pt>
                <c:pt idx="197">
                  <c:v>121.16284021057874</c:v>
                </c:pt>
                <c:pt idx="198">
                  <c:v>120.3320167034956</c:v>
                </c:pt>
                <c:pt idx="199">
                  <c:v>118.3934062244487</c:v>
                </c:pt>
                <c:pt idx="200">
                  <c:v>116.17785258567292</c:v>
                </c:pt>
                <c:pt idx="201">
                  <c:v>114.67775455359448</c:v>
                </c:pt>
                <c:pt idx="202">
                  <c:v>115.62396387737381</c:v>
                </c:pt>
                <c:pt idx="203">
                  <c:v>112.73913571360274</c:v>
                </c:pt>
                <c:pt idx="204">
                  <c:v>113.56996877605141</c:v>
                </c:pt>
                <c:pt idx="205">
                  <c:v>115.80860578915404</c:v>
                </c:pt>
                <c:pt idx="206">
                  <c:v>114.170013483218</c:v>
                </c:pt>
                <c:pt idx="207">
                  <c:v>114.30848028539964</c:v>
                </c:pt>
                <c:pt idx="208">
                  <c:v>114.05461930557692</c:v>
                </c:pt>
                <c:pt idx="209">
                  <c:v>115.43934943726958</c:v>
                </c:pt>
                <c:pt idx="210">
                  <c:v>118.0241594279298</c:v>
                </c:pt>
                <c:pt idx="211">
                  <c:v>116.77789609841882</c:v>
                </c:pt>
                <c:pt idx="212">
                  <c:v>116.45480530076738</c:v>
                </c:pt>
                <c:pt idx="213">
                  <c:v>115.80860578915406</c:v>
                </c:pt>
                <c:pt idx="214">
                  <c:v>117.1471524503033</c:v>
                </c:pt>
                <c:pt idx="215">
                  <c:v>116.63942929623718</c:v>
                </c:pt>
                <c:pt idx="216">
                  <c:v>117.10101556216695</c:v>
                </c:pt>
                <c:pt idx="217">
                  <c:v>119.68581599746162</c:v>
                </c:pt>
                <c:pt idx="218">
                  <c:v>121.07051865747832</c:v>
                </c:pt>
                <c:pt idx="219">
                  <c:v>119.5473396399144</c:v>
                </c:pt>
                <c:pt idx="220">
                  <c:v>118.62420413509639</c:v>
                </c:pt>
                <c:pt idx="221">
                  <c:v>120.51664905991029</c:v>
                </c:pt>
                <c:pt idx="222">
                  <c:v>119.59348608341631</c:v>
                </c:pt>
                <c:pt idx="223">
                  <c:v>117.93182951388452</c:v>
                </c:pt>
                <c:pt idx="224">
                  <c:v>123.79381456105128</c:v>
                </c:pt>
                <c:pt idx="225">
                  <c:v>124.94773842115141</c:v>
                </c:pt>
                <c:pt idx="226">
                  <c:v>124.16306255199089</c:v>
                </c:pt>
                <c:pt idx="227">
                  <c:v>125.54778312831797</c:v>
                </c:pt>
                <c:pt idx="228">
                  <c:v>123.10144949520495</c:v>
                </c:pt>
                <c:pt idx="229">
                  <c:v>123.05529349633751</c:v>
                </c:pt>
                <c:pt idx="230">
                  <c:v>122.59371678577331</c:v>
                </c:pt>
                <c:pt idx="231">
                  <c:v>116.73175921028248</c:v>
                </c:pt>
                <c:pt idx="232">
                  <c:v>118.57803858086339</c:v>
                </c:pt>
                <c:pt idx="233">
                  <c:v>124.25538291067066</c:v>
                </c:pt>
                <c:pt idx="234">
                  <c:v>126.84018334596536</c:v>
                </c:pt>
                <c:pt idx="235">
                  <c:v>127.80950232132678</c:v>
                </c:pt>
                <c:pt idx="236">
                  <c:v>128.77879382501223</c:v>
                </c:pt>
                <c:pt idx="237">
                  <c:v>127.85565832019421</c:v>
                </c:pt>
                <c:pt idx="238">
                  <c:v>127.20944925321533</c:v>
                </c:pt>
                <c:pt idx="239">
                  <c:v>127.67102596377953</c:v>
                </c:pt>
                <c:pt idx="240">
                  <c:v>126.47093654944641</c:v>
                </c:pt>
                <c:pt idx="241">
                  <c:v>127.07099081197852</c:v>
                </c:pt>
                <c:pt idx="242">
                  <c:v>126.24014819416431</c:v>
                </c:pt>
                <c:pt idx="243">
                  <c:v>126.24014819416431</c:v>
                </c:pt>
                <c:pt idx="244">
                  <c:v>127.39408160962999</c:v>
                </c:pt>
                <c:pt idx="245">
                  <c:v>126.24014819416432</c:v>
                </c:pt>
                <c:pt idx="246">
                  <c:v>126.00935147793736</c:v>
                </c:pt>
                <c:pt idx="247">
                  <c:v>124.57849162463252</c:v>
                </c:pt>
                <c:pt idx="248">
                  <c:v>125.04005041888631</c:v>
                </c:pt>
                <c:pt idx="249">
                  <c:v>124.02459455538853</c:v>
                </c:pt>
                <c:pt idx="250">
                  <c:v>123.10144949520496</c:v>
                </c:pt>
                <c:pt idx="251">
                  <c:v>123.0091291365252</c:v>
                </c:pt>
                <c:pt idx="252">
                  <c:v>120.8858958564292</c:v>
                </c:pt>
                <c:pt idx="253">
                  <c:v>123.05529349633753</c:v>
                </c:pt>
                <c:pt idx="254">
                  <c:v>126.37861619076665</c:v>
                </c:pt>
                <c:pt idx="255">
                  <c:v>127.994116761431</c:v>
                </c:pt>
                <c:pt idx="256">
                  <c:v>128.77879382501223</c:v>
                </c:pt>
                <c:pt idx="257">
                  <c:v>129.24036098021091</c:v>
                </c:pt>
                <c:pt idx="258">
                  <c:v>131.13281546039036</c:v>
                </c:pt>
                <c:pt idx="259">
                  <c:v>130.90202710510823</c:v>
                </c:pt>
                <c:pt idx="260">
                  <c:v>131.22511790275971</c:v>
                </c:pt>
                <c:pt idx="261">
                  <c:v>130.16351559576003</c:v>
                </c:pt>
                <c:pt idx="262">
                  <c:v>125.08621597311932</c:v>
                </c:pt>
                <c:pt idx="263">
                  <c:v>123.79381456105129</c:v>
                </c:pt>
                <c:pt idx="264">
                  <c:v>125.54778312831799</c:v>
                </c:pt>
                <c:pt idx="265">
                  <c:v>127.11713725548043</c:v>
                </c:pt>
                <c:pt idx="266">
                  <c:v>127.90179640275124</c:v>
                </c:pt>
                <c:pt idx="267">
                  <c:v>129.24036098021091</c:v>
                </c:pt>
                <c:pt idx="268">
                  <c:v>133.80992789341994</c:v>
                </c:pt>
                <c:pt idx="269">
                  <c:v>133.62531345331567</c:v>
                </c:pt>
                <c:pt idx="270">
                  <c:v>137.36404730407605</c:v>
                </c:pt>
                <c:pt idx="271">
                  <c:v>137.27991947693454</c:v>
                </c:pt>
                <c:pt idx="272">
                  <c:v>138.16799873439189</c:v>
                </c:pt>
                <c:pt idx="273">
                  <c:v>138.86912129276456</c:v>
                </c:pt>
                <c:pt idx="274">
                  <c:v>138.68216459367991</c:v>
                </c:pt>
                <c:pt idx="275">
                  <c:v>139.05608635279404</c:v>
                </c:pt>
                <c:pt idx="276">
                  <c:v>138.77564234601189</c:v>
                </c:pt>
                <c:pt idx="277">
                  <c:v>138.82238122217785</c:v>
                </c:pt>
                <c:pt idx="278">
                  <c:v>140.27136640950991</c:v>
                </c:pt>
                <c:pt idx="279">
                  <c:v>141.06597508115942</c:v>
                </c:pt>
                <c:pt idx="280">
                  <c:v>141.01923620499343</c:v>
                </c:pt>
                <c:pt idx="281">
                  <c:v>141.34642864330715</c:v>
                </c:pt>
                <c:pt idx="282">
                  <c:v>142.7486737600525</c:v>
                </c:pt>
                <c:pt idx="283">
                  <c:v>143.16934275627747</c:v>
                </c:pt>
                <c:pt idx="284">
                  <c:v>142.28126469324084</c:v>
                </c:pt>
                <c:pt idx="285">
                  <c:v>141.53339370333663</c:v>
                </c:pt>
                <c:pt idx="286">
                  <c:v>140.69204496110044</c:v>
                </c:pt>
                <c:pt idx="287">
                  <c:v>137.79406741991218</c:v>
                </c:pt>
                <c:pt idx="288">
                  <c:v>137.7005705568491</c:v>
                </c:pt>
                <c:pt idx="289">
                  <c:v>135.73744817632567</c:v>
                </c:pt>
                <c:pt idx="290">
                  <c:v>137.46686662065363</c:v>
                </c:pt>
                <c:pt idx="291">
                  <c:v>136.62553579472785</c:v>
                </c:pt>
                <c:pt idx="292">
                  <c:v>131.48396439455806</c:v>
                </c:pt>
                <c:pt idx="293">
                  <c:v>133.21339239425157</c:v>
                </c:pt>
                <c:pt idx="294">
                  <c:v>127.18373337567959</c:v>
                </c:pt>
                <c:pt idx="295">
                  <c:v>130.64261565232189</c:v>
                </c:pt>
                <c:pt idx="296">
                  <c:v>128.81968242862047</c:v>
                </c:pt>
                <c:pt idx="297">
                  <c:v>130.64261565232189</c:v>
                </c:pt>
                <c:pt idx="298">
                  <c:v>126.10867950282723</c:v>
                </c:pt>
                <c:pt idx="299">
                  <c:v>131.06329420391242</c:v>
                </c:pt>
                <c:pt idx="300">
                  <c:v>133.07317457133297</c:v>
                </c:pt>
                <c:pt idx="301">
                  <c:v>128.30554404100837</c:v>
                </c:pt>
                <c:pt idx="302">
                  <c:v>129.28710105079765</c:v>
                </c:pt>
                <c:pt idx="303">
                  <c:v>129.52080498699311</c:v>
                </c:pt>
                <c:pt idx="304">
                  <c:v>133.68081937737361</c:v>
                </c:pt>
                <c:pt idx="305">
                  <c:v>128.07183054944727</c:v>
                </c:pt>
                <c:pt idx="306">
                  <c:v>127.32395955954304</c:v>
                </c:pt>
                <c:pt idx="307">
                  <c:v>127.32395955954304</c:v>
                </c:pt>
                <c:pt idx="308">
                  <c:v>128.16531666272411</c:v>
                </c:pt>
                <c:pt idx="309">
                  <c:v>130.92305965910398</c:v>
                </c:pt>
                <c:pt idx="310">
                  <c:v>131.90463458520367</c:v>
                </c:pt>
                <c:pt idx="311">
                  <c:v>132.65249601974233</c:v>
                </c:pt>
                <c:pt idx="312">
                  <c:v>132.97968726363536</c:v>
                </c:pt>
                <c:pt idx="313">
                  <c:v>134.84935100255791</c:v>
                </c:pt>
                <c:pt idx="314">
                  <c:v>133.91452331356905</c:v>
                </c:pt>
                <c:pt idx="315">
                  <c:v>138.40171222595285</c:v>
                </c:pt>
                <c:pt idx="316">
                  <c:v>137.65384123604863</c:v>
                </c:pt>
                <c:pt idx="317">
                  <c:v>139.05608635279401</c:v>
                </c:pt>
                <c:pt idx="318">
                  <c:v>137.65384123604863</c:v>
                </c:pt>
                <c:pt idx="319">
                  <c:v>134.1949673203512</c:v>
                </c:pt>
                <c:pt idx="320">
                  <c:v>132.51226983587884</c:v>
                </c:pt>
                <c:pt idx="321">
                  <c:v>138.30822491825535</c:v>
                </c:pt>
                <c:pt idx="322">
                  <c:v>138.30822491825535</c:v>
                </c:pt>
                <c:pt idx="323">
                  <c:v>138.35496379442134</c:v>
                </c:pt>
                <c:pt idx="324">
                  <c:v>138.91586852987538</c:v>
                </c:pt>
                <c:pt idx="325">
                  <c:v>136.11137829638466</c:v>
                </c:pt>
                <c:pt idx="326">
                  <c:v>138.35496379442137</c:v>
                </c:pt>
                <c:pt idx="327">
                  <c:v>137.09295441690506</c:v>
                </c:pt>
                <c:pt idx="328">
                  <c:v>138.26148604208939</c:v>
                </c:pt>
                <c:pt idx="329">
                  <c:v>138.82238122217788</c:v>
                </c:pt>
                <c:pt idx="330">
                  <c:v>136.11137829638466</c:v>
                </c:pt>
                <c:pt idx="331">
                  <c:v>137.18642261387146</c:v>
                </c:pt>
                <c:pt idx="332">
                  <c:v>137.56036348371671</c:v>
                </c:pt>
                <c:pt idx="333">
                  <c:v>137.23316149003747</c:v>
                </c:pt>
                <c:pt idx="334">
                  <c:v>137.42012774448767</c:v>
                </c:pt>
                <c:pt idx="335">
                  <c:v>138.26148604208939</c:v>
                </c:pt>
                <c:pt idx="336">
                  <c:v>137.04621434631838</c:v>
                </c:pt>
                <c:pt idx="337">
                  <c:v>139.28979984435509</c:v>
                </c:pt>
                <c:pt idx="338">
                  <c:v>137.6071023598827</c:v>
                </c:pt>
                <c:pt idx="339">
                  <c:v>138.35496379442139</c:v>
                </c:pt>
                <c:pt idx="340">
                  <c:v>137.65384123604869</c:v>
                </c:pt>
                <c:pt idx="341">
                  <c:v>137.88754517224419</c:v>
                </c:pt>
                <c:pt idx="342">
                  <c:v>129.00665704401547</c:v>
                </c:pt>
                <c:pt idx="343">
                  <c:v>129.66104072622215</c:v>
                </c:pt>
                <c:pt idx="344">
                  <c:v>132.27855634431785</c:v>
                </c:pt>
                <c:pt idx="345">
                  <c:v>128.91316973631794</c:v>
                </c:pt>
                <c:pt idx="346">
                  <c:v>126.99677667659492</c:v>
                </c:pt>
                <c:pt idx="347">
                  <c:v>128.58598685336977</c:v>
                </c:pt>
                <c:pt idx="348">
                  <c:v>129.94148353858361</c:v>
                </c:pt>
                <c:pt idx="349">
                  <c:v>128.30554404100832</c:v>
                </c:pt>
                <c:pt idx="350">
                  <c:v>125.12712249303792</c:v>
                </c:pt>
                <c:pt idx="351">
                  <c:v>123.86508564384565</c:v>
                </c:pt>
                <c:pt idx="352">
                  <c:v>123.53789439995263</c:v>
                </c:pt>
                <c:pt idx="353">
                  <c:v>118.02239168530313</c:v>
                </c:pt>
                <c:pt idx="354">
                  <c:v>118.11587899300065</c:v>
                </c:pt>
                <c:pt idx="355">
                  <c:v>118.86374998290488</c:v>
                </c:pt>
                <c:pt idx="356">
                  <c:v>120.31273397581623</c:v>
                </c:pt>
                <c:pt idx="357">
                  <c:v>124.51946932605232</c:v>
                </c:pt>
                <c:pt idx="358">
                  <c:v>124.51946932605232</c:v>
                </c:pt>
                <c:pt idx="359">
                  <c:v>125.36082762365407</c:v>
                </c:pt>
                <c:pt idx="360">
                  <c:v>125.17386136920389</c:v>
                </c:pt>
                <c:pt idx="361">
                  <c:v>123.53789439995263</c:v>
                </c:pt>
                <c:pt idx="362">
                  <c:v>121.4345267248346</c:v>
                </c:pt>
                <c:pt idx="363">
                  <c:v>113.88577002420917</c:v>
                </c:pt>
                <c:pt idx="364">
                  <c:v>116.50329400324972</c:v>
                </c:pt>
                <c:pt idx="365">
                  <c:v>116.36307737475178</c:v>
                </c:pt>
                <c:pt idx="366">
                  <c:v>115.14778776267035</c:v>
                </c:pt>
                <c:pt idx="367">
                  <c:v>116.76037275242133</c:v>
                </c:pt>
                <c:pt idx="368">
                  <c:v>116.94734736781639</c:v>
                </c:pt>
                <c:pt idx="369">
                  <c:v>118.16262742453226</c:v>
                </c:pt>
                <c:pt idx="370">
                  <c:v>122.46285008246588</c:v>
                </c:pt>
                <c:pt idx="371">
                  <c:v>124.3325030716022</c:v>
                </c:pt>
                <c:pt idx="372">
                  <c:v>129.0066570440155</c:v>
                </c:pt>
                <c:pt idx="373">
                  <c:v>129.38058835849517</c:v>
                </c:pt>
                <c:pt idx="374">
                  <c:v>129.42733559560602</c:v>
                </c:pt>
                <c:pt idx="375">
                  <c:v>127.60441192727012</c:v>
                </c:pt>
                <c:pt idx="376">
                  <c:v>127.55767305110413</c:v>
                </c:pt>
                <c:pt idx="377">
                  <c:v>129.8947542177832</c:v>
                </c:pt>
                <c:pt idx="378">
                  <c:v>131.85787659830666</c:v>
                </c:pt>
                <c:pt idx="379">
                  <c:v>128.91316973631797</c:v>
                </c:pt>
                <c:pt idx="380">
                  <c:v>126.57609812500442</c:v>
                </c:pt>
                <c:pt idx="381">
                  <c:v>129.10014435171303</c:v>
                </c:pt>
                <c:pt idx="382">
                  <c:v>128.25879560947683</c:v>
                </c:pt>
                <c:pt idx="383">
                  <c:v>128.16531666272419</c:v>
                </c:pt>
                <c:pt idx="384">
                  <c:v>127.37070799107468</c:v>
                </c:pt>
                <c:pt idx="385">
                  <c:v>124.28576419543623</c:v>
                </c:pt>
                <c:pt idx="386">
                  <c:v>123.91182452001168</c:v>
                </c:pt>
                <c:pt idx="387">
                  <c:v>120.78014304262796</c:v>
                </c:pt>
                <c:pt idx="388">
                  <c:v>121.48126560100064</c:v>
                </c:pt>
                <c:pt idx="389">
                  <c:v>122.93025914927753</c:v>
                </c:pt>
                <c:pt idx="390">
                  <c:v>123.07048533314105</c:v>
                </c:pt>
                <c:pt idx="391">
                  <c:v>121.29429934655046</c:v>
                </c:pt>
                <c:pt idx="392">
                  <c:v>122.36936277476836</c:v>
                </c:pt>
                <c:pt idx="393">
                  <c:v>122.46285008246589</c:v>
                </c:pt>
                <c:pt idx="394">
                  <c:v>126.06194062666128</c:v>
                </c:pt>
                <c:pt idx="395">
                  <c:v>126.34239299438829</c:v>
                </c:pt>
                <c:pt idx="396">
                  <c:v>126.20215725515924</c:v>
                </c:pt>
                <c:pt idx="397">
                  <c:v>122.46285008246588</c:v>
                </c:pt>
                <c:pt idx="398">
                  <c:v>123.72485945998217</c:v>
                </c:pt>
                <c:pt idx="399">
                  <c:v>123.16397264083854</c:v>
                </c:pt>
                <c:pt idx="400">
                  <c:v>125.96846287432928</c:v>
                </c:pt>
                <c:pt idx="401">
                  <c:v>125.40756649982009</c:v>
                </c:pt>
                <c:pt idx="402">
                  <c:v>126.85654093736591</c:v>
                </c:pt>
                <c:pt idx="403">
                  <c:v>126.01519219512971</c:v>
                </c:pt>
                <c:pt idx="404">
                  <c:v>127.7913769872996</c:v>
                </c:pt>
                <c:pt idx="405">
                  <c:v>129.100144351713</c:v>
                </c:pt>
                <c:pt idx="406">
                  <c:v>126.43586238577535</c:v>
                </c:pt>
                <c:pt idx="407">
                  <c:v>128.53924797720379</c:v>
                </c:pt>
                <c:pt idx="408">
                  <c:v>127.79137698729957</c:v>
                </c:pt>
                <c:pt idx="409">
                  <c:v>130.78284183618536</c:v>
                </c:pt>
                <c:pt idx="410">
                  <c:v>131.15676359529948</c:v>
                </c:pt>
                <c:pt idx="411">
                  <c:v>128.30554404100832</c:v>
                </c:pt>
                <c:pt idx="412">
                  <c:v>126.85654093736586</c:v>
                </c:pt>
                <c:pt idx="413">
                  <c:v>140.78553226879797</c:v>
                </c:pt>
                <c:pt idx="414">
                  <c:v>145.92709411360227</c:v>
                </c:pt>
                <c:pt idx="415">
                  <c:v>146.58147779580895</c:v>
                </c:pt>
                <c:pt idx="416">
                  <c:v>146.76844285583846</c:v>
                </c:pt>
                <c:pt idx="417">
                  <c:v>148.49788041089752</c:v>
                </c:pt>
                <c:pt idx="418">
                  <c:v>149.57293308932921</c:v>
                </c:pt>
                <c:pt idx="419">
                  <c:v>151.11541394530363</c:v>
                </c:pt>
                <c:pt idx="420">
                  <c:v>148.96530739401959</c:v>
                </c:pt>
                <c:pt idx="421">
                  <c:v>149.47945533699723</c:v>
                </c:pt>
                <c:pt idx="422">
                  <c:v>149.61966360455034</c:v>
                </c:pt>
                <c:pt idx="423">
                  <c:v>148.03047134408587</c:v>
                </c:pt>
                <c:pt idx="424">
                  <c:v>147.93698403638837</c:v>
                </c:pt>
                <c:pt idx="425">
                  <c:v>149.61966360455034</c:v>
                </c:pt>
                <c:pt idx="426">
                  <c:v>151.39584839672025</c:v>
                </c:pt>
                <c:pt idx="427">
                  <c:v>150.88170045374261</c:v>
                </c:pt>
                <c:pt idx="428">
                  <c:v>152.05024043987183</c:v>
                </c:pt>
                <c:pt idx="429">
                  <c:v>150.83496993852148</c:v>
                </c:pt>
                <c:pt idx="430">
                  <c:v>153.77967799493084</c:v>
                </c:pt>
                <c:pt idx="431">
                  <c:v>152.28396348679837</c:v>
                </c:pt>
                <c:pt idx="432">
                  <c:v>153.40572876414078</c:v>
                </c:pt>
                <c:pt idx="433">
                  <c:v>154.20033863021098</c:v>
                </c:pt>
                <c:pt idx="434">
                  <c:v>156.25698534547345</c:v>
                </c:pt>
                <c:pt idx="435">
                  <c:v>154.94821798106005</c:v>
                </c:pt>
                <c:pt idx="436">
                  <c:v>153.59272129584625</c:v>
                </c:pt>
                <c:pt idx="437">
                  <c:v>154.71449612855417</c:v>
                </c:pt>
                <c:pt idx="438">
                  <c:v>159.43540569902319</c:v>
                </c:pt>
                <c:pt idx="439">
                  <c:v>159.15493541498574</c:v>
                </c:pt>
                <c:pt idx="440">
                  <c:v>161.0246254311636</c:v>
                </c:pt>
                <c:pt idx="441">
                  <c:v>161.39853882933286</c:v>
                </c:pt>
                <c:pt idx="442">
                  <c:v>159.57561396657624</c:v>
                </c:pt>
                <c:pt idx="443">
                  <c:v>158.45382241197859</c:v>
                </c:pt>
                <c:pt idx="444">
                  <c:v>156.25698534547342</c:v>
                </c:pt>
                <c:pt idx="445">
                  <c:v>157.51900427835528</c:v>
                </c:pt>
                <c:pt idx="446">
                  <c:v>159.57561396657624</c:v>
                </c:pt>
                <c:pt idx="447">
                  <c:v>157.33204757927066</c:v>
                </c:pt>
                <c:pt idx="448">
                  <c:v>154.106860877879</c:v>
                </c:pt>
                <c:pt idx="449">
                  <c:v>151.58282301211528</c:v>
                </c:pt>
                <c:pt idx="450">
                  <c:v>149.4794553369972</c:v>
                </c:pt>
                <c:pt idx="451">
                  <c:v>150.83496993852143</c:v>
                </c:pt>
                <c:pt idx="452">
                  <c:v>149.94688232011924</c:v>
                </c:pt>
                <c:pt idx="453">
                  <c:v>148.87181053095648</c:v>
                </c:pt>
                <c:pt idx="454">
                  <c:v>148.35765422703398</c:v>
                </c:pt>
                <c:pt idx="455">
                  <c:v>147.84350508963564</c:v>
                </c:pt>
                <c:pt idx="456">
                  <c:v>151.30237064438822</c:v>
                </c:pt>
                <c:pt idx="457">
                  <c:v>153.03179744966104</c:v>
                </c:pt>
                <c:pt idx="458">
                  <c:v>154.71449612855409</c:v>
                </c:pt>
                <c:pt idx="459">
                  <c:v>154.80797388088607</c:v>
                </c:pt>
                <c:pt idx="460">
                  <c:v>155.36889772707119</c:v>
                </c:pt>
                <c:pt idx="461">
                  <c:v>155.88303611468328</c:v>
                </c:pt>
                <c:pt idx="462">
                  <c:v>153.77967799493078</c:v>
                </c:pt>
                <c:pt idx="463">
                  <c:v>156.5841682284215</c:v>
                </c:pt>
                <c:pt idx="464">
                  <c:v>153.91990417879427</c:v>
                </c:pt>
                <c:pt idx="465">
                  <c:v>155.60260166326665</c:v>
                </c:pt>
                <c:pt idx="466">
                  <c:v>161.02462543116349</c:v>
                </c:pt>
                <c:pt idx="467">
                  <c:v>156.11675916160985</c:v>
                </c:pt>
                <c:pt idx="468">
                  <c:v>157.23855191062816</c:v>
                </c:pt>
                <c:pt idx="469">
                  <c:v>156.8646385124589</c:v>
                </c:pt>
                <c:pt idx="470">
                  <c:v>160.32349451184592</c:v>
                </c:pt>
                <c:pt idx="471">
                  <c:v>168.69023469709697</c:v>
                </c:pt>
                <c:pt idx="472">
                  <c:v>168.87720931249203</c:v>
                </c:pt>
                <c:pt idx="473">
                  <c:v>167.4281978479047</c:v>
                </c:pt>
                <c:pt idx="474">
                  <c:v>165.46506591201572</c:v>
                </c:pt>
                <c:pt idx="475">
                  <c:v>167.89560691471638</c:v>
                </c:pt>
                <c:pt idx="476">
                  <c:v>163.87584617987531</c:v>
                </c:pt>
                <c:pt idx="477">
                  <c:v>161.81921738092325</c:v>
                </c:pt>
                <c:pt idx="478">
                  <c:v>162.75405343085697</c:v>
                </c:pt>
                <c:pt idx="479">
                  <c:v>163.03452490931508</c:v>
                </c:pt>
                <c:pt idx="480">
                  <c:v>162.28664436404532</c:v>
                </c:pt>
                <c:pt idx="481">
                  <c:v>166.493361797971</c:v>
                </c:pt>
                <c:pt idx="482">
                  <c:v>167.61519037961017</c:v>
                </c:pt>
                <c:pt idx="483">
                  <c:v>168.45653076090153</c:v>
                </c:pt>
                <c:pt idx="484">
                  <c:v>160.79092149496802</c:v>
                </c:pt>
                <c:pt idx="485">
                  <c:v>157.75270821455069</c:v>
                </c:pt>
                <c:pt idx="486">
                  <c:v>158.54730016431049</c:v>
                </c:pt>
                <c:pt idx="487">
                  <c:v>154.15360811498974</c:v>
                </c:pt>
                <c:pt idx="488">
                  <c:v>151.76980598845509</c:v>
                </c:pt>
                <c:pt idx="489">
                  <c:v>153.54595494800418</c:v>
                </c:pt>
                <c:pt idx="490">
                  <c:v>161.49203449797511</c:v>
                </c:pt>
                <c:pt idx="491">
                  <c:v>164.10955011607078</c:v>
                </c:pt>
                <c:pt idx="492">
                  <c:v>163.78234931681226</c:v>
                </c:pt>
                <c:pt idx="493">
                  <c:v>157.98639423443575</c:v>
                </c:pt>
                <c:pt idx="494">
                  <c:v>148.9653073940195</c:v>
                </c:pt>
                <c:pt idx="495">
                  <c:v>147.14237417031808</c:v>
                </c:pt>
                <c:pt idx="496">
                  <c:v>141.4399063956391</c:v>
                </c:pt>
                <c:pt idx="497">
                  <c:v>128.35227336180876</c:v>
                </c:pt>
                <c:pt idx="498">
                  <c:v>129.8947542177832</c:v>
                </c:pt>
                <c:pt idx="499">
                  <c:v>124.79992169377937</c:v>
                </c:pt>
                <c:pt idx="500">
                  <c:v>125.36082762365409</c:v>
                </c:pt>
                <c:pt idx="501">
                  <c:v>115.17115302028088</c:v>
                </c:pt>
                <c:pt idx="502">
                  <c:v>113.58194284350603</c:v>
                </c:pt>
                <c:pt idx="503">
                  <c:v>121.24756047038441</c:v>
                </c:pt>
                <c:pt idx="504">
                  <c:v>111.82914122525709</c:v>
                </c:pt>
                <c:pt idx="505">
                  <c:v>124.42599037929968</c:v>
                </c:pt>
                <c:pt idx="506">
                  <c:v>131.43723507375759</c:v>
                </c:pt>
                <c:pt idx="507">
                  <c:v>130.50238946845832</c:v>
                </c:pt>
                <c:pt idx="508">
                  <c:v>128.30554404100829</c:v>
                </c:pt>
                <c:pt idx="509">
                  <c:v>127.27722068337705</c:v>
                </c:pt>
                <c:pt idx="510">
                  <c:v>129.14687367251338</c:v>
                </c:pt>
                <c:pt idx="511">
                  <c:v>126.99677667659491</c:v>
                </c:pt>
                <c:pt idx="512">
                  <c:v>130.08171927781265</c:v>
                </c:pt>
                <c:pt idx="513">
                  <c:v>134.47541968807823</c:v>
                </c:pt>
                <c:pt idx="514">
                  <c:v>131.34373821069451</c:v>
                </c:pt>
                <c:pt idx="515">
                  <c:v>138.77564234601186</c:v>
                </c:pt>
                <c:pt idx="516">
                  <c:v>137.47996105471887</c:v>
                </c:pt>
                <c:pt idx="517">
                  <c:v>143.35435852173478</c:v>
                </c:pt>
                <c:pt idx="518">
                  <c:v>136.5324677286938</c:v>
                </c:pt>
                <c:pt idx="519">
                  <c:v>135.01649584559581</c:v>
                </c:pt>
                <c:pt idx="520">
                  <c:v>139.42229812633019</c:v>
                </c:pt>
                <c:pt idx="521">
                  <c:v>139.32754473269733</c:v>
                </c:pt>
                <c:pt idx="522">
                  <c:v>134.82698786390941</c:v>
                </c:pt>
                <c:pt idx="523">
                  <c:v>135.01649584559584</c:v>
                </c:pt>
                <c:pt idx="524">
                  <c:v>137.57470608740692</c:v>
                </c:pt>
                <c:pt idx="525">
                  <c:v>132.97940538035169</c:v>
                </c:pt>
                <c:pt idx="526">
                  <c:v>134.59013065708254</c:v>
                </c:pt>
                <c:pt idx="527">
                  <c:v>141.22251346843711</c:v>
                </c:pt>
                <c:pt idx="528">
                  <c:v>140.84352497674024</c:v>
                </c:pt>
                <c:pt idx="529">
                  <c:v>138.85380284736763</c:v>
                </c:pt>
                <c:pt idx="530">
                  <c:v>136.0587258433641</c:v>
                </c:pt>
                <c:pt idx="531">
                  <c:v>141.22251346843711</c:v>
                </c:pt>
                <c:pt idx="532">
                  <c:v>136.62721276138186</c:v>
                </c:pt>
                <c:pt idx="533">
                  <c:v>140.6066498536029</c:v>
                </c:pt>
                <c:pt idx="534">
                  <c:v>144.01759047244062</c:v>
                </c:pt>
                <c:pt idx="535">
                  <c:v>147.28641891713943</c:v>
                </c:pt>
                <c:pt idx="536">
                  <c:v>145.95993709941749</c:v>
                </c:pt>
                <c:pt idx="537">
                  <c:v>140.41715142728202</c:v>
                </c:pt>
                <c:pt idx="538">
                  <c:v>144.01759047244062</c:v>
                </c:pt>
                <c:pt idx="539">
                  <c:v>148.7550129090003</c:v>
                </c:pt>
                <c:pt idx="540">
                  <c:v>148.37601605635854</c:v>
                </c:pt>
                <c:pt idx="541">
                  <c:v>149.51299944775965</c:v>
                </c:pt>
                <c:pt idx="542">
                  <c:v>155.67165829009485</c:v>
                </c:pt>
                <c:pt idx="543">
                  <c:v>159.60369957476837</c:v>
                </c:pt>
                <c:pt idx="544">
                  <c:v>154.91366339039067</c:v>
                </c:pt>
                <c:pt idx="545">
                  <c:v>158.13511394385236</c:v>
                </c:pt>
                <c:pt idx="546">
                  <c:v>161.97241975120343</c:v>
                </c:pt>
                <c:pt idx="547">
                  <c:v>164.38850826351003</c:v>
                </c:pt>
                <c:pt idx="548">
                  <c:v>166.70984338218378</c:v>
                </c:pt>
                <c:pt idx="549">
                  <c:v>166.18874152192731</c:v>
                </c:pt>
                <c:pt idx="550">
                  <c:v>166.94673761605222</c:v>
                </c:pt>
                <c:pt idx="551">
                  <c:v>170.54716710584526</c:v>
                </c:pt>
                <c:pt idx="552">
                  <c:v>166.47296706462578</c:v>
                </c:pt>
                <c:pt idx="553">
                  <c:v>157.9929742980375</c:v>
                </c:pt>
                <c:pt idx="554">
                  <c:v>156.95077177194523</c:v>
                </c:pt>
                <c:pt idx="555">
                  <c:v>158.79835544992369</c:v>
                </c:pt>
                <c:pt idx="556">
                  <c:v>160.74069252153498</c:v>
                </c:pt>
                <c:pt idx="557">
                  <c:v>161.21442485149919</c:v>
                </c:pt>
                <c:pt idx="558">
                  <c:v>157.23499731464369</c:v>
                </c:pt>
                <c:pt idx="559">
                  <c:v>159.46157784526389</c:v>
                </c:pt>
                <c:pt idx="560">
                  <c:v>162.20931398507179</c:v>
                </c:pt>
                <c:pt idx="561">
                  <c:v>159.65108582695029</c:v>
                </c:pt>
                <c:pt idx="562">
                  <c:v>156.61914206075431</c:v>
                </c:pt>
                <c:pt idx="563">
                  <c:v>157.28236565051523</c:v>
                </c:pt>
                <c:pt idx="564">
                  <c:v>157.51924077365254</c:v>
                </c:pt>
                <c:pt idx="565">
                  <c:v>159.98269762183071</c:v>
                </c:pt>
                <c:pt idx="566">
                  <c:v>165.57286835172744</c:v>
                </c:pt>
                <c:pt idx="567">
                  <c:v>168.51005872429053</c:v>
                </c:pt>
                <c:pt idx="568">
                  <c:v>167.0888402348254</c:v>
                </c:pt>
                <c:pt idx="569">
                  <c:v>168.13107859353849</c:v>
                </c:pt>
                <c:pt idx="570">
                  <c:v>169.93129393564539</c:v>
                </c:pt>
                <c:pt idx="571">
                  <c:v>174.19496612593042</c:v>
                </c:pt>
                <c:pt idx="572">
                  <c:v>177.51117126744572</c:v>
                </c:pt>
                <c:pt idx="573">
                  <c:v>175.85305973853289</c:v>
                </c:pt>
                <c:pt idx="574">
                  <c:v>179.78511893951679</c:v>
                </c:pt>
                <c:pt idx="575">
                  <c:v>174.62133131444378</c:v>
                </c:pt>
                <c:pt idx="576">
                  <c:v>185.56476181847916</c:v>
                </c:pt>
                <c:pt idx="577">
                  <c:v>186.9859982242547</c:v>
                </c:pt>
                <c:pt idx="578">
                  <c:v>189.54419054975537</c:v>
                </c:pt>
                <c:pt idx="579">
                  <c:v>195.37125551352051</c:v>
                </c:pt>
                <c:pt idx="580">
                  <c:v>200.48764016452182</c:v>
                </c:pt>
                <c:pt idx="581">
                  <c:v>201.15089839248284</c:v>
                </c:pt>
                <c:pt idx="582">
                  <c:v>204.8934699169321</c:v>
                </c:pt>
                <c:pt idx="583">
                  <c:v>200.86665493347394</c:v>
                </c:pt>
                <c:pt idx="584">
                  <c:v>199.91917116281445</c:v>
                </c:pt>
                <c:pt idx="585">
                  <c:v>197.17145293931696</c:v>
                </c:pt>
                <c:pt idx="586">
                  <c:v>191.24968833085015</c:v>
                </c:pt>
                <c:pt idx="587">
                  <c:v>193.5710222551032</c:v>
                </c:pt>
                <c:pt idx="588">
                  <c:v>192.29192668956324</c:v>
                </c:pt>
                <c:pt idx="589">
                  <c:v>197.36096092100337</c:v>
                </c:pt>
                <c:pt idx="590">
                  <c:v>195.89235737377697</c:v>
                </c:pt>
                <c:pt idx="591">
                  <c:v>199.54015519944156</c:v>
                </c:pt>
                <c:pt idx="592">
                  <c:v>198.97168619773421</c:v>
                </c:pt>
                <c:pt idx="593">
                  <c:v>202.85636034095683</c:v>
                </c:pt>
                <c:pt idx="594">
                  <c:v>200.6297798103366</c:v>
                </c:pt>
                <c:pt idx="595">
                  <c:v>219.57945283468564</c:v>
                </c:pt>
                <c:pt idx="596">
                  <c:v>217.40024063993704</c:v>
                </c:pt>
                <c:pt idx="597">
                  <c:v>221.04805638191209</c:v>
                </c:pt>
                <c:pt idx="598">
                  <c:v>220.005818023199</c:v>
                </c:pt>
                <c:pt idx="599">
                  <c:v>221.1901601951061</c:v>
                </c:pt>
                <c:pt idx="600">
                  <c:v>219.34257651712767</c:v>
                </c:pt>
                <c:pt idx="601">
                  <c:v>219.5321036095452</c:v>
                </c:pt>
                <c:pt idx="602">
                  <c:v>217.30548605188349</c:v>
                </c:pt>
                <c:pt idx="603">
                  <c:v>220.14795766901383</c:v>
                </c:pt>
                <c:pt idx="604">
                  <c:v>225.64335708896735</c:v>
                </c:pt>
                <c:pt idx="605">
                  <c:v>224.36426152342733</c:v>
                </c:pt>
                <c:pt idx="606">
                  <c:v>227.82257047813661</c:v>
                </c:pt>
                <c:pt idx="607">
                  <c:v>223.51153114640064</c:v>
                </c:pt>
                <c:pt idx="608">
                  <c:v>223.27465482884264</c:v>
                </c:pt>
                <c:pt idx="609">
                  <c:v>224.6484870661258</c:v>
                </c:pt>
                <c:pt idx="610">
                  <c:v>222.1850493286787</c:v>
                </c:pt>
                <c:pt idx="611">
                  <c:v>231.32826449060721</c:v>
                </c:pt>
                <c:pt idx="612">
                  <c:v>229.38590950268548</c:v>
                </c:pt>
                <c:pt idx="613">
                  <c:v>219.01096591666789</c:v>
                </c:pt>
                <c:pt idx="614">
                  <c:v>226.21186311771621</c:v>
                </c:pt>
                <c:pt idx="615">
                  <c:v>217.87400999694279</c:v>
                </c:pt>
                <c:pt idx="616">
                  <c:v>226.21186311771621</c:v>
                </c:pt>
                <c:pt idx="617">
                  <c:v>222.99039345352338</c:v>
                </c:pt>
                <c:pt idx="618">
                  <c:v>222.99039345352338</c:v>
                </c:pt>
                <c:pt idx="619">
                  <c:v>223.60626662372314</c:v>
                </c:pt>
                <c:pt idx="620">
                  <c:v>224.98013469362709</c:v>
                </c:pt>
                <c:pt idx="621">
                  <c:v>229.29117402536306</c:v>
                </c:pt>
                <c:pt idx="622">
                  <c:v>230.71241043113855</c:v>
                </c:pt>
                <c:pt idx="623">
                  <c:v>231.23352901328474</c:v>
                </c:pt>
                <c:pt idx="624">
                  <c:v>228.58056537784083</c:v>
                </c:pt>
                <c:pt idx="625">
                  <c:v>227.1119618306144</c:v>
                </c:pt>
                <c:pt idx="626">
                  <c:v>229.29117402536303</c:v>
                </c:pt>
                <c:pt idx="627">
                  <c:v>226.8750855130564</c:v>
                </c:pt>
                <c:pt idx="628">
                  <c:v>226.63822830622951</c:v>
                </c:pt>
                <c:pt idx="629">
                  <c:v>230.85453216064295</c:v>
                </c:pt>
                <c:pt idx="630">
                  <c:v>234.26547277948066</c:v>
                </c:pt>
                <c:pt idx="631">
                  <c:v>243.97717605384764</c:v>
                </c:pt>
                <c:pt idx="632">
                  <c:v>248.71459849040727</c:v>
                </c:pt>
                <c:pt idx="633">
                  <c:v>248.59617048420421</c:v>
                </c:pt>
                <c:pt idx="634">
                  <c:v>254.75482932653941</c:v>
                </c:pt>
                <c:pt idx="635">
                  <c:v>251.79392850878526</c:v>
                </c:pt>
                <c:pt idx="636">
                  <c:v>259.96596617675289</c:v>
                </c:pt>
                <c:pt idx="637">
                  <c:v>262.57154475443554</c:v>
                </c:pt>
                <c:pt idx="638">
                  <c:v>258.18944455794735</c:v>
                </c:pt>
                <c:pt idx="639">
                  <c:v>267.90114783231434</c:v>
                </c:pt>
                <c:pt idx="640">
                  <c:v>267.66429062548747</c:v>
                </c:pt>
                <c:pt idx="641">
                  <c:v>274.2966817977869</c:v>
                </c:pt>
                <c:pt idx="642">
                  <c:v>267.66429062548747</c:v>
                </c:pt>
                <c:pt idx="643">
                  <c:v>268.3748992730097</c:v>
                </c:pt>
                <c:pt idx="644">
                  <c:v>265.88774989595089</c:v>
                </c:pt>
                <c:pt idx="645">
                  <c:v>264.82183692466754</c:v>
                </c:pt>
                <c:pt idx="646">
                  <c:v>257.71571103356251</c:v>
                </c:pt>
                <c:pt idx="647">
                  <c:v>250.84644354370511</c:v>
                </c:pt>
                <c:pt idx="648">
                  <c:v>251.55705219122734</c:v>
                </c:pt>
                <c:pt idx="649">
                  <c:v>243.97717605384773</c:v>
                </c:pt>
                <c:pt idx="650">
                  <c:v>246.34587831397235</c:v>
                </c:pt>
                <c:pt idx="651">
                  <c:v>241.13474026933818</c:v>
                </c:pt>
                <c:pt idx="652">
                  <c:v>259.49223384678879</c:v>
                </c:pt>
                <c:pt idx="653">
                  <c:v>258.42630176477434</c:v>
                </c:pt>
                <c:pt idx="654">
                  <c:v>253.80732644514885</c:v>
                </c:pt>
                <c:pt idx="655">
                  <c:v>263.87433404327692</c:v>
                </c:pt>
                <c:pt idx="656">
                  <c:v>254.63638220960524</c:v>
                </c:pt>
                <c:pt idx="657">
                  <c:v>272.99387459263517</c:v>
                </c:pt>
                <c:pt idx="658">
                  <c:v>272.75701738580824</c:v>
                </c:pt>
                <c:pt idx="659">
                  <c:v>265.1771412484286</c:v>
                </c:pt>
                <c:pt idx="660">
                  <c:v>268.61175647983652</c:v>
                </c:pt>
                <c:pt idx="661">
                  <c:v>278.91565831183294</c:v>
                </c:pt>
                <c:pt idx="662">
                  <c:v>280.81062704757267</c:v>
                </c:pt>
                <c:pt idx="663">
                  <c:v>277.73129702919471</c:v>
                </c:pt>
                <c:pt idx="664">
                  <c:v>273.82293035709142</c:v>
                </c:pt>
                <c:pt idx="665">
                  <c:v>273.94137747402561</c:v>
                </c:pt>
                <c:pt idx="666">
                  <c:v>275.95475749407871</c:v>
                </c:pt>
                <c:pt idx="667">
                  <c:v>282.3502735432408</c:v>
                </c:pt>
                <c:pt idx="668">
                  <c:v>294.19382187090554</c:v>
                </c:pt>
                <c:pt idx="669">
                  <c:v>290.87763464570065</c:v>
                </c:pt>
                <c:pt idx="670">
                  <c:v>282.3502735432408</c:v>
                </c:pt>
                <c:pt idx="671">
                  <c:v>282.70559578331228</c:v>
                </c:pt>
                <c:pt idx="672">
                  <c:v>281.4028076888917</c:v>
                </c:pt>
                <c:pt idx="673">
                  <c:v>292.29888896778658</c:v>
                </c:pt>
                <c:pt idx="674">
                  <c:v>302.12902024835665</c:v>
                </c:pt>
                <c:pt idx="675">
                  <c:v>294.43071491035323</c:v>
                </c:pt>
                <c:pt idx="676">
                  <c:v>294.19382187090554</c:v>
                </c:pt>
                <c:pt idx="677">
                  <c:v>283.17934722400764</c:v>
                </c:pt>
                <c:pt idx="678">
                  <c:v>287.08769597980051</c:v>
                </c:pt>
                <c:pt idx="679">
                  <c:v>293.6016591458968</c:v>
                </c:pt>
                <c:pt idx="680">
                  <c:v>293.72010626283105</c:v>
                </c:pt>
                <c:pt idx="681">
                  <c:v>294.54914411097707</c:v>
                </c:pt>
                <c:pt idx="682">
                  <c:v>289.69329247379358</c:v>
                </c:pt>
                <c:pt idx="683">
                  <c:v>296.44411284671679</c:v>
                </c:pt>
                <c:pt idx="684">
                  <c:v>300.47090871944386</c:v>
                </c:pt>
                <c:pt idx="685">
                  <c:v>305.08990314980042</c:v>
                </c:pt>
                <c:pt idx="686">
                  <c:v>305.91892188721533</c:v>
                </c:pt>
                <c:pt idx="687">
                  <c:v>310.30107702705538</c:v>
                </c:pt>
                <c:pt idx="688">
                  <c:v>315.74912722186838</c:v>
                </c:pt>
                <c:pt idx="689">
                  <c:v>319.77592309459544</c:v>
                </c:pt>
                <c:pt idx="690">
                  <c:v>332.33006215347194</c:v>
                </c:pt>
                <c:pt idx="691">
                  <c:v>329.48762636896242</c:v>
                </c:pt>
                <c:pt idx="692">
                  <c:v>349.38478435839164</c:v>
                </c:pt>
                <c:pt idx="693">
                  <c:v>345.5948456924915</c:v>
                </c:pt>
                <c:pt idx="694">
                  <c:v>340.97586917844529</c:v>
                </c:pt>
                <c:pt idx="695">
                  <c:v>349.74010659846311</c:v>
                </c:pt>
                <c:pt idx="696">
                  <c:v>346.66081360712667</c:v>
                </c:pt>
                <c:pt idx="697">
                  <c:v>369.51883538726861</c:v>
                </c:pt>
                <c:pt idx="698">
                  <c:v>369.51883538726861</c:v>
                </c:pt>
                <c:pt idx="699">
                  <c:v>360.39927572717926</c:v>
                </c:pt>
                <c:pt idx="700">
                  <c:v>337.65968314766116</c:v>
                </c:pt>
                <c:pt idx="701">
                  <c:v>345.5948456924915</c:v>
                </c:pt>
                <c:pt idx="702">
                  <c:v>342.515552701155</c:v>
                </c:pt>
                <c:pt idx="703">
                  <c:v>322.85525191855271</c:v>
                </c:pt>
                <c:pt idx="704">
                  <c:v>325.93458193693067</c:v>
                </c:pt>
                <c:pt idx="705">
                  <c:v>337.65968314766116</c:v>
                </c:pt>
                <c:pt idx="706">
                  <c:v>339.4362226827771</c:v>
                </c:pt>
                <c:pt idx="707">
                  <c:v>352.81943542242038</c:v>
                </c:pt>
                <c:pt idx="708">
                  <c:v>346.54234857388212</c:v>
                </c:pt>
                <c:pt idx="709">
                  <c:v>344.64734281110088</c:v>
                </c:pt>
                <c:pt idx="710">
                  <c:v>332.80381359416725</c:v>
                </c:pt>
                <c:pt idx="711">
                  <c:v>314.2094078665379</c:v>
                </c:pt>
                <c:pt idx="712">
                  <c:v>322.14464327103053</c:v>
                </c:pt>
                <c:pt idx="713">
                  <c:v>315.98594859607448</c:v>
                </c:pt>
                <c:pt idx="714">
                  <c:v>314.56473010660943</c:v>
                </c:pt>
                <c:pt idx="715">
                  <c:v>320.48653174211773</c:v>
                </c:pt>
                <c:pt idx="716">
                  <c:v>325.93458193693078</c:v>
                </c:pt>
                <c:pt idx="717">
                  <c:v>317.17030868429208</c:v>
                </c:pt>
                <c:pt idx="718">
                  <c:v>316.45973586939073</c:v>
                </c:pt>
                <c:pt idx="719">
                  <c:v>314.8015885078571</c:v>
                </c:pt>
                <c:pt idx="720">
                  <c:v>302.72121880598627</c:v>
                </c:pt>
                <c:pt idx="721">
                  <c:v>290.9960638463246</c:v>
                </c:pt>
                <c:pt idx="722">
                  <c:v>307.93239268324129</c:v>
                </c:pt>
                <c:pt idx="723">
                  <c:v>308.16921405744739</c:v>
                </c:pt>
                <c:pt idx="724">
                  <c:v>323.68425393407796</c:v>
                </c:pt>
                <c:pt idx="725">
                  <c:v>307.34017620930132</c:v>
                </c:pt>
                <c:pt idx="726">
                  <c:v>301.89214512521937</c:v>
                </c:pt>
                <c:pt idx="727">
                  <c:v>291.46983320333021</c:v>
                </c:pt>
                <c:pt idx="728">
                  <c:v>281.40280768889176</c:v>
                </c:pt>
                <c:pt idx="729">
                  <c:v>267.6642906254873</c:v>
                </c:pt>
                <c:pt idx="730">
                  <c:v>280.3368756068773</c:v>
                </c:pt>
                <c:pt idx="731">
                  <c:v>273.46760811701989</c:v>
                </c:pt>
                <c:pt idx="732">
                  <c:v>277.96817334675268</c:v>
                </c:pt>
                <c:pt idx="733">
                  <c:v>272.16483674448892</c:v>
                </c:pt>
                <c:pt idx="734">
                  <c:v>258.18944455794718</c:v>
                </c:pt>
                <c:pt idx="735">
                  <c:v>257.00508446972964</c:v>
                </c:pt>
                <c:pt idx="736">
                  <c:v>246.9380768716016</c:v>
                </c:pt>
                <c:pt idx="737">
                  <c:v>252.62298427324149</c:v>
                </c:pt>
                <c:pt idx="738">
                  <c:v>269.44081224429277</c:v>
                </c:pt>
                <c:pt idx="739">
                  <c:v>272.2832659451127</c:v>
                </c:pt>
                <c:pt idx="740">
                  <c:v>281.63968281202892</c:v>
                </c:pt>
                <c:pt idx="741">
                  <c:v>277.84974414612873</c:v>
                </c:pt>
                <c:pt idx="742">
                  <c:v>275.95475749407859</c:v>
                </c:pt>
                <c:pt idx="743">
                  <c:v>277.37597478912301</c:v>
                </c:pt>
                <c:pt idx="744">
                  <c:v>261.26877338190434</c:v>
                </c:pt>
                <c:pt idx="745">
                  <c:v>259.9659661767526</c:v>
                </c:pt>
                <c:pt idx="746">
                  <c:v>264.22965628334811</c:v>
                </c:pt>
                <c:pt idx="747">
                  <c:v>268.96707871990776</c:v>
                </c:pt>
                <c:pt idx="748">
                  <c:v>272.52016017898103</c:v>
                </c:pt>
                <c:pt idx="749">
                  <c:v>268.25647007238553</c:v>
                </c:pt>
                <c:pt idx="750">
                  <c:v>269.67768736743</c:v>
                </c:pt>
                <c:pt idx="751">
                  <c:v>281.16593137133356</c:v>
                </c:pt>
                <c:pt idx="752">
                  <c:v>288.27205606801789</c:v>
                </c:pt>
                <c:pt idx="753">
                  <c:v>294.90444843473801</c:v>
                </c:pt>
                <c:pt idx="754">
                  <c:v>308.40607126427403</c:v>
                </c:pt>
                <c:pt idx="755">
                  <c:v>295.85193339981828</c:v>
                </c:pt>
                <c:pt idx="756">
                  <c:v>290.16702599817836</c:v>
                </c:pt>
                <c:pt idx="757">
                  <c:v>297.08366182390739</c:v>
                </c:pt>
                <c:pt idx="758">
                  <c:v>299.24189640801217</c:v>
                </c:pt>
                <c:pt idx="759">
                  <c:v>286.22098729739514</c:v>
                </c:pt>
                <c:pt idx="760">
                  <c:v>286.17330960656392</c:v>
                </c:pt>
                <c:pt idx="761">
                  <c:v>283.50235680105186</c:v>
                </c:pt>
                <c:pt idx="762">
                  <c:v>289.2258105473195</c:v>
                </c:pt>
                <c:pt idx="763">
                  <c:v>295.71241789626754</c:v>
                </c:pt>
                <c:pt idx="764">
                  <c:v>291.51519610685693</c:v>
                </c:pt>
                <c:pt idx="765">
                  <c:v>281.78532211047639</c:v>
                </c:pt>
                <c:pt idx="766">
                  <c:v>287.36568903531906</c:v>
                </c:pt>
                <c:pt idx="767">
                  <c:v>316.69845278923759</c:v>
                </c:pt>
                <c:pt idx="768">
                  <c:v>313.3597387897492</c:v>
                </c:pt>
                <c:pt idx="769">
                  <c:v>316.31688554326297</c:v>
                </c:pt>
                <c:pt idx="770">
                  <c:v>329.51664123645429</c:v>
                </c:pt>
                <c:pt idx="771">
                  <c:v>317.29464190640488</c:v>
                </c:pt>
                <c:pt idx="772">
                  <c:v>307.874801300652</c:v>
                </c:pt>
                <c:pt idx="773">
                  <c:v>294.52001935678135</c:v>
                </c:pt>
                <c:pt idx="774">
                  <c:v>274.7263638925665</c:v>
                </c:pt>
                <c:pt idx="775">
                  <c:v>296.66633601120424</c:v>
                </c:pt>
                <c:pt idx="776">
                  <c:v>277.11114186080795</c:v>
                </c:pt>
                <c:pt idx="777">
                  <c:v>292.13524258296059</c:v>
                </c:pt>
                <c:pt idx="778">
                  <c:v>281.16527563437285</c:v>
                </c:pt>
                <c:pt idx="779">
                  <c:v>272.69931611651509</c:v>
                </c:pt>
                <c:pt idx="780">
                  <c:v>270.07605891814467</c:v>
                </c:pt>
                <c:pt idx="781">
                  <c:v>270.67224922973259</c:v>
                </c:pt>
                <c:pt idx="782">
                  <c:v>275.91876243205269</c:v>
                </c:pt>
                <c:pt idx="783">
                  <c:v>270.19530749136436</c:v>
                </c:pt>
                <c:pt idx="784">
                  <c:v>275.44180277737405</c:v>
                </c:pt>
                <c:pt idx="785">
                  <c:v>276.75344989008005</c:v>
                </c:pt>
                <c:pt idx="786">
                  <c:v>280.21135751943626</c:v>
                </c:pt>
                <c:pt idx="787">
                  <c:v>280.44983674956524</c:v>
                </c:pt>
                <c:pt idx="788">
                  <c:v>278.89972832304073</c:v>
                </c:pt>
                <c:pt idx="789">
                  <c:v>284.74244975325911</c:v>
                </c:pt>
                <c:pt idx="790">
                  <c:v>282.35767297943841</c:v>
                </c:pt>
                <c:pt idx="791">
                  <c:v>284.26547337669081</c:v>
                </c:pt>
                <c:pt idx="792">
                  <c:v>269.59910045788678</c:v>
                </c:pt>
                <c:pt idx="793">
                  <c:v>266.97584325951635</c:v>
                </c:pt>
                <c:pt idx="794">
                  <c:v>269.0029101462988</c:v>
                </c:pt>
                <c:pt idx="795">
                  <c:v>263.39866794620934</c:v>
                </c:pt>
                <c:pt idx="796">
                  <c:v>260.41770205522135</c:v>
                </c:pt>
                <c:pt idx="797">
                  <c:v>259.7022810867241</c:v>
                </c:pt>
                <c:pt idx="798">
                  <c:v>257.3175043129034</c:v>
                </c:pt>
                <c:pt idx="799">
                  <c:v>254.81347777144228</c:v>
                </c:pt>
                <c:pt idx="800">
                  <c:v>267.45280291419499</c:v>
                </c:pt>
                <c:pt idx="801">
                  <c:v>269.71833111479606</c:v>
                </c:pt>
                <c:pt idx="802">
                  <c:v>280.92679520982318</c:v>
                </c:pt>
                <c:pt idx="803">
                  <c:v>279.13822666390075</c:v>
                </c:pt>
                <c:pt idx="804">
                  <c:v>272.93777743033365</c:v>
                </c:pt>
                <c:pt idx="805">
                  <c:v>276.15724166218166</c:v>
                </c:pt>
                <c:pt idx="806">
                  <c:v>276.276472319091</c:v>
                </c:pt>
                <c:pt idx="807">
                  <c:v>271.74539800157851</c:v>
                </c:pt>
                <c:pt idx="808">
                  <c:v>278.6612490929117</c:v>
                </c:pt>
                <c:pt idx="809">
                  <c:v>280.44983674956524</c:v>
                </c:pt>
                <c:pt idx="810">
                  <c:v>296.66633601120418</c:v>
                </c:pt>
                <c:pt idx="811">
                  <c:v>291.89678126914202</c:v>
                </c:pt>
                <c:pt idx="812">
                  <c:v>302.86674941215051</c:v>
                </c:pt>
                <c:pt idx="813">
                  <c:v>292.85068146776825</c:v>
                </c:pt>
                <c:pt idx="814">
                  <c:v>292.49297158073</c:v>
                </c:pt>
                <c:pt idx="815">
                  <c:v>299.52805332897248</c:v>
                </c:pt>
                <c:pt idx="816">
                  <c:v>301.67435087266421</c:v>
                </c:pt>
                <c:pt idx="817">
                  <c:v>293.92383023961412</c:v>
                </c:pt>
                <c:pt idx="818">
                  <c:v>288.20035738261538</c:v>
                </c:pt>
                <c:pt idx="819">
                  <c:v>296.78556666811352</c:v>
                </c:pt>
                <c:pt idx="820">
                  <c:v>295.47393747171799</c:v>
                </c:pt>
                <c:pt idx="821">
                  <c:v>291.89678126914208</c:v>
                </c:pt>
                <c:pt idx="822">
                  <c:v>273.1762745767731</c:v>
                </c:pt>
                <c:pt idx="823">
                  <c:v>270.6722492297327</c:v>
                </c:pt>
                <c:pt idx="824">
                  <c:v>272.34158711874579</c:v>
                </c:pt>
                <c:pt idx="825">
                  <c:v>270.19530749136442</c:v>
                </c:pt>
                <c:pt idx="826">
                  <c:v>282.35767297943841</c:v>
                </c:pt>
                <c:pt idx="827">
                  <c:v>293.80458166639443</c:v>
                </c:pt>
                <c:pt idx="828">
                  <c:v>279.01897809068112</c:v>
                </c:pt>
                <c:pt idx="829">
                  <c:v>278.7804976661314</c:v>
                </c:pt>
                <c:pt idx="830">
                  <c:v>271.74539800157851</c:v>
                </c:pt>
                <c:pt idx="831">
                  <c:v>276.39572089231064</c:v>
                </c:pt>
                <c:pt idx="832">
                  <c:v>274.3686719218386</c:v>
                </c:pt>
                <c:pt idx="833">
                  <c:v>275.68028200750302</c:v>
                </c:pt>
                <c:pt idx="834">
                  <c:v>281.40375486450176</c:v>
                </c:pt>
                <c:pt idx="835">
                  <c:v>284.98091106707767</c:v>
                </c:pt>
                <c:pt idx="836">
                  <c:v>292.61220223763917</c:v>
                </c:pt>
                <c:pt idx="837">
                  <c:v>292.96991212467742</c:v>
                </c:pt>
                <c:pt idx="838">
                  <c:v>296.54708743798437</c:v>
                </c:pt>
                <c:pt idx="839">
                  <c:v>298.33567390021716</c:v>
                </c:pt>
                <c:pt idx="840">
                  <c:v>294.75849978133084</c:v>
                </c:pt>
                <c:pt idx="841">
                  <c:v>288.55808638038451</c:v>
                </c:pt>
                <c:pt idx="842">
                  <c:v>277.82657955119464</c:v>
                </c:pt>
                <c:pt idx="843">
                  <c:v>288.08112672570593</c:v>
                </c:pt>
                <c:pt idx="844">
                  <c:v>287.4849376085387</c:v>
                </c:pt>
                <c:pt idx="845">
                  <c:v>283.55005240819344</c:v>
                </c:pt>
                <c:pt idx="846">
                  <c:v>291.4198036981528</c:v>
                </c:pt>
                <c:pt idx="847">
                  <c:v>296.42785678107504</c:v>
                </c:pt>
                <c:pt idx="848">
                  <c:v>300.60122121154922</c:v>
                </c:pt>
                <c:pt idx="849">
                  <c:v>304.7745856420234</c:v>
                </c:pt>
                <c:pt idx="850">
                  <c:v>309.90183116039276</c:v>
                </c:pt>
                <c:pt idx="851">
                  <c:v>305.84773441386938</c:v>
                </c:pt>
                <c:pt idx="852">
                  <c:v>308.11326261447039</c:v>
                </c:pt>
                <c:pt idx="853">
                  <c:v>303.82066752708687</c:v>
                </c:pt>
                <c:pt idx="854">
                  <c:v>304.05912884090543</c:v>
                </c:pt>
                <c:pt idx="855">
                  <c:v>303.22447721549895</c:v>
                </c:pt>
                <c:pt idx="856">
                  <c:v>305.96696507077866</c:v>
                </c:pt>
                <c:pt idx="857">
                  <c:v>316.69845278923748</c:v>
                </c:pt>
                <c:pt idx="858">
                  <c:v>316.5792221323282</c:v>
                </c:pt>
                <c:pt idx="859">
                  <c:v>314.67138590245503</c:v>
                </c:pt>
                <c:pt idx="860">
                  <c:v>315.26757501962226</c:v>
                </c:pt>
                <c:pt idx="861">
                  <c:v>301.07816175549686</c:v>
                </c:pt>
                <c:pt idx="862">
                  <c:v>300.95891318227717</c:v>
                </c:pt>
                <c:pt idx="863">
                  <c:v>298.09719467008819</c:v>
                </c:pt>
                <c:pt idx="864">
                  <c:v>310.97497993223874</c:v>
                </c:pt>
                <c:pt idx="865">
                  <c:v>309.78260050348359</c:v>
                </c:pt>
                <c:pt idx="866">
                  <c:v>300.95891318227717</c:v>
                </c:pt>
                <c:pt idx="867">
                  <c:v>303.93989818399626</c:v>
                </c:pt>
                <c:pt idx="868">
                  <c:v>295.35468889849813</c:v>
                </c:pt>
                <c:pt idx="869">
                  <c:v>294.87774835455059</c:v>
                </c:pt>
                <c:pt idx="870">
                  <c:v>299.88578232674172</c:v>
                </c:pt>
                <c:pt idx="871">
                  <c:v>305.72846672991864</c:v>
                </c:pt>
                <c:pt idx="872">
                  <c:v>317.7716015610834</c:v>
                </c:pt>
                <c:pt idx="873">
                  <c:v>310.49802147198079</c:v>
                </c:pt>
                <c:pt idx="874">
                  <c:v>312.04816573112612</c:v>
                </c:pt>
                <c:pt idx="875">
                  <c:v>307.63630295979186</c:v>
                </c:pt>
                <c:pt idx="876">
                  <c:v>317.53310322022327</c:v>
                </c:pt>
                <c:pt idx="877">
                  <c:v>307.04011384262463</c:v>
                </c:pt>
                <c:pt idx="878">
                  <c:v>295.95089712639646</c:v>
                </c:pt>
                <c:pt idx="879">
                  <c:v>274.48788466243735</c:v>
                </c:pt>
                <c:pt idx="880">
                  <c:v>274.48788466243735</c:v>
                </c:pt>
                <c:pt idx="881">
                  <c:v>278.30353920587334</c:v>
                </c:pt>
                <c:pt idx="882">
                  <c:v>273.89169554527012</c:v>
                </c:pt>
                <c:pt idx="883">
                  <c:v>265.3065041760824</c:v>
                </c:pt>
                <c:pt idx="884">
                  <c:v>267.21432248964516</c:v>
                </c:pt>
                <c:pt idx="885">
                  <c:v>281.16527563437268</c:v>
                </c:pt>
                <c:pt idx="886">
                  <c:v>294.6392691244215</c:v>
                </c:pt>
                <c:pt idx="887">
                  <c:v>290.94286315420521</c:v>
                </c:pt>
                <c:pt idx="888">
                  <c:v>300.48197144390883</c:v>
                </c:pt>
                <c:pt idx="889">
                  <c:v>297.14327655515149</c:v>
                </c:pt>
                <c:pt idx="890">
                  <c:v>300.60122121154922</c:v>
                </c:pt>
                <c:pt idx="891">
                  <c:v>318.01009870752267</c:v>
                </c:pt>
                <c:pt idx="892">
                  <c:v>324.21049419215854</c:v>
                </c:pt>
                <c:pt idx="893">
                  <c:v>327.07221270434752</c:v>
                </c:pt>
                <c:pt idx="894">
                  <c:v>321.82573533464819</c:v>
                </c:pt>
                <c:pt idx="895">
                  <c:v>325.52214011044373</c:v>
                </c:pt>
                <c:pt idx="896">
                  <c:v>326.1183304220317</c:v>
                </c:pt>
                <c:pt idx="897">
                  <c:v>333.51114116804354</c:v>
                </c:pt>
                <c:pt idx="898">
                  <c:v>331.84176625198899</c:v>
                </c:pt>
                <c:pt idx="899">
                  <c:v>332.55722305310701</c:v>
                </c:pt>
                <c:pt idx="900">
                  <c:v>317.77160156108323</c:v>
                </c:pt>
                <c:pt idx="901">
                  <c:v>259.94076031685296</c:v>
                </c:pt>
                <c:pt idx="902">
                  <c:v>262.44476894200363</c:v>
                </c:pt>
                <c:pt idx="903">
                  <c:v>250.40163411083887</c:v>
                </c:pt>
                <c:pt idx="904">
                  <c:v>267.09509183273576</c:v>
                </c:pt>
                <c:pt idx="905">
                  <c:v>266.02194306088984</c:v>
                </c:pt>
                <c:pt idx="906">
                  <c:v>274.84561366020648</c:v>
                </c:pt>
                <c:pt idx="907">
                  <c:v>275.32255420415402</c:v>
                </c:pt>
                <c:pt idx="908">
                  <c:v>283.90778140596251</c:v>
                </c:pt>
                <c:pt idx="909">
                  <c:v>276.63420012243927</c:v>
                </c:pt>
                <c:pt idx="910">
                  <c:v>275.20334146355509</c:v>
                </c:pt>
                <c:pt idx="911">
                  <c:v>276.51495154921952</c:v>
                </c:pt>
                <c:pt idx="912">
                  <c:v>277.11114186080744</c:v>
                </c:pt>
                <c:pt idx="913">
                  <c:v>267.92976137445248</c:v>
                </c:pt>
                <c:pt idx="914">
                  <c:v>261.13313974560788</c:v>
                </c:pt>
                <c:pt idx="915">
                  <c:v>253.14413988242879</c:v>
                </c:pt>
                <c:pt idx="916">
                  <c:v>254.81347777144191</c:v>
                </c:pt>
                <c:pt idx="917">
                  <c:v>268.76443091616943</c:v>
                </c:pt>
                <c:pt idx="918">
                  <c:v>266.85661260260667</c:v>
                </c:pt>
                <c:pt idx="919">
                  <c:v>264.11410683101656</c:v>
                </c:pt>
                <c:pt idx="920">
                  <c:v>262.32553828509413</c:v>
                </c:pt>
                <c:pt idx="921">
                  <c:v>259.82151174363304</c:v>
                </c:pt>
                <c:pt idx="922">
                  <c:v>247.42066702543008</c:v>
                </c:pt>
                <c:pt idx="923">
                  <c:v>242.05492316620069</c:v>
                </c:pt>
                <c:pt idx="924">
                  <c:v>241.69719536285206</c:v>
                </c:pt>
                <c:pt idx="925">
                  <c:v>256.6020654280955</c:v>
                </c:pt>
                <c:pt idx="926">
                  <c:v>256.36358619796647</c:v>
                </c:pt>
                <c:pt idx="927">
                  <c:v>252.66718022775024</c:v>
                </c:pt>
                <c:pt idx="928">
                  <c:v>244.79741102148043</c:v>
                </c:pt>
                <c:pt idx="929">
                  <c:v>243.36655116817556</c:v>
                </c:pt>
                <c:pt idx="930">
                  <c:v>230.78684314550858</c:v>
                </c:pt>
                <c:pt idx="931">
                  <c:v>231.44266610465118</c:v>
                </c:pt>
                <c:pt idx="932">
                  <c:v>236.27183557795766</c:v>
                </c:pt>
                <c:pt idx="933">
                  <c:v>231.56189676156049</c:v>
                </c:pt>
                <c:pt idx="934">
                  <c:v>226.73272728825407</c:v>
                </c:pt>
                <c:pt idx="935">
                  <c:v>229.11750406207477</c:v>
                </c:pt>
                <c:pt idx="936">
                  <c:v>231.26380160576656</c:v>
                </c:pt>
                <c:pt idx="937">
                  <c:v>233.70819430525225</c:v>
                </c:pt>
                <c:pt idx="938">
                  <c:v>236.15260492104838</c:v>
                </c:pt>
                <c:pt idx="939">
                  <c:v>231.20416776379116</c:v>
                </c:pt>
                <c:pt idx="940">
                  <c:v>233.11200399366433</c:v>
                </c:pt>
                <c:pt idx="941">
                  <c:v>238.47774904731443</c:v>
                </c:pt>
                <c:pt idx="942">
                  <c:v>236.45070007684237</c:v>
                </c:pt>
                <c:pt idx="943">
                  <c:v>237.10652303598502</c:v>
                </c:pt>
                <c:pt idx="944">
                  <c:v>234.72174626216432</c:v>
                </c:pt>
                <c:pt idx="945">
                  <c:v>217.31284965545979</c:v>
                </c:pt>
                <c:pt idx="946">
                  <c:v>214.98770552919379</c:v>
                </c:pt>
                <c:pt idx="947">
                  <c:v>217.67057745880845</c:v>
                </c:pt>
                <c:pt idx="948">
                  <c:v>218.86295688756363</c:v>
                </c:pt>
                <c:pt idx="949">
                  <c:v>223.39405031580719</c:v>
                </c:pt>
                <c:pt idx="950">
                  <c:v>218.92259072953902</c:v>
                </c:pt>
                <c:pt idx="951">
                  <c:v>220.65154454421713</c:v>
                </c:pt>
                <c:pt idx="952">
                  <c:v>217.37248230301449</c:v>
                </c:pt>
                <c:pt idx="953">
                  <c:v>217.73019338447344</c:v>
                </c:pt>
                <c:pt idx="954">
                  <c:v>230.90607380241792</c:v>
                </c:pt>
                <c:pt idx="955">
                  <c:v>210.03926956635721</c:v>
                </c:pt>
                <c:pt idx="956">
                  <c:v>207.47564620996218</c:v>
                </c:pt>
                <c:pt idx="957">
                  <c:v>197.99615265150288</c:v>
                </c:pt>
                <c:pt idx="958">
                  <c:v>209.50271309674466</c:v>
                </c:pt>
                <c:pt idx="959">
                  <c:v>208.66804355502777</c:v>
                </c:pt>
                <c:pt idx="960">
                  <c:v>200.44056326729901</c:v>
                </c:pt>
                <c:pt idx="961">
                  <c:v>210.99318768129379</c:v>
                </c:pt>
                <c:pt idx="962">
                  <c:v>202.70609146790008</c:v>
                </c:pt>
                <c:pt idx="963">
                  <c:v>207.59489478318193</c:v>
                </c:pt>
                <c:pt idx="964">
                  <c:v>201.21559896704053</c:v>
                </c:pt>
                <c:pt idx="965">
                  <c:v>198.29424780729687</c:v>
                </c:pt>
                <c:pt idx="966">
                  <c:v>197.93653792025859</c:v>
                </c:pt>
                <c:pt idx="967">
                  <c:v>191.91496990746589</c:v>
                </c:pt>
                <c:pt idx="968">
                  <c:v>200.91750381124655</c:v>
                </c:pt>
                <c:pt idx="969">
                  <c:v>195.84985510781115</c:v>
                </c:pt>
                <c:pt idx="970">
                  <c:v>198.95007076643947</c:v>
                </c:pt>
                <c:pt idx="971">
                  <c:v>194.12090129313304</c:v>
                </c:pt>
                <c:pt idx="972">
                  <c:v>208.66804355502779</c:v>
                </c:pt>
                <c:pt idx="973">
                  <c:v>205.56780998008904</c:v>
                </c:pt>
                <c:pt idx="974">
                  <c:v>203.8388561654109</c:v>
                </c:pt>
                <c:pt idx="975">
                  <c:v>195.96910368103079</c:v>
                </c:pt>
                <c:pt idx="976">
                  <c:v>193.82280613733906</c:v>
                </c:pt>
                <c:pt idx="977">
                  <c:v>193.88242206300404</c:v>
                </c:pt>
                <c:pt idx="978">
                  <c:v>192.86888802240247</c:v>
                </c:pt>
                <c:pt idx="979">
                  <c:v>214.98770552919373</c:v>
                </c:pt>
                <c:pt idx="980">
                  <c:v>225.30184951863885</c:v>
                </c:pt>
                <c:pt idx="981">
                  <c:v>259.34455328337509</c:v>
                </c:pt>
                <c:pt idx="982">
                  <c:v>255.64814731315883</c:v>
                </c:pt>
                <c:pt idx="983">
                  <c:v>240.50481593409691</c:v>
                </c:pt>
                <c:pt idx="984">
                  <c:v>233.23125376130474</c:v>
                </c:pt>
                <c:pt idx="985">
                  <c:v>233.29085057623863</c:v>
                </c:pt>
                <c:pt idx="986">
                  <c:v>253.97880942414579</c:v>
                </c:pt>
                <c:pt idx="987">
                  <c:v>280.68831597969381</c:v>
                </c:pt>
                <c:pt idx="988">
                  <c:v>262.92172740226147</c:v>
                </c:pt>
                <c:pt idx="989">
                  <c:v>249.44773391221264</c:v>
                </c:pt>
                <c:pt idx="990">
                  <c:v>255.40966808302991</c:v>
                </c:pt>
                <c:pt idx="991">
                  <c:v>243.24730259495593</c:v>
                </c:pt>
                <c:pt idx="992">
                  <c:v>235.55639669315013</c:v>
                </c:pt>
                <c:pt idx="993">
                  <c:v>243.36655116817565</c:v>
                </c:pt>
                <c:pt idx="994">
                  <c:v>250.16317279702028</c:v>
                </c:pt>
                <c:pt idx="995">
                  <c:v>248.49381579727606</c:v>
                </c:pt>
                <c:pt idx="996">
                  <c:v>243.36655116817565</c:v>
                </c:pt>
                <c:pt idx="997">
                  <c:v>240.86252582113525</c:v>
                </c:pt>
                <c:pt idx="998">
                  <c:v>232.69466026465076</c:v>
                </c:pt>
                <c:pt idx="999">
                  <c:v>228.81939098997051</c:v>
                </c:pt>
                <c:pt idx="1000">
                  <c:v>227.15005310095739</c:v>
                </c:pt>
                <c:pt idx="1001">
                  <c:v>223.69214547160118</c:v>
                </c:pt>
                <c:pt idx="1002">
                  <c:v>226.67311136258914</c:v>
                </c:pt>
                <c:pt idx="1003">
                  <c:v>239.55089781916038</c:v>
                </c:pt>
                <c:pt idx="1004">
                  <c:v>238.17965389152053</c:v>
                </c:pt>
                <c:pt idx="1005">
                  <c:v>250.46126795281424</c:v>
                </c:pt>
                <c:pt idx="1006">
                  <c:v>238.83547685066316</c:v>
                </c:pt>
                <c:pt idx="1007">
                  <c:v>259.34455328337521</c:v>
                </c:pt>
                <c:pt idx="1008">
                  <c:v>251.48528064616184</c:v>
                </c:pt>
                <c:pt idx="1009">
                  <c:v>249.33531981420245</c:v>
                </c:pt>
                <c:pt idx="1010">
                  <c:v>255.42687251870237</c:v>
                </c:pt>
                <c:pt idx="1011">
                  <c:v>251.30610679231751</c:v>
                </c:pt>
                <c:pt idx="1012">
                  <c:v>241.75074124255167</c:v>
                </c:pt>
                <c:pt idx="1013">
                  <c:v>239.3021931534725</c:v>
                </c:pt>
                <c:pt idx="1014">
                  <c:v>242.82573061668657</c:v>
                </c:pt>
                <c:pt idx="1015">
                  <c:v>249.09643925872041</c:v>
                </c:pt>
                <c:pt idx="1016">
                  <c:v>240.55632054883094</c:v>
                </c:pt>
                <c:pt idx="1017">
                  <c:v>231.5742900706787</c:v>
                </c:pt>
                <c:pt idx="1018">
                  <c:v>226.5577088240033</c:v>
                </c:pt>
                <c:pt idx="1019">
                  <c:v>212.46355897114702</c:v>
                </c:pt>
                <c:pt idx="1020">
                  <c:v>214.47017737565301</c:v>
                </c:pt>
                <c:pt idx="1021">
                  <c:v>211.65134334405138</c:v>
                </c:pt>
                <c:pt idx="1022">
                  <c:v>218.36399958696884</c:v>
                </c:pt>
                <c:pt idx="1023">
                  <c:v>201.21211842513912</c:v>
                </c:pt>
                <c:pt idx="1024">
                  <c:v>208.23529896558941</c:v>
                </c:pt>
                <c:pt idx="1025">
                  <c:v>207.73364466306805</c:v>
                </c:pt>
                <c:pt idx="1026">
                  <c:v>206.84976737761124</c:v>
                </c:pt>
                <c:pt idx="1027">
                  <c:v>196.62552862820317</c:v>
                </c:pt>
                <c:pt idx="1028">
                  <c:v>183.558563850057</c:v>
                </c:pt>
                <c:pt idx="1029">
                  <c:v>181.19361565417273</c:v>
                </c:pt>
                <c:pt idx="1030">
                  <c:v>185.08743905990926</c:v>
                </c:pt>
                <c:pt idx="1031">
                  <c:v>176.94148037336834</c:v>
                </c:pt>
                <c:pt idx="1032">
                  <c:v>178.66144975558828</c:v>
                </c:pt>
                <c:pt idx="1033">
                  <c:v>182.34026788108949</c:v>
                </c:pt>
                <c:pt idx="1034">
                  <c:v>187.26127516711543</c:v>
                </c:pt>
                <c:pt idx="1035">
                  <c:v>187.95404155831486</c:v>
                </c:pt>
                <c:pt idx="1036">
                  <c:v>187.14182593121919</c:v>
                </c:pt>
                <c:pt idx="1037">
                  <c:v>195.98054981453885</c:v>
                </c:pt>
                <c:pt idx="1038">
                  <c:v>203.24263002120225</c:v>
                </c:pt>
                <c:pt idx="1039">
                  <c:v>200.73433939786457</c:v>
                </c:pt>
                <c:pt idx="1040">
                  <c:v>214.56573222557131</c:v>
                </c:pt>
                <c:pt idx="1041">
                  <c:v>211.48412564135114</c:v>
                </c:pt>
                <c:pt idx="1042">
                  <c:v>210.43302945877343</c:v>
                </c:pt>
                <c:pt idx="1043">
                  <c:v>209.47750723684518</c:v>
                </c:pt>
                <c:pt idx="1044">
                  <c:v>208.42641105426745</c:v>
                </c:pt>
                <c:pt idx="1045">
                  <c:v>217.07402284890901</c:v>
                </c:pt>
                <c:pt idx="1046">
                  <c:v>218.1489943067335</c:v>
                </c:pt>
                <c:pt idx="1047">
                  <c:v>214.70905793113505</c:v>
                </c:pt>
                <c:pt idx="1048">
                  <c:v>209.62083174798821</c:v>
                </c:pt>
                <c:pt idx="1049">
                  <c:v>194.97724001507549</c:v>
                </c:pt>
                <c:pt idx="1050">
                  <c:v>191.441747595138</c:v>
                </c:pt>
                <c:pt idx="1051">
                  <c:v>193.63947689390133</c:v>
                </c:pt>
                <c:pt idx="1052">
                  <c:v>192.92283522745515</c:v>
                </c:pt>
                <c:pt idx="1053">
                  <c:v>193.87837536569381</c:v>
                </c:pt>
                <c:pt idx="1054">
                  <c:v>204.9625982090015</c:v>
                </c:pt>
                <c:pt idx="1055">
                  <c:v>208.11586764600349</c:v>
                </c:pt>
                <c:pt idx="1056">
                  <c:v>208.54586029016369</c:v>
                </c:pt>
                <c:pt idx="1057">
                  <c:v>200.8298942477829</c:v>
                </c:pt>
                <c:pt idx="1058">
                  <c:v>200.75823258942177</c:v>
                </c:pt>
                <c:pt idx="1059">
                  <c:v>199.92214168707935</c:v>
                </c:pt>
                <c:pt idx="1060">
                  <c:v>189.48289765743598</c:v>
                </c:pt>
                <c:pt idx="1061">
                  <c:v>179.04365482221334</c:v>
                </c:pt>
                <c:pt idx="1062">
                  <c:v>183.91689364143534</c:v>
                </c:pt>
                <c:pt idx="1063">
                  <c:v>184.99188301557024</c:v>
                </c:pt>
                <c:pt idx="1064">
                  <c:v>187.50015572259753</c:v>
                </c:pt>
                <c:pt idx="1065">
                  <c:v>190.91619890663881</c:v>
                </c:pt>
                <c:pt idx="1066">
                  <c:v>199.1338192515409</c:v>
                </c:pt>
                <c:pt idx="1067">
                  <c:v>204.07872092354475</c:v>
                </c:pt>
                <c:pt idx="1068">
                  <c:v>205.32091008406942</c:v>
                </c:pt>
                <c:pt idx="1069">
                  <c:v>209.76415625913125</c:v>
                </c:pt>
                <c:pt idx="1070">
                  <c:v>205.44035931996569</c:v>
                </c:pt>
                <c:pt idx="1071">
                  <c:v>199.70713640684409</c:v>
                </c:pt>
                <c:pt idx="1072">
                  <c:v>193.20948544416194</c:v>
                </c:pt>
                <c:pt idx="1073">
                  <c:v>199.01437001564466</c:v>
                </c:pt>
                <c:pt idx="1074">
                  <c:v>198.32160362444529</c:v>
                </c:pt>
                <c:pt idx="1075">
                  <c:v>203.76817751528083</c:v>
                </c:pt>
                <c:pt idx="1076">
                  <c:v>200.37600960648632</c:v>
                </c:pt>
                <c:pt idx="1077">
                  <c:v>208.97585293432391</c:v>
                </c:pt>
                <c:pt idx="1078">
                  <c:v>203.52927904348834</c:v>
                </c:pt>
                <c:pt idx="1079">
                  <c:v>192.66006148041595</c:v>
                </c:pt>
                <c:pt idx="1080">
                  <c:v>192.34950015584164</c:v>
                </c:pt>
                <c:pt idx="1081">
                  <c:v>222.83112223169815</c:v>
                </c:pt>
                <c:pt idx="1082">
                  <c:v>226.39048992688248</c:v>
                </c:pt>
                <c:pt idx="1083">
                  <c:v>222.11448056525197</c:v>
                </c:pt>
                <c:pt idx="1084">
                  <c:v>224.57498361105462</c:v>
                </c:pt>
                <c:pt idx="1085">
                  <c:v>220.298955138693</c:v>
                </c:pt>
                <c:pt idx="1086">
                  <c:v>226.36661465163573</c:v>
                </c:pt>
                <c:pt idx="1087">
                  <c:v>232.14760722598197</c:v>
                </c:pt>
                <c:pt idx="1088">
                  <c:v>222.21001749885994</c:v>
                </c:pt>
                <c:pt idx="1089">
                  <c:v>217.38456625717305</c:v>
                </c:pt>
                <c:pt idx="1090">
                  <c:v>236.49529735670473</c:v>
                </c:pt>
                <c:pt idx="1091">
                  <c:v>239.00358798004245</c:v>
                </c:pt>
                <c:pt idx="1092">
                  <c:v>230.33208179942304</c:v>
                </c:pt>
                <c:pt idx="1093">
                  <c:v>227.72825424247736</c:v>
                </c:pt>
                <c:pt idx="1094">
                  <c:v>226.43827750441761</c:v>
                </c:pt>
                <c:pt idx="1095">
                  <c:v>232.76871076439954</c:v>
                </c:pt>
                <c:pt idx="1096">
                  <c:v>228.11045930910245</c:v>
                </c:pt>
                <c:pt idx="1097">
                  <c:v>228.80322570030191</c:v>
                </c:pt>
                <c:pt idx="1098">
                  <c:v>224.3838727167973</c:v>
                </c:pt>
                <c:pt idx="1099">
                  <c:v>222.87890861481262</c:v>
                </c:pt>
                <c:pt idx="1100">
                  <c:v>225.57829341051803</c:v>
                </c:pt>
                <c:pt idx="1101">
                  <c:v>230.45153103531928</c:v>
                </c:pt>
                <c:pt idx="1102">
                  <c:v>227.2265987455354</c:v>
                </c:pt>
                <c:pt idx="1103">
                  <c:v>219.05674806185797</c:v>
                </c:pt>
                <c:pt idx="1104">
                  <c:v>223.35666972577678</c:v>
                </c:pt>
                <c:pt idx="1105">
                  <c:v>222.66390333457736</c:v>
                </c:pt>
                <c:pt idx="1106">
                  <c:v>208.73695446253157</c:v>
                </c:pt>
                <c:pt idx="1107">
                  <c:v>214.99572486973165</c:v>
                </c:pt>
                <c:pt idx="1108">
                  <c:v>219.70174479183271</c:v>
                </c:pt>
                <c:pt idx="1109">
                  <c:v>209.74028098388462</c:v>
                </c:pt>
                <c:pt idx="1110">
                  <c:v>212.22466049935471</c:v>
                </c:pt>
                <c:pt idx="1111">
                  <c:v>217.55178395987332</c:v>
                </c:pt>
                <c:pt idx="1112">
                  <c:v>217.52789076831613</c:v>
                </c:pt>
                <c:pt idx="1113">
                  <c:v>218.98508520907615</c:v>
                </c:pt>
                <c:pt idx="1114">
                  <c:v>209.62083174798835</c:v>
                </c:pt>
                <c:pt idx="1115">
                  <c:v>207.18422189374289</c:v>
                </c:pt>
                <c:pt idx="1116">
                  <c:v>201.23599370038602</c:v>
                </c:pt>
                <c:pt idx="1117">
                  <c:v>194.42779932943995</c:v>
                </c:pt>
                <c:pt idx="1118">
                  <c:v>184.72910926853106</c:v>
                </c:pt>
                <c:pt idx="1119">
                  <c:v>180.40529321863443</c:v>
                </c:pt>
                <c:pt idx="1120">
                  <c:v>187.54794210571202</c:v>
                </c:pt>
                <c:pt idx="1121">
                  <c:v>179.49754065793081</c:v>
                </c:pt>
                <c:pt idx="1122">
                  <c:v>178.99588635540951</c:v>
                </c:pt>
                <c:pt idx="1123">
                  <c:v>176.91758718181126</c:v>
                </c:pt>
                <c:pt idx="1124">
                  <c:v>177.9447901728318</c:v>
                </c:pt>
                <c:pt idx="1125">
                  <c:v>175.67539802128658</c:v>
                </c:pt>
                <c:pt idx="1126">
                  <c:v>165.88115191603868</c:v>
                </c:pt>
                <c:pt idx="1127">
                  <c:v>169.15385267262653</c:v>
                </c:pt>
                <c:pt idx="1128">
                  <c:v>168.69998475321961</c:v>
                </c:pt>
                <c:pt idx="1129">
                  <c:v>178.08813260028529</c:v>
                </c:pt>
                <c:pt idx="1130">
                  <c:v>171.51881878482126</c:v>
                </c:pt>
                <c:pt idx="1131">
                  <c:v>168.62830517854806</c:v>
                </c:pt>
                <c:pt idx="1132">
                  <c:v>165.28394156917835</c:v>
                </c:pt>
                <c:pt idx="1133">
                  <c:v>163.82674712841833</c:v>
                </c:pt>
                <c:pt idx="1134">
                  <c:v>161.24679365229878</c:v>
                </c:pt>
                <c:pt idx="1135">
                  <c:v>161.24679365229878</c:v>
                </c:pt>
                <c:pt idx="1136">
                  <c:v>161.10346914115578</c:v>
                </c:pt>
                <c:pt idx="1137">
                  <c:v>168.19833045069831</c:v>
                </c:pt>
                <c:pt idx="1138">
                  <c:v>169.17774586418375</c:v>
                </c:pt>
                <c:pt idx="1139">
                  <c:v>174.09875434463038</c:v>
                </c:pt>
                <c:pt idx="1140">
                  <c:v>172.4504657315027</c:v>
                </c:pt>
                <c:pt idx="1141">
                  <c:v>169.34496476130462</c:v>
                </c:pt>
                <c:pt idx="1142">
                  <c:v>167.45777767638447</c:v>
                </c:pt>
                <c:pt idx="1143">
                  <c:v>171.27992031302873</c:v>
                </c:pt>
                <c:pt idx="1144">
                  <c:v>170.80215920206462</c:v>
                </c:pt>
                <c:pt idx="1145">
                  <c:v>181.09805960983383</c:v>
                </c:pt>
                <c:pt idx="1146">
                  <c:v>180.95473509869083</c:v>
                </c:pt>
                <c:pt idx="1147">
                  <c:v>177.49092225342488</c:v>
                </c:pt>
                <c:pt idx="1148">
                  <c:v>177.2520237816324</c:v>
                </c:pt>
                <c:pt idx="1149">
                  <c:v>179.16310405810975</c:v>
                </c:pt>
                <c:pt idx="1150">
                  <c:v>187.57181738095886</c:v>
                </c:pt>
                <c:pt idx="1151">
                  <c:v>190.70121273713477</c:v>
                </c:pt>
                <c:pt idx="1152">
                  <c:v>184.37077947715284</c:v>
                </c:pt>
                <c:pt idx="1153">
                  <c:v>192.56450543607704</c:v>
                </c:pt>
                <c:pt idx="1154">
                  <c:v>200.92545029212218</c:v>
                </c:pt>
                <c:pt idx="1155">
                  <c:v>200.06546619822257</c:v>
                </c:pt>
                <c:pt idx="1156">
                  <c:v>223.66721313404079</c:v>
                </c:pt>
                <c:pt idx="1157">
                  <c:v>218.22065715951564</c:v>
                </c:pt>
                <c:pt idx="1158">
                  <c:v>210.241935286406</c:v>
                </c:pt>
                <c:pt idx="1159">
                  <c:v>216.04682105230947</c:v>
                </c:pt>
                <c:pt idx="1160">
                  <c:v>208.09197445444661</c:v>
                </c:pt>
                <c:pt idx="1161">
                  <c:v>208.78474084564604</c:v>
                </c:pt>
                <c:pt idx="1162">
                  <c:v>206.96921661350774</c:v>
                </c:pt>
                <c:pt idx="1163">
                  <c:v>202.50207605246806</c:v>
                </c:pt>
                <c:pt idx="1164">
                  <c:v>207.90086356018924</c:v>
                </c:pt>
                <c:pt idx="1165">
                  <c:v>212.00967313542992</c:v>
                </c:pt>
                <c:pt idx="1166">
                  <c:v>218.02954507083757</c:v>
                </c:pt>
                <c:pt idx="1167">
                  <c:v>213.20409382915068</c:v>
                </c:pt>
                <c:pt idx="1168">
                  <c:v>208.92806535678906</c:v>
                </c:pt>
                <c:pt idx="1169">
                  <c:v>210.31359813918789</c:v>
                </c:pt>
                <c:pt idx="1170">
                  <c:v>214.35074605606744</c:v>
                </c:pt>
                <c:pt idx="1171">
                  <c:v>216.45291931049175</c:v>
                </c:pt>
                <c:pt idx="1172">
                  <c:v>219.91673215575767</c:v>
                </c:pt>
                <c:pt idx="1173">
                  <c:v>225.74551111321836</c:v>
                </c:pt>
                <c:pt idx="1174">
                  <c:v>223.3089012589729</c:v>
                </c:pt>
                <c:pt idx="1175">
                  <c:v>221.78002604912066</c:v>
                </c:pt>
                <c:pt idx="1176">
                  <c:v>228.13435250065982</c:v>
                </c:pt>
                <c:pt idx="1177">
                  <c:v>242.82573061668691</c:v>
                </c:pt>
                <c:pt idx="1178">
                  <c:v>242.16879565187844</c:v>
                </c:pt>
                <c:pt idx="1179">
                  <c:v>245.39372794166235</c:v>
                </c:pt>
                <c:pt idx="1180">
                  <c:v>245.99093828852273</c:v>
                </c:pt>
                <c:pt idx="1181">
                  <c:v>240.85492572226147</c:v>
                </c:pt>
                <c:pt idx="1182">
                  <c:v>231.2637287461047</c:v>
                </c:pt>
                <c:pt idx="1183">
                  <c:v>235.10976457430618</c:v>
                </c:pt>
                <c:pt idx="1184">
                  <c:v>228.13435250065984</c:v>
                </c:pt>
                <c:pt idx="1185">
                  <c:v>231.43094764322561</c:v>
                </c:pt>
                <c:pt idx="1186">
                  <c:v>234.39312290785995</c:v>
                </c:pt>
                <c:pt idx="1187">
                  <c:v>236.78196429530141</c:v>
                </c:pt>
                <c:pt idx="1188">
                  <c:v>240.31743999334921</c:v>
                </c:pt>
                <c:pt idx="1189">
                  <c:v>238.5258089527681</c:v>
                </c:pt>
                <c:pt idx="1190">
                  <c:v>243.36321634559917</c:v>
                </c:pt>
                <c:pt idx="1191">
                  <c:v>241.39242936748414</c:v>
                </c:pt>
                <c:pt idx="1192">
                  <c:v>240.91465034020959</c:v>
                </c:pt>
                <c:pt idx="1193">
                  <c:v>239.77995426443698</c:v>
                </c:pt>
                <c:pt idx="1194">
                  <c:v>228.80322570030208</c:v>
                </c:pt>
                <c:pt idx="1195">
                  <c:v>232.43427416457865</c:v>
                </c:pt>
                <c:pt idx="1196">
                  <c:v>242.28824488777471</c:v>
                </c:pt>
                <c:pt idx="1197">
                  <c:v>237.3313882590474</c:v>
                </c:pt>
                <c:pt idx="1198">
                  <c:v>251.66443658369619</c:v>
                </c:pt>
                <c:pt idx="1199">
                  <c:v>255.48657922034045</c:v>
                </c:pt>
                <c:pt idx="1200">
                  <c:v>255.96435824761502</c:v>
                </c:pt>
                <c:pt idx="1201">
                  <c:v>258.23375039916027</c:v>
                </c:pt>
                <c:pt idx="1202">
                  <c:v>255.4865792203405</c:v>
                </c:pt>
                <c:pt idx="1203">
                  <c:v>251.54500526411042</c:v>
                </c:pt>
                <c:pt idx="1204">
                  <c:v>240.25771537540115</c:v>
                </c:pt>
                <c:pt idx="1205">
                  <c:v>241.33270474953608</c:v>
                </c:pt>
                <c:pt idx="1206">
                  <c:v>242.40767620736057</c:v>
                </c:pt>
                <c:pt idx="1207">
                  <c:v>240.97437495815777</c:v>
                </c:pt>
                <c:pt idx="1208">
                  <c:v>234.91865368004878</c:v>
                </c:pt>
                <c:pt idx="1209">
                  <c:v>235.9458554766486</c:v>
                </c:pt>
                <c:pt idx="1210">
                  <c:v>229.63931660264453</c:v>
                </c:pt>
                <c:pt idx="1211">
                  <c:v>231.64595172904018</c:v>
                </c:pt>
                <c:pt idx="1212">
                  <c:v>237.42694430338645</c:v>
                </c:pt>
                <c:pt idx="1213">
                  <c:v>236.2803099927801</c:v>
                </c:pt>
                <c:pt idx="1214">
                  <c:v>244.61736165726805</c:v>
                </c:pt>
                <c:pt idx="1215">
                  <c:v>240.91465034020962</c:v>
                </c:pt>
                <c:pt idx="1216">
                  <c:v>240.37716461129739</c:v>
                </c:pt>
                <c:pt idx="1217">
                  <c:v>238.38248444162517</c:v>
                </c:pt>
                <c:pt idx="1218">
                  <c:v>249.03671464077269</c:v>
                </c:pt>
                <c:pt idx="1219">
                  <c:v>257.87542060778196</c:v>
                </c:pt>
                <c:pt idx="1220">
                  <c:v>254.53105699841225</c:v>
                </c:pt>
                <c:pt idx="1221">
                  <c:v>252.91858189536509</c:v>
                </c:pt>
                <c:pt idx="1222">
                  <c:v>248.6783848493944</c:v>
                </c:pt>
                <c:pt idx="1223">
                  <c:v>248.20062373843027</c:v>
                </c:pt>
                <c:pt idx="1224">
                  <c:v>246.70759787127935</c:v>
                </c:pt>
                <c:pt idx="1225">
                  <c:v>244.85624221275012</c:v>
                </c:pt>
                <c:pt idx="1226">
                  <c:v>244.97569144864636</c:v>
                </c:pt>
                <c:pt idx="1227">
                  <c:v>242.76600599873885</c:v>
                </c:pt>
                <c:pt idx="1228">
                  <c:v>235.85031854304066</c:v>
                </c:pt>
                <c:pt idx="1229">
                  <c:v>240.0785594378672</c:v>
                </c:pt>
                <c:pt idx="1230">
                  <c:v>236.99695165922631</c:v>
                </c:pt>
                <c:pt idx="1231">
                  <c:v>236.66251505940519</c:v>
                </c:pt>
                <c:pt idx="1232">
                  <c:v>239.60079832690309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5-473A-B83C-A4CC602E1078}"/>
            </c:ext>
          </c:extLst>
        </c:ser>
        <c:ser>
          <c:idx val="1"/>
          <c:order val="1"/>
          <c:tx>
            <c:strRef>
              <c:f>'Vestas Stock Price Movement'!$N$1</c:f>
              <c:strCache>
                <c:ptCount val="1"/>
                <c:pt idx="0">
                  <c:v>OMXC25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'Vestas Stock Price Movement'!$L$2:$L$1234</c:f>
              <c:numCache>
                <c:formatCode>m/d/yyyy</c:formatCode>
                <c:ptCount val="1233"/>
                <c:pt idx="0">
                  <c:v>43160</c:v>
                </c:pt>
                <c:pt idx="1">
                  <c:v>43161</c:v>
                </c:pt>
                <c:pt idx="2">
                  <c:v>43164</c:v>
                </c:pt>
                <c:pt idx="3">
                  <c:v>43165</c:v>
                </c:pt>
                <c:pt idx="4">
                  <c:v>43166</c:v>
                </c:pt>
                <c:pt idx="5">
                  <c:v>43167</c:v>
                </c:pt>
                <c:pt idx="6">
                  <c:v>43168</c:v>
                </c:pt>
                <c:pt idx="7">
                  <c:v>43171</c:v>
                </c:pt>
                <c:pt idx="8">
                  <c:v>43172</c:v>
                </c:pt>
                <c:pt idx="9">
                  <c:v>43173</c:v>
                </c:pt>
                <c:pt idx="10">
                  <c:v>43174</c:v>
                </c:pt>
                <c:pt idx="11">
                  <c:v>43175</c:v>
                </c:pt>
                <c:pt idx="12">
                  <c:v>43178</c:v>
                </c:pt>
                <c:pt idx="13">
                  <c:v>43179</c:v>
                </c:pt>
                <c:pt idx="14">
                  <c:v>43180</c:v>
                </c:pt>
                <c:pt idx="15">
                  <c:v>43181</c:v>
                </c:pt>
                <c:pt idx="16">
                  <c:v>43182</c:v>
                </c:pt>
                <c:pt idx="17">
                  <c:v>43185</c:v>
                </c:pt>
                <c:pt idx="18">
                  <c:v>43186</c:v>
                </c:pt>
                <c:pt idx="19">
                  <c:v>43187</c:v>
                </c:pt>
                <c:pt idx="20">
                  <c:v>43193</c:v>
                </c:pt>
                <c:pt idx="21">
                  <c:v>43194</c:v>
                </c:pt>
                <c:pt idx="22">
                  <c:v>43195</c:v>
                </c:pt>
                <c:pt idx="23">
                  <c:v>43196</c:v>
                </c:pt>
                <c:pt idx="24">
                  <c:v>43199</c:v>
                </c:pt>
                <c:pt idx="25">
                  <c:v>43200</c:v>
                </c:pt>
                <c:pt idx="26">
                  <c:v>43201</c:v>
                </c:pt>
                <c:pt idx="27">
                  <c:v>43202</c:v>
                </c:pt>
                <c:pt idx="28">
                  <c:v>43203</c:v>
                </c:pt>
                <c:pt idx="29">
                  <c:v>43206</c:v>
                </c:pt>
                <c:pt idx="30">
                  <c:v>43207</c:v>
                </c:pt>
                <c:pt idx="31">
                  <c:v>43208</c:v>
                </c:pt>
                <c:pt idx="32">
                  <c:v>43209</c:v>
                </c:pt>
                <c:pt idx="33">
                  <c:v>43210</c:v>
                </c:pt>
                <c:pt idx="34">
                  <c:v>43213</c:v>
                </c:pt>
                <c:pt idx="35">
                  <c:v>43214</c:v>
                </c:pt>
                <c:pt idx="36">
                  <c:v>43215</c:v>
                </c:pt>
                <c:pt idx="37">
                  <c:v>43216</c:v>
                </c:pt>
                <c:pt idx="38">
                  <c:v>43220</c:v>
                </c:pt>
                <c:pt idx="39">
                  <c:v>43222</c:v>
                </c:pt>
                <c:pt idx="40">
                  <c:v>43223</c:v>
                </c:pt>
                <c:pt idx="41">
                  <c:v>43224</c:v>
                </c:pt>
                <c:pt idx="42">
                  <c:v>43227</c:v>
                </c:pt>
                <c:pt idx="43">
                  <c:v>43228</c:v>
                </c:pt>
                <c:pt idx="44">
                  <c:v>43229</c:v>
                </c:pt>
                <c:pt idx="45">
                  <c:v>43234</c:v>
                </c:pt>
                <c:pt idx="46">
                  <c:v>43235</c:v>
                </c:pt>
                <c:pt idx="47">
                  <c:v>43236</c:v>
                </c:pt>
                <c:pt idx="48">
                  <c:v>43237</c:v>
                </c:pt>
                <c:pt idx="49">
                  <c:v>43238</c:v>
                </c:pt>
                <c:pt idx="50">
                  <c:v>43242</c:v>
                </c:pt>
                <c:pt idx="51">
                  <c:v>43243</c:v>
                </c:pt>
                <c:pt idx="52">
                  <c:v>43244</c:v>
                </c:pt>
                <c:pt idx="53">
                  <c:v>43245</c:v>
                </c:pt>
                <c:pt idx="54">
                  <c:v>43248</c:v>
                </c:pt>
                <c:pt idx="55">
                  <c:v>43249</c:v>
                </c:pt>
                <c:pt idx="56">
                  <c:v>43250</c:v>
                </c:pt>
                <c:pt idx="57">
                  <c:v>43251</c:v>
                </c:pt>
                <c:pt idx="58">
                  <c:v>43252</c:v>
                </c:pt>
                <c:pt idx="59">
                  <c:v>43255</c:v>
                </c:pt>
                <c:pt idx="60">
                  <c:v>43257</c:v>
                </c:pt>
                <c:pt idx="61">
                  <c:v>43258</c:v>
                </c:pt>
                <c:pt idx="62">
                  <c:v>43259</c:v>
                </c:pt>
                <c:pt idx="63">
                  <c:v>43262</c:v>
                </c:pt>
                <c:pt idx="64">
                  <c:v>43263</c:v>
                </c:pt>
                <c:pt idx="65">
                  <c:v>43264</c:v>
                </c:pt>
                <c:pt idx="66">
                  <c:v>43265</c:v>
                </c:pt>
                <c:pt idx="67">
                  <c:v>43266</c:v>
                </c:pt>
                <c:pt idx="68">
                  <c:v>43269</c:v>
                </c:pt>
                <c:pt idx="69">
                  <c:v>43270</c:v>
                </c:pt>
                <c:pt idx="70">
                  <c:v>43271</c:v>
                </c:pt>
                <c:pt idx="71">
                  <c:v>43272</c:v>
                </c:pt>
                <c:pt idx="72">
                  <c:v>43273</c:v>
                </c:pt>
                <c:pt idx="73">
                  <c:v>43276</c:v>
                </c:pt>
                <c:pt idx="74">
                  <c:v>43277</c:v>
                </c:pt>
                <c:pt idx="75">
                  <c:v>43278</c:v>
                </c:pt>
                <c:pt idx="76">
                  <c:v>43279</c:v>
                </c:pt>
                <c:pt idx="77">
                  <c:v>43280</c:v>
                </c:pt>
                <c:pt idx="78">
                  <c:v>43283</c:v>
                </c:pt>
                <c:pt idx="79">
                  <c:v>43284</c:v>
                </c:pt>
                <c:pt idx="80">
                  <c:v>43285</c:v>
                </c:pt>
                <c:pt idx="81">
                  <c:v>43286</c:v>
                </c:pt>
                <c:pt idx="82">
                  <c:v>43287</c:v>
                </c:pt>
                <c:pt idx="83">
                  <c:v>43290</c:v>
                </c:pt>
                <c:pt idx="84">
                  <c:v>43291</c:v>
                </c:pt>
                <c:pt idx="85">
                  <c:v>43292</c:v>
                </c:pt>
                <c:pt idx="86">
                  <c:v>43293</c:v>
                </c:pt>
                <c:pt idx="87">
                  <c:v>43294</c:v>
                </c:pt>
                <c:pt idx="88">
                  <c:v>43297</c:v>
                </c:pt>
                <c:pt idx="89">
                  <c:v>43298</c:v>
                </c:pt>
                <c:pt idx="90">
                  <c:v>43299</c:v>
                </c:pt>
                <c:pt idx="91">
                  <c:v>43300</c:v>
                </c:pt>
                <c:pt idx="92">
                  <c:v>43301</c:v>
                </c:pt>
                <c:pt idx="93">
                  <c:v>43304</c:v>
                </c:pt>
                <c:pt idx="94">
                  <c:v>43305</c:v>
                </c:pt>
                <c:pt idx="95">
                  <c:v>43306</c:v>
                </c:pt>
                <c:pt idx="96">
                  <c:v>43307</c:v>
                </c:pt>
                <c:pt idx="97">
                  <c:v>43308</c:v>
                </c:pt>
                <c:pt idx="98">
                  <c:v>43311</c:v>
                </c:pt>
                <c:pt idx="99">
                  <c:v>43312</c:v>
                </c:pt>
                <c:pt idx="100">
                  <c:v>43313</c:v>
                </c:pt>
                <c:pt idx="101">
                  <c:v>43314</c:v>
                </c:pt>
                <c:pt idx="102">
                  <c:v>43315</c:v>
                </c:pt>
                <c:pt idx="103">
                  <c:v>43318</c:v>
                </c:pt>
                <c:pt idx="104">
                  <c:v>43319</c:v>
                </c:pt>
                <c:pt idx="105">
                  <c:v>43320</c:v>
                </c:pt>
                <c:pt idx="106">
                  <c:v>43321</c:v>
                </c:pt>
                <c:pt idx="107">
                  <c:v>43322</c:v>
                </c:pt>
                <c:pt idx="108">
                  <c:v>43325</c:v>
                </c:pt>
                <c:pt idx="109">
                  <c:v>43326</c:v>
                </c:pt>
                <c:pt idx="110">
                  <c:v>43327</c:v>
                </c:pt>
                <c:pt idx="111">
                  <c:v>43328</c:v>
                </c:pt>
                <c:pt idx="112">
                  <c:v>43329</c:v>
                </c:pt>
                <c:pt idx="113">
                  <c:v>43332</c:v>
                </c:pt>
                <c:pt idx="114">
                  <c:v>43333</c:v>
                </c:pt>
                <c:pt idx="115">
                  <c:v>43334</c:v>
                </c:pt>
                <c:pt idx="116">
                  <c:v>43335</c:v>
                </c:pt>
                <c:pt idx="117">
                  <c:v>43336</c:v>
                </c:pt>
                <c:pt idx="118">
                  <c:v>43339</c:v>
                </c:pt>
                <c:pt idx="119">
                  <c:v>43340</c:v>
                </c:pt>
                <c:pt idx="120">
                  <c:v>43341</c:v>
                </c:pt>
                <c:pt idx="121">
                  <c:v>43342</c:v>
                </c:pt>
                <c:pt idx="122">
                  <c:v>43343</c:v>
                </c:pt>
                <c:pt idx="123">
                  <c:v>43346</c:v>
                </c:pt>
                <c:pt idx="124">
                  <c:v>43347</c:v>
                </c:pt>
                <c:pt idx="125">
                  <c:v>43348</c:v>
                </c:pt>
                <c:pt idx="126">
                  <c:v>43349</c:v>
                </c:pt>
                <c:pt idx="127">
                  <c:v>43350</c:v>
                </c:pt>
                <c:pt idx="128">
                  <c:v>43353</c:v>
                </c:pt>
                <c:pt idx="129">
                  <c:v>43354</c:v>
                </c:pt>
                <c:pt idx="130">
                  <c:v>43355</c:v>
                </c:pt>
                <c:pt idx="131">
                  <c:v>43356</c:v>
                </c:pt>
                <c:pt idx="132">
                  <c:v>43357</c:v>
                </c:pt>
                <c:pt idx="133">
                  <c:v>43360</c:v>
                </c:pt>
                <c:pt idx="134">
                  <c:v>43361</c:v>
                </c:pt>
                <c:pt idx="135">
                  <c:v>43362</c:v>
                </c:pt>
                <c:pt idx="136">
                  <c:v>43363</c:v>
                </c:pt>
                <c:pt idx="137">
                  <c:v>43364</c:v>
                </c:pt>
                <c:pt idx="138">
                  <c:v>43367</c:v>
                </c:pt>
                <c:pt idx="139">
                  <c:v>43368</c:v>
                </c:pt>
                <c:pt idx="140">
                  <c:v>43369</c:v>
                </c:pt>
                <c:pt idx="141">
                  <c:v>43370</c:v>
                </c:pt>
                <c:pt idx="142">
                  <c:v>43371</c:v>
                </c:pt>
                <c:pt idx="143">
                  <c:v>43374</c:v>
                </c:pt>
                <c:pt idx="144">
                  <c:v>43375</c:v>
                </c:pt>
                <c:pt idx="145">
                  <c:v>43376</c:v>
                </c:pt>
                <c:pt idx="146">
                  <c:v>43377</c:v>
                </c:pt>
                <c:pt idx="147">
                  <c:v>43378</c:v>
                </c:pt>
                <c:pt idx="148">
                  <c:v>43381</c:v>
                </c:pt>
                <c:pt idx="149">
                  <c:v>43382</c:v>
                </c:pt>
                <c:pt idx="150">
                  <c:v>43383</c:v>
                </c:pt>
                <c:pt idx="151">
                  <c:v>43384</c:v>
                </c:pt>
                <c:pt idx="152">
                  <c:v>43385</c:v>
                </c:pt>
                <c:pt idx="153">
                  <c:v>43388</c:v>
                </c:pt>
                <c:pt idx="154">
                  <c:v>43389</c:v>
                </c:pt>
                <c:pt idx="155">
                  <c:v>43390</c:v>
                </c:pt>
                <c:pt idx="156">
                  <c:v>43391</c:v>
                </c:pt>
                <c:pt idx="157">
                  <c:v>43392</c:v>
                </c:pt>
                <c:pt idx="158">
                  <c:v>43395</c:v>
                </c:pt>
                <c:pt idx="159">
                  <c:v>43396</c:v>
                </c:pt>
                <c:pt idx="160">
                  <c:v>43397</c:v>
                </c:pt>
                <c:pt idx="161">
                  <c:v>43398</c:v>
                </c:pt>
                <c:pt idx="162">
                  <c:v>43399</c:v>
                </c:pt>
                <c:pt idx="163">
                  <c:v>43402</c:v>
                </c:pt>
                <c:pt idx="164">
                  <c:v>43403</c:v>
                </c:pt>
                <c:pt idx="165">
                  <c:v>43404</c:v>
                </c:pt>
                <c:pt idx="166">
                  <c:v>43405</c:v>
                </c:pt>
                <c:pt idx="167">
                  <c:v>43406</c:v>
                </c:pt>
                <c:pt idx="168">
                  <c:v>43409</c:v>
                </c:pt>
                <c:pt idx="169">
                  <c:v>43410</c:v>
                </c:pt>
                <c:pt idx="170">
                  <c:v>43411</c:v>
                </c:pt>
                <c:pt idx="171">
                  <c:v>43412</c:v>
                </c:pt>
                <c:pt idx="172">
                  <c:v>43413</c:v>
                </c:pt>
                <c:pt idx="173">
                  <c:v>43416</c:v>
                </c:pt>
                <c:pt idx="174">
                  <c:v>43417</c:v>
                </c:pt>
                <c:pt idx="175">
                  <c:v>43418</c:v>
                </c:pt>
                <c:pt idx="176">
                  <c:v>43419</c:v>
                </c:pt>
                <c:pt idx="177">
                  <c:v>43420</c:v>
                </c:pt>
                <c:pt idx="178">
                  <c:v>43423</c:v>
                </c:pt>
                <c:pt idx="179">
                  <c:v>43424</c:v>
                </c:pt>
                <c:pt idx="180">
                  <c:v>43425</c:v>
                </c:pt>
                <c:pt idx="181">
                  <c:v>43426</c:v>
                </c:pt>
                <c:pt idx="182">
                  <c:v>43427</c:v>
                </c:pt>
                <c:pt idx="183">
                  <c:v>43430</c:v>
                </c:pt>
                <c:pt idx="184">
                  <c:v>43431</c:v>
                </c:pt>
                <c:pt idx="185">
                  <c:v>43432</c:v>
                </c:pt>
                <c:pt idx="186">
                  <c:v>43433</c:v>
                </c:pt>
                <c:pt idx="187">
                  <c:v>43434</c:v>
                </c:pt>
                <c:pt idx="188">
                  <c:v>43437</c:v>
                </c:pt>
                <c:pt idx="189">
                  <c:v>43438</c:v>
                </c:pt>
                <c:pt idx="190">
                  <c:v>43439</c:v>
                </c:pt>
                <c:pt idx="191">
                  <c:v>43440</c:v>
                </c:pt>
                <c:pt idx="192">
                  <c:v>43441</c:v>
                </c:pt>
                <c:pt idx="193">
                  <c:v>43444</c:v>
                </c:pt>
                <c:pt idx="194">
                  <c:v>43445</c:v>
                </c:pt>
                <c:pt idx="195">
                  <c:v>43446</c:v>
                </c:pt>
                <c:pt idx="196">
                  <c:v>43447</c:v>
                </c:pt>
                <c:pt idx="197">
                  <c:v>43448</c:v>
                </c:pt>
                <c:pt idx="198">
                  <c:v>43451</c:v>
                </c:pt>
                <c:pt idx="199">
                  <c:v>43452</c:v>
                </c:pt>
                <c:pt idx="200">
                  <c:v>43453</c:v>
                </c:pt>
                <c:pt idx="201">
                  <c:v>43454</c:v>
                </c:pt>
                <c:pt idx="202">
                  <c:v>43455</c:v>
                </c:pt>
                <c:pt idx="203">
                  <c:v>43461</c:v>
                </c:pt>
                <c:pt idx="204">
                  <c:v>43462</c:v>
                </c:pt>
                <c:pt idx="205">
                  <c:v>43467</c:v>
                </c:pt>
                <c:pt idx="206">
                  <c:v>43468</c:v>
                </c:pt>
                <c:pt idx="207">
                  <c:v>43469</c:v>
                </c:pt>
                <c:pt idx="208">
                  <c:v>43472</c:v>
                </c:pt>
                <c:pt idx="209">
                  <c:v>43473</c:v>
                </c:pt>
                <c:pt idx="210">
                  <c:v>43474</c:v>
                </c:pt>
                <c:pt idx="211">
                  <c:v>43475</c:v>
                </c:pt>
                <c:pt idx="212">
                  <c:v>43476</c:v>
                </c:pt>
                <c:pt idx="213">
                  <c:v>43479</c:v>
                </c:pt>
                <c:pt idx="214">
                  <c:v>43480</c:v>
                </c:pt>
                <c:pt idx="215">
                  <c:v>43481</c:v>
                </c:pt>
                <c:pt idx="216">
                  <c:v>43482</c:v>
                </c:pt>
                <c:pt idx="217">
                  <c:v>43483</c:v>
                </c:pt>
                <c:pt idx="218">
                  <c:v>43486</c:v>
                </c:pt>
                <c:pt idx="219">
                  <c:v>43487</c:v>
                </c:pt>
                <c:pt idx="220">
                  <c:v>43488</c:v>
                </c:pt>
                <c:pt idx="221">
                  <c:v>43489</c:v>
                </c:pt>
                <c:pt idx="222">
                  <c:v>43490</c:v>
                </c:pt>
                <c:pt idx="223">
                  <c:v>43493</c:v>
                </c:pt>
                <c:pt idx="224">
                  <c:v>43494</c:v>
                </c:pt>
                <c:pt idx="225">
                  <c:v>43495</c:v>
                </c:pt>
                <c:pt idx="226">
                  <c:v>43496</c:v>
                </c:pt>
                <c:pt idx="227">
                  <c:v>43497</c:v>
                </c:pt>
                <c:pt idx="228">
                  <c:v>43500</c:v>
                </c:pt>
                <c:pt idx="229">
                  <c:v>43501</c:v>
                </c:pt>
                <c:pt idx="230">
                  <c:v>43502</c:v>
                </c:pt>
                <c:pt idx="231">
                  <c:v>43503</c:v>
                </c:pt>
                <c:pt idx="232">
                  <c:v>43504</c:v>
                </c:pt>
                <c:pt idx="233">
                  <c:v>43507</c:v>
                </c:pt>
                <c:pt idx="234">
                  <c:v>43508</c:v>
                </c:pt>
                <c:pt idx="235">
                  <c:v>43509</c:v>
                </c:pt>
                <c:pt idx="236">
                  <c:v>43510</c:v>
                </c:pt>
                <c:pt idx="237">
                  <c:v>43511</c:v>
                </c:pt>
                <c:pt idx="238">
                  <c:v>43514</c:v>
                </c:pt>
                <c:pt idx="239">
                  <c:v>43515</c:v>
                </c:pt>
                <c:pt idx="240">
                  <c:v>43516</c:v>
                </c:pt>
                <c:pt idx="241">
                  <c:v>43517</c:v>
                </c:pt>
                <c:pt idx="242">
                  <c:v>43518</c:v>
                </c:pt>
                <c:pt idx="243">
                  <c:v>43521</c:v>
                </c:pt>
                <c:pt idx="244">
                  <c:v>43522</c:v>
                </c:pt>
                <c:pt idx="245">
                  <c:v>43523</c:v>
                </c:pt>
                <c:pt idx="246">
                  <c:v>43524</c:v>
                </c:pt>
                <c:pt idx="247">
                  <c:v>43525</c:v>
                </c:pt>
                <c:pt idx="248">
                  <c:v>43528</c:v>
                </c:pt>
                <c:pt idx="249">
                  <c:v>43529</c:v>
                </c:pt>
                <c:pt idx="250">
                  <c:v>43530</c:v>
                </c:pt>
                <c:pt idx="251">
                  <c:v>43531</c:v>
                </c:pt>
                <c:pt idx="252">
                  <c:v>43532</c:v>
                </c:pt>
                <c:pt idx="253">
                  <c:v>43535</c:v>
                </c:pt>
                <c:pt idx="254">
                  <c:v>43536</c:v>
                </c:pt>
                <c:pt idx="255">
                  <c:v>43537</c:v>
                </c:pt>
                <c:pt idx="256">
                  <c:v>43538</c:v>
                </c:pt>
                <c:pt idx="257">
                  <c:v>43539</c:v>
                </c:pt>
                <c:pt idx="258">
                  <c:v>43542</c:v>
                </c:pt>
                <c:pt idx="259">
                  <c:v>43543</c:v>
                </c:pt>
                <c:pt idx="260">
                  <c:v>43544</c:v>
                </c:pt>
                <c:pt idx="261">
                  <c:v>43545</c:v>
                </c:pt>
                <c:pt idx="262">
                  <c:v>43546</c:v>
                </c:pt>
                <c:pt idx="263">
                  <c:v>43549</c:v>
                </c:pt>
                <c:pt idx="264">
                  <c:v>43550</c:v>
                </c:pt>
                <c:pt idx="265">
                  <c:v>43551</c:v>
                </c:pt>
                <c:pt idx="266">
                  <c:v>43552</c:v>
                </c:pt>
                <c:pt idx="267">
                  <c:v>43553</c:v>
                </c:pt>
                <c:pt idx="268">
                  <c:v>43556</c:v>
                </c:pt>
                <c:pt idx="269">
                  <c:v>43557</c:v>
                </c:pt>
                <c:pt idx="270">
                  <c:v>43558</c:v>
                </c:pt>
                <c:pt idx="271">
                  <c:v>43559</c:v>
                </c:pt>
                <c:pt idx="272">
                  <c:v>43560</c:v>
                </c:pt>
                <c:pt idx="273">
                  <c:v>43563</c:v>
                </c:pt>
                <c:pt idx="274">
                  <c:v>43564</c:v>
                </c:pt>
                <c:pt idx="275">
                  <c:v>43565</c:v>
                </c:pt>
                <c:pt idx="276">
                  <c:v>43566</c:v>
                </c:pt>
                <c:pt idx="277">
                  <c:v>43567</c:v>
                </c:pt>
                <c:pt idx="278">
                  <c:v>43570</c:v>
                </c:pt>
                <c:pt idx="279">
                  <c:v>43571</c:v>
                </c:pt>
                <c:pt idx="280">
                  <c:v>43572</c:v>
                </c:pt>
                <c:pt idx="281">
                  <c:v>43578</c:v>
                </c:pt>
                <c:pt idx="282">
                  <c:v>43579</c:v>
                </c:pt>
                <c:pt idx="283">
                  <c:v>43580</c:v>
                </c:pt>
                <c:pt idx="284">
                  <c:v>43581</c:v>
                </c:pt>
                <c:pt idx="285">
                  <c:v>43584</c:v>
                </c:pt>
                <c:pt idx="286">
                  <c:v>43585</c:v>
                </c:pt>
                <c:pt idx="287">
                  <c:v>43587</c:v>
                </c:pt>
                <c:pt idx="288">
                  <c:v>43588</c:v>
                </c:pt>
                <c:pt idx="289">
                  <c:v>43591</c:v>
                </c:pt>
                <c:pt idx="290">
                  <c:v>43592</c:v>
                </c:pt>
                <c:pt idx="291">
                  <c:v>43593</c:v>
                </c:pt>
                <c:pt idx="292">
                  <c:v>43594</c:v>
                </c:pt>
                <c:pt idx="293">
                  <c:v>43595</c:v>
                </c:pt>
                <c:pt idx="294">
                  <c:v>43598</c:v>
                </c:pt>
                <c:pt idx="295">
                  <c:v>43599</c:v>
                </c:pt>
                <c:pt idx="296">
                  <c:v>43600</c:v>
                </c:pt>
                <c:pt idx="297">
                  <c:v>43601</c:v>
                </c:pt>
                <c:pt idx="298">
                  <c:v>43605</c:v>
                </c:pt>
                <c:pt idx="299">
                  <c:v>43606</c:v>
                </c:pt>
                <c:pt idx="300">
                  <c:v>43607</c:v>
                </c:pt>
                <c:pt idx="301">
                  <c:v>43608</c:v>
                </c:pt>
                <c:pt idx="302">
                  <c:v>43609</c:v>
                </c:pt>
                <c:pt idx="303">
                  <c:v>43612</c:v>
                </c:pt>
                <c:pt idx="304">
                  <c:v>43613</c:v>
                </c:pt>
                <c:pt idx="305">
                  <c:v>43614</c:v>
                </c:pt>
                <c:pt idx="306">
                  <c:v>43619</c:v>
                </c:pt>
                <c:pt idx="307">
                  <c:v>43620</c:v>
                </c:pt>
                <c:pt idx="308">
                  <c:v>43623</c:v>
                </c:pt>
                <c:pt idx="309">
                  <c:v>43627</c:v>
                </c:pt>
                <c:pt idx="310">
                  <c:v>43628</c:v>
                </c:pt>
                <c:pt idx="311">
                  <c:v>43629</c:v>
                </c:pt>
                <c:pt idx="312">
                  <c:v>43630</c:v>
                </c:pt>
                <c:pt idx="313">
                  <c:v>43634</c:v>
                </c:pt>
                <c:pt idx="314">
                  <c:v>43635</c:v>
                </c:pt>
                <c:pt idx="315">
                  <c:v>43636</c:v>
                </c:pt>
                <c:pt idx="316">
                  <c:v>43640</c:v>
                </c:pt>
                <c:pt idx="317">
                  <c:v>43641</c:v>
                </c:pt>
                <c:pt idx="318">
                  <c:v>43642</c:v>
                </c:pt>
                <c:pt idx="319">
                  <c:v>43643</c:v>
                </c:pt>
                <c:pt idx="320">
                  <c:v>43644</c:v>
                </c:pt>
                <c:pt idx="321">
                  <c:v>43647</c:v>
                </c:pt>
                <c:pt idx="322">
                  <c:v>43648</c:v>
                </c:pt>
                <c:pt idx="323">
                  <c:v>43649</c:v>
                </c:pt>
                <c:pt idx="324">
                  <c:v>43650</c:v>
                </c:pt>
                <c:pt idx="325">
                  <c:v>43651</c:v>
                </c:pt>
                <c:pt idx="326">
                  <c:v>43654</c:v>
                </c:pt>
                <c:pt idx="327">
                  <c:v>43655</c:v>
                </c:pt>
                <c:pt idx="328">
                  <c:v>43656</c:v>
                </c:pt>
                <c:pt idx="329">
                  <c:v>43657</c:v>
                </c:pt>
                <c:pt idx="330">
                  <c:v>43658</c:v>
                </c:pt>
                <c:pt idx="331">
                  <c:v>43661</c:v>
                </c:pt>
                <c:pt idx="332">
                  <c:v>43662</c:v>
                </c:pt>
                <c:pt idx="333">
                  <c:v>43663</c:v>
                </c:pt>
                <c:pt idx="334">
                  <c:v>43664</c:v>
                </c:pt>
                <c:pt idx="335">
                  <c:v>43665</c:v>
                </c:pt>
                <c:pt idx="336">
                  <c:v>43668</c:v>
                </c:pt>
                <c:pt idx="337">
                  <c:v>43669</c:v>
                </c:pt>
                <c:pt idx="338">
                  <c:v>43670</c:v>
                </c:pt>
                <c:pt idx="339">
                  <c:v>43671</c:v>
                </c:pt>
                <c:pt idx="340">
                  <c:v>43672</c:v>
                </c:pt>
                <c:pt idx="341">
                  <c:v>43675</c:v>
                </c:pt>
                <c:pt idx="342">
                  <c:v>43676</c:v>
                </c:pt>
                <c:pt idx="343">
                  <c:v>43677</c:v>
                </c:pt>
                <c:pt idx="344">
                  <c:v>43678</c:v>
                </c:pt>
                <c:pt idx="345">
                  <c:v>43679</c:v>
                </c:pt>
                <c:pt idx="346">
                  <c:v>43683</c:v>
                </c:pt>
                <c:pt idx="347">
                  <c:v>43684</c:v>
                </c:pt>
                <c:pt idx="348">
                  <c:v>43685</c:v>
                </c:pt>
                <c:pt idx="349">
                  <c:v>43686</c:v>
                </c:pt>
                <c:pt idx="350">
                  <c:v>43689</c:v>
                </c:pt>
                <c:pt idx="351">
                  <c:v>43690</c:v>
                </c:pt>
                <c:pt idx="352">
                  <c:v>43691</c:v>
                </c:pt>
                <c:pt idx="353">
                  <c:v>43692</c:v>
                </c:pt>
                <c:pt idx="354">
                  <c:v>43693</c:v>
                </c:pt>
                <c:pt idx="355">
                  <c:v>43696</c:v>
                </c:pt>
                <c:pt idx="356">
                  <c:v>43697</c:v>
                </c:pt>
                <c:pt idx="357">
                  <c:v>43698</c:v>
                </c:pt>
                <c:pt idx="358">
                  <c:v>43699</c:v>
                </c:pt>
                <c:pt idx="359">
                  <c:v>43700</c:v>
                </c:pt>
                <c:pt idx="360">
                  <c:v>43703</c:v>
                </c:pt>
                <c:pt idx="361">
                  <c:v>43704</c:v>
                </c:pt>
                <c:pt idx="362">
                  <c:v>43705</c:v>
                </c:pt>
                <c:pt idx="363">
                  <c:v>43706</c:v>
                </c:pt>
                <c:pt idx="364">
                  <c:v>43707</c:v>
                </c:pt>
                <c:pt idx="365">
                  <c:v>43710</c:v>
                </c:pt>
                <c:pt idx="366">
                  <c:v>43711</c:v>
                </c:pt>
                <c:pt idx="367">
                  <c:v>43712</c:v>
                </c:pt>
                <c:pt idx="368">
                  <c:v>43713</c:v>
                </c:pt>
                <c:pt idx="369">
                  <c:v>43714</c:v>
                </c:pt>
                <c:pt idx="370">
                  <c:v>43717</c:v>
                </c:pt>
                <c:pt idx="371">
                  <c:v>43718</c:v>
                </c:pt>
                <c:pt idx="372">
                  <c:v>43719</c:v>
                </c:pt>
                <c:pt idx="373">
                  <c:v>43720</c:v>
                </c:pt>
                <c:pt idx="374">
                  <c:v>43721</c:v>
                </c:pt>
                <c:pt idx="375">
                  <c:v>43724</c:v>
                </c:pt>
                <c:pt idx="376">
                  <c:v>43725</c:v>
                </c:pt>
                <c:pt idx="377">
                  <c:v>43726</c:v>
                </c:pt>
                <c:pt idx="378">
                  <c:v>43727</c:v>
                </c:pt>
                <c:pt idx="379">
                  <c:v>43728</c:v>
                </c:pt>
                <c:pt idx="380">
                  <c:v>43731</c:v>
                </c:pt>
                <c:pt idx="381">
                  <c:v>43732</c:v>
                </c:pt>
                <c:pt idx="382">
                  <c:v>43733</c:v>
                </c:pt>
                <c:pt idx="383">
                  <c:v>43734</c:v>
                </c:pt>
                <c:pt idx="384">
                  <c:v>43735</c:v>
                </c:pt>
                <c:pt idx="385">
                  <c:v>43738</c:v>
                </c:pt>
                <c:pt idx="386">
                  <c:v>43739</c:v>
                </c:pt>
                <c:pt idx="387">
                  <c:v>43740</c:v>
                </c:pt>
                <c:pt idx="388">
                  <c:v>43741</c:v>
                </c:pt>
                <c:pt idx="389">
                  <c:v>43742</c:v>
                </c:pt>
                <c:pt idx="390">
                  <c:v>43745</c:v>
                </c:pt>
                <c:pt idx="391">
                  <c:v>43746</c:v>
                </c:pt>
                <c:pt idx="392">
                  <c:v>43747</c:v>
                </c:pt>
                <c:pt idx="393">
                  <c:v>43748</c:v>
                </c:pt>
                <c:pt idx="394">
                  <c:v>43749</c:v>
                </c:pt>
                <c:pt idx="395">
                  <c:v>43752</c:v>
                </c:pt>
                <c:pt idx="396">
                  <c:v>43753</c:v>
                </c:pt>
                <c:pt idx="397">
                  <c:v>43754</c:v>
                </c:pt>
                <c:pt idx="398">
                  <c:v>43755</c:v>
                </c:pt>
                <c:pt idx="399">
                  <c:v>43756</c:v>
                </c:pt>
                <c:pt idx="400">
                  <c:v>43759</c:v>
                </c:pt>
                <c:pt idx="401">
                  <c:v>43760</c:v>
                </c:pt>
                <c:pt idx="402">
                  <c:v>43761</c:v>
                </c:pt>
                <c:pt idx="403">
                  <c:v>43762</c:v>
                </c:pt>
                <c:pt idx="404">
                  <c:v>43763</c:v>
                </c:pt>
                <c:pt idx="405">
                  <c:v>43766</c:v>
                </c:pt>
                <c:pt idx="406">
                  <c:v>43767</c:v>
                </c:pt>
                <c:pt idx="407">
                  <c:v>43768</c:v>
                </c:pt>
                <c:pt idx="408">
                  <c:v>43769</c:v>
                </c:pt>
                <c:pt idx="409">
                  <c:v>43770</c:v>
                </c:pt>
                <c:pt idx="410">
                  <c:v>43773</c:v>
                </c:pt>
                <c:pt idx="411">
                  <c:v>43774</c:v>
                </c:pt>
                <c:pt idx="412">
                  <c:v>43775</c:v>
                </c:pt>
                <c:pt idx="413">
                  <c:v>43776</c:v>
                </c:pt>
                <c:pt idx="414">
                  <c:v>43777</c:v>
                </c:pt>
                <c:pt idx="415">
                  <c:v>43780</c:v>
                </c:pt>
                <c:pt idx="416">
                  <c:v>43781</c:v>
                </c:pt>
                <c:pt idx="417">
                  <c:v>43782</c:v>
                </c:pt>
                <c:pt idx="418">
                  <c:v>43783</c:v>
                </c:pt>
                <c:pt idx="419">
                  <c:v>43784</c:v>
                </c:pt>
                <c:pt idx="420">
                  <c:v>43787</c:v>
                </c:pt>
                <c:pt idx="421">
                  <c:v>43788</c:v>
                </c:pt>
                <c:pt idx="422">
                  <c:v>43789</c:v>
                </c:pt>
                <c:pt idx="423">
                  <c:v>43790</c:v>
                </c:pt>
                <c:pt idx="424">
                  <c:v>43791</c:v>
                </c:pt>
                <c:pt idx="425">
                  <c:v>43794</c:v>
                </c:pt>
                <c:pt idx="426">
                  <c:v>43795</c:v>
                </c:pt>
                <c:pt idx="427">
                  <c:v>43796</c:v>
                </c:pt>
                <c:pt idx="428">
                  <c:v>43797</c:v>
                </c:pt>
                <c:pt idx="429">
                  <c:v>43798</c:v>
                </c:pt>
                <c:pt idx="430">
                  <c:v>43801</c:v>
                </c:pt>
                <c:pt idx="431">
                  <c:v>43802</c:v>
                </c:pt>
                <c:pt idx="432">
                  <c:v>43803</c:v>
                </c:pt>
                <c:pt idx="433">
                  <c:v>43804</c:v>
                </c:pt>
                <c:pt idx="434">
                  <c:v>43805</c:v>
                </c:pt>
                <c:pt idx="435">
                  <c:v>43808</c:v>
                </c:pt>
                <c:pt idx="436">
                  <c:v>43809</c:v>
                </c:pt>
                <c:pt idx="437">
                  <c:v>43810</c:v>
                </c:pt>
                <c:pt idx="438">
                  <c:v>43811</c:v>
                </c:pt>
                <c:pt idx="439">
                  <c:v>43812</c:v>
                </c:pt>
                <c:pt idx="440">
                  <c:v>43815</c:v>
                </c:pt>
                <c:pt idx="441">
                  <c:v>43816</c:v>
                </c:pt>
                <c:pt idx="442">
                  <c:v>43817</c:v>
                </c:pt>
                <c:pt idx="443">
                  <c:v>43818</c:v>
                </c:pt>
                <c:pt idx="444">
                  <c:v>43819</c:v>
                </c:pt>
                <c:pt idx="445">
                  <c:v>43822</c:v>
                </c:pt>
                <c:pt idx="446">
                  <c:v>43826</c:v>
                </c:pt>
                <c:pt idx="447">
                  <c:v>43829</c:v>
                </c:pt>
                <c:pt idx="448">
                  <c:v>43832</c:v>
                </c:pt>
                <c:pt idx="449">
                  <c:v>43833</c:v>
                </c:pt>
                <c:pt idx="450">
                  <c:v>43837</c:v>
                </c:pt>
                <c:pt idx="451">
                  <c:v>43838</c:v>
                </c:pt>
                <c:pt idx="452">
                  <c:v>43839</c:v>
                </c:pt>
                <c:pt idx="453">
                  <c:v>43840</c:v>
                </c:pt>
                <c:pt idx="454">
                  <c:v>43843</c:v>
                </c:pt>
                <c:pt idx="455">
                  <c:v>43844</c:v>
                </c:pt>
                <c:pt idx="456">
                  <c:v>43845</c:v>
                </c:pt>
                <c:pt idx="457">
                  <c:v>43846</c:v>
                </c:pt>
                <c:pt idx="458">
                  <c:v>43847</c:v>
                </c:pt>
                <c:pt idx="459">
                  <c:v>43850</c:v>
                </c:pt>
                <c:pt idx="460">
                  <c:v>43851</c:v>
                </c:pt>
                <c:pt idx="461">
                  <c:v>43852</c:v>
                </c:pt>
                <c:pt idx="462">
                  <c:v>43853</c:v>
                </c:pt>
                <c:pt idx="463">
                  <c:v>43854</c:v>
                </c:pt>
                <c:pt idx="464">
                  <c:v>43857</c:v>
                </c:pt>
                <c:pt idx="465">
                  <c:v>43858</c:v>
                </c:pt>
                <c:pt idx="466">
                  <c:v>43859</c:v>
                </c:pt>
                <c:pt idx="467">
                  <c:v>43860</c:v>
                </c:pt>
                <c:pt idx="468">
                  <c:v>43861</c:v>
                </c:pt>
                <c:pt idx="469">
                  <c:v>43864</c:v>
                </c:pt>
                <c:pt idx="470">
                  <c:v>43865</c:v>
                </c:pt>
                <c:pt idx="471">
                  <c:v>43866</c:v>
                </c:pt>
                <c:pt idx="472">
                  <c:v>43867</c:v>
                </c:pt>
                <c:pt idx="473">
                  <c:v>43868</c:v>
                </c:pt>
                <c:pt idx="474">
                  <c:v>43871</c:v>
                </c:pt>
                <c:pt idx="475">
                  <c:v>43872</c:v>
                </c:pt>
                <c:pt idx="476">
                  <c:v>43873</c:v>
                </c:pt>
                <c:pt idx="477">
                  <c:v>43874</c:v>
                </c:pt>
                <c:pt idx="478">
                  <c:v>43875</c:v>
                </c:pt>
                <c:pt idx="479">
                  <c:v>43878</c:v>
                </c:pt>
                <c:pt idx="480">
                  <c:v>43879</c:v>
                </c:pt>
                <c:pt idx="481">
                  <c:v>43880</c:v>
                </c:pt>
                <c:pt idx="482">
                  <c:v>43881</c:v>
                </c:pt>
                <c:pt idx="483">
                  <c:v>43882</c:v>
                </c:pt>
                <c:pt idx="484">
                  <c:v>43885</c:v>
                </c:pt>
                <c:pt idx="485">
                  <c:v>43886</c:v>
                </c:pt>
                <c:pt idx="486">
                  <c:v>43887</c:v>
                </c:pt>
                <c:pt idx="487">
                  <c:v>43888</c:v>
                </c:pt>
                <c:pt idx="488">
                  <c:v>43889</c:v>
                </c:pt>
                <c:pt idx="489">
                  <c:v>43892</c:v>
                </c:pt>
                <c:pt idx="490">
                  <c:v>43893</c:v>
                </c:pt>
                <c:pt idx="491">
                  <c:v>43894</c:v>
                </c:pt>
                <c:pt idx="492">
                  <c:v>43895</c:v>
                </c:pt>
                <c:pt idx="493">
                  <c:v>43896</c:v>
                </c:pt>
                <c:pt idx="494">
                  <c:v>43899</c:v>
                </c:pt>
                <c:pt idx="495">
                  <c:v>43900</c:v>
                </c:pt>
                <c:pt idx="496">
                  <c:v>43901</c:v>
                </c:pt>
                <c:pt idx="497">
                  <c:v>43902</c:v>
                </c:pt>
                <c:pt idx="498">
                  <c:v>43903</c:v>
                </c:pt>
                <c:pt idx="499">
                  <c:v>43906</c:v>
                </c:pt>
                <c:pt idx="500">
                  <c:v>43907</c:v>
                </c:pt>
                <c:pt idx="501">
                  <c:v>43908</c:v>
                </c:pt>
                <c:pt idx="502">
                  <c:v>43909</c:v>
                </c:pt>
                <c:pt idx="503">
                  <c:v>43910</c:v>
                </c:pt>
                <c:pt idx="504">
                  <c:v>43913</c:v>
                </c:pt>
                <c:pt idx="505">
                  <c:v>43914</c:v>
                </c:pt>
                <c:pt idx="506">
                  <c:v>43915</c:v>
                </c:pt>
                <c:pt idx="507">
                  <c:v>43916</c:v>
                </c:pt>
                <c:pt idx="508">
                  <c:v>43917</c:v>
                </c:pt>
                <c:pt idx="509">
                  <c:v>43920</c:v>
                </c:pt>
                <c:pt idx="510">
                  <c:v>43921</c:v>
                </c:pt>
                <c:pt idx="511">
                  <c:v>43922</c:v>
                </c:pt>
                <c:pt idx="512">
                  <c:v>43923</c:v>
                </c:pt>
                <c:pt idx="513">
                  <c:v>43924</c:v>
                </c:pt>
                <c:pt idx="514">
                  <c:v>43927</c:v>
                </c:pt>
                <c:pt idx="515">
                  <c:v>43928</c:v>
                </c:pt>
                <c:pt idx="516">
                  <c:v>43929</c:v>
                </c:pt>
                <c:pt idx="517">
                  <c:v>43935</c:v>
                </c:pt>
                <c:pt idx="518">
                  <c:v>43936</c:v>
                </c:pt>
                <c:pt idx="519">
                  <c:v>43937</c:v>
                </c:pt>
                <c:pt idx="520">
                  <c:v>43938</c:v>
                </c:pt>
                <c:pt idx="521">
                  <c:v>43941</c:v>
                </c:pt>
                <c:pt idx="522">
                  <c:v>43942</c:v>
                </c:pt>
                <c:pt idx="523">
                  <c:v>43943</c:v>
                </c:pt>
                <c:pt idx="524">
                  <c:v>43944</c:v>
                </c:pt>
                <c:pt idx="525">
                  <c:v>43945</c:v>
                </c:pt>
                <c:pt idx="526">
                  <c:v>43948</c:v>
                </c:pt>
                <c:pt idx="527">
                  <c:v>43949</c:v>
                </c:pt>
                <c:pt idx="528">
                  <c:v>43950</c:v>
                </c:pt>
                <c:pt idx="529">
                  <c:v>43951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43962</c:v>
                </c:pt>
                <c:pt idx="535">
                  <c:v>43963</c:v>
                </c:pt>
                <c:pt idx="536">
                  <c:v>43964</c:v>
                </c:pt>
                <c:pt idx="537">
                  <c:v>43965</c:v>
                </c:pt>
                <c:pt idx="538">
                  <c:v>43966</c:v>
                </c:pt>
                <c:pt idx="539">
                  <c:v>43969</c:v>
                </c:pt>
                <c:pt idx="540">
                  <c:v>43970</c:v>
                </c:pt>
                <c:pt idx="541">
                  <c:v>43971</c:v>
                </c:pt>
                <c:pt idx="542">
                  <c:v>43976</c:v>
                </c:pt>
                <c:pt idx="543">
                  <c:v>43977</c:v>
                </c:pt>
                <c:pt idx="544">
                  <c:v>43978</c:v>
                </c:pt>
                <c:pt idx="545">
                  <c:v>43979</c:v>
                </c:pt>
                <c:pt idx="546">
                  <c:v>43980</c:v>
                </c:pt>
                <c:pt idx="547">
                  <c:v>43984</c:v>
                </c:pt>
                <c:pt idx="548">
                  <c:v>43985</c:v>
                </c:pt>
                <c:pt idx="549">
                  <c:v>43986</c:v>
                </c:pt>
                <c:pt idx="550">
                  <c:v>43990</c:v>
                </c:pt>
                <c:pt idx="551">
                  <c:v>43991</c:v>
                </c:pt>
                <c:pt idx="552">
                  <c:v>43992</c:v>
                </c:pt>
                <c:pt idx="553">
                  <c:v>43993</c:v>
                </c:pt>
                <c:pt idx="554">
                  <c:v>43994</c:v>
                </c:pt>
                <c:pt idx="555">
                  <c:v>43997</c:v>
                </c:pt>
                <c:pt idx="556">
                  <c:v>43998</c:v>
                </c:pt>
                <c:pt idx="557">
                  <c:v>43999</c:v>
                </c:pt>
                <c:pt idx="558">
                  <c:v>44000</c:v>
                </c:pt>
                <c:pt idx="559">
                  <c:v>44004</c:v>
                </c:pt>
                <c:pt idx="560">
                  <c:v>44005</c:v>
                </c:pt>
                <c:pt idx="561">
                  <c:v>44006</c:v>
                </c:pt>
                <c:pt idx="562">
                  <c:v>44007</c:v>
                </c:pt>
                <c:pt idx="563">
                  <c:v>44008</c:v>
                </c:pt>
                <c:pt idx="564">
                  <c:v>44011</c:v>
                </c:pt>
                <c:pt idx="565">
                  <c:v>44012</c:v>
                </c:pt>
                <c:pt idx="566">
                  <c:v>44013</c:v>
                </c:pt>
                <c:pt idx="567">
                  <c:v>44014</c:v>
                </c:pt>
                <c:pt idx="568">
                  <c:v>44015</c:v>
                </c:pt>
                <c:pt idx="569">
                  <c:v>44018</c:v>
                </c:pt>
                <c:pt idx="570">
                  <c:v>44019</c:v>
                </c:pt>
                <c:pt idx="571">
                  <c:v>44020</c:v>
                </c:pt>
                <c:pt idx="572">
                  <c:v>44021</c:v>
                </c:pt>
                <c:pt idx="573">
                  <c:v>44022</c:v>
                </c:pt>
                <c:pt idx="574">
                  <c:v>44025</c:v>
                </c:pt>
                <c:pt idx="575">
                  <c:v>44026</c:v>
                </c:pt>
                <c:pt idx="576">
                  <c:v>44027</c:v>
                </c:pt>
                <c:pt idx="577">
                  <c:v>44028</c:v>
                </c:pt>
                <c:pt idx="578">
                  <c:v>44029</c:v>
                </c:pt>
                <c:pt idx="579">
                  <c:v>44032</c:v>
                </c:pt>
                <c:pt idx="580">
                  <c:v>44033</c:v>
                </c:pt>
                <c:pt idx="581">
                  <c:v>44034</c:v>
                </c:pt>
                <c:pt idx="582">
                  <c:v>44035</c:v>
                </c:pt>
                <c:pt idx="583">
                  <c:v>44036</c:v>
                </c:pt>
                <c:pt idx="584">
                  <c:v>44039</c:v>
                </c:pt>
                <c:pt idx="585">
                  <c:v>44040</c:v>
                </c:pt>
                <c:pt idx="586">
                  <c:v>44041</c:v>
                </c:pt>
                <c:pt idx="587">
                  <c:v>44042</c:v>
                </c:pt>
                <c:pt idx="588">
                  <c:v>44043</c:v>
                </c:pt>
                <c:pt idx="589">
                  <c:v>44046</c:v>
                </c:pt>
                <c:pt idx="590">
                  <c:v>44047</c:v>
                </c:pt>
                <c:pt idx="591">
                  <c:v>44048</c:v>
                </c:pt>
                <c:pt idx="592">
                  <c:v>44049</c:v>
                </c:pt>
                <c:pt idx="593">
                  <c:v>44050</c:v>
                </c:pt>
                <c:pt idx="594">
                  <c:v>44053</c:v>
                </c:pt>
                <c:pt idx="595">
                  <c:v>44054</c:v>
                </c:pt>
                <c:pt idx="596">
                  <c:v>44055</c:v>
                </c:pt>
                <c:pt idx="597">
                  <c:v>44056</c:v>
                </c:pt>
                <c:pt idx="598">
                  <c:v>44057</c:v>
                </c:pt>
                <c:pt idx="599">
                  <c:v>44060</c:v>
                </c:pt>
                <c:pt idx="600">
                  <c:v>44061</c:v>
                </c:pt>
                <c:pt idx="601">
                  <c:v>44062</c:v>
                </c:pt>
                <c:pt idx="602">
                  <c:v>44063</c:v>
                </c:pt>
                <c:pt idx="603">
                  <c:v>44064</c:v>
                </c:pt>
                <c:pt idx="604">
                  <c:v>44067</c:v>
                </c:pt>
                <c:pt idx="605">
                  <c:v>44068</c:v>
                </c:pt>
                <c:pt idx="606">
                  <c:v>44069</c:v>
                </c:pt>
                <c:pt idx="607">
                  <c:v>44070</c:v>
                </c:pt>
                <c:pt idx="608">
                  <c:v>44071</c:v>
                </c:pt>
                <c:pt idx="609">
                  <c:v>44074</c:v>
                </c:pt>
                <c:pt idx="610">
                  <c:v>44075</c:v>
                </c:pt>
                <c:pt idx="611">
                  <c:v>44076</c:v>
                </c:pt>
                <c:pt idx="612">
                  <c:v>44077</c:v>
                </c:pt>
                <c:pt idx="613">
                  <c:v>44078</c:v>
                </c:pt>
                <c:pt idx="614">
                  <c:v>44081</c:v>
                </c:pt>
                <c:pt idx="615">
                  <c:v>44082</c:v>
                </c:pt>
                <c:pt idx="616">
                  <c:v>44083</c:v>
                </c:pt>
                <c:pt idx="617">
                  <c:v>44084</c:v>
                </c:pt>
                <c:pt idx="618">
                  <c:v>44085</c:v>
                </c:pt>
                <c:pt idx="619">
                  <c:v>44088</c:v>
                </c:pt>
                <c:pt idx="620">
                  <c:v>44089</c:v>
                </c:pt>
                <c:pt idx="621">
                  <c:v>44090</c:v>
                </c:pt>
                <c:pt idx="622">
                  <c:v>44091</c:v>
                </c:pt>
                <c:pt idx="623">
                  <c:v>44092</c:v>
                </c:pt>
                <c:pt idx="624">
                  <c:v>44095</c:v>
                </c:pt>
                <c:pt idx="625">
                  <c:v>44096</c:v>
                </c:pt>
                <c:pt idx="626">
                  <c:v>44097</c:v>
                </c:pt>
                <c:pt idx="627">
                  <c:v>44098</c:v>
                </c:pt>
                <c:pt idx="628">
                  <c:v>44099</c:v>
                </c:pt>
                <c:pt idx="629">
                  <c:v>44102</c:v>
                </c:pt>
                <c:pt idx="630">
                  <c:v>44103</c:v>
                </c:pt>
                <c:pt idx="631">
                  <c:v>44104</c:v>
                </c:pt>
                <c:pt idx="632">
                  <c:v>44105</c:v>
                </c:pt>
                <c:pt idx="633">
                  <c:v>44106</c:v>
                </c:pt>
                <c:pt idx="634">
                  <c:v>44109</c:v>
                </c:pt>
                <c:pt idx="635">
                  <c:v>44110</c:v>
                </c:pt>
                <c:pt idx="636">
                  <c:v>44111</c:v>
                </c:pt>
                <c:pt idx="637">
                  <c:v>44112</c:v>
                </c:pt>
                <c:pt idx="638">
                  <c:v>44113</c:v>
                </c:pt>
                <c:pt idx="639">
                  <c:v>44116</c:v>
                </c:pt>
                <c:pt idx="640">
                  <c:v>44117</c:v>
                </c:pt>
                <c:pt idx="641">
                  <c:v>44118</c:v>
                </c:pt>
                <c:pt idx="642">
                  <c:v>44119</c:v>
                </c:pt>
                <c:pt idx="643">
                  <c:v>44120</c:v>
                </c:pt>
                <c:pt idx="644">
                  <c:v>44123</c:v>
                </c:pt>
                <c:pt idx="645">
                  <c:v>44124</c:v>
                </c:pt>
                <c:pt idx="646">
                  <c:v>44125</c:v>
                </c:pt>
                <c:pt idx="647">
                  <c:v>44126</c:v>
                </c:pt>
                <c:pt idx="648">
                  <c:v>44127</c:v>
                </c:pt>
                <c:pt idx="649">
                  <c:v>44130</c:v>
                </c:pt>
                <c:pt idx="650">
                  <c:v>44131</c:v>
                </c:pt>
                <c:pt idx="651">
                  <c:v>44132</c:v>
                </c:pt>
                <c:pt idx="652">
                  <c:v>44133</c:v>
                </c:pt>
                <c:pt idx="653">
                  <c:v>44134</c:v>
                </c:pt>
                <c:pt idx="654">
                  <c:v>44137</c:v>
                </c:pt>
                <c:pt idx="655">
                  <c:v>44138</c:v>
                </c:pt>
                <c:pt idx="656">
                  <c:v>44139</c:v>
                </c:pt>
                <c:pt idx="657">
                  <c:v>44140</c:v>
                </c:pt>
                <c:pt idx="658">
                  <c:v>44141</c:v>
                </c:pt>
                <c:pt idx="659">
                  <c:v>44144</c:v>
                </c:pt>
                <c:pt idx="660">
                  <c:v>44145</c:v>
                </c:pt>
                <c:pt idx="661">
                  <c:v>44146</c:v>
                </c:pt>
                <c:pt idx="662">
                  <c:v>44147</c:v>
                </c:pt>
                <c:pt idx="663">
                  <c:v>44148</c:v>
                </c:pt>
                <c:pt idx="664">
                  <c:v>44151</c:v>
                </c:pt>
                <c:pt idx="665">
                  <c:v>44152</c:v>
                </c:pt>
                <c:pt idx="666">
                  <c:v>44153</c:v>
                </c:pt>
                <c:pt idx="667">
                  <c:v>44154</c:v>
                </c:pt>
                <c:pt idx="668">
                  <c:v>44155</c:v>
                </c:pt>
                <c:pt idx="669">
                  <c:v>44158</c:v>
                </c:pt>
                <c:pt idx="670">
                  <c:v>44159</c:v>
                </c:pt>
                <c:pt idx="671">
                  <c:v>44160</c:v>
                </c:pt>
                <c:pt idx="672">
                  <c:v>44161</c:v>
                </c:pt>
                <c:pt idx="673">
                  <c:v>44162</c:v>
                </c:pt>
                <c:pt idx="674">
                  <c:v>44165</c:v>
                </c:pt>
                <c:pt idx="675">
                  <c:v>44166</c:v>
                </c:pt>
                <c:pt idx="676">
                  <c:v>44167</c:v>
                </c:pt>
                <c:pt idx="677">
                  <c:v>44168</c:v>
                </c:pt>
                <c:pt idx="678">
                  <c:v>44169</c:v>
                </c:pt>
                <c:pt idx="679">
                  <c:v>44172</c:v>
                </c:pt>
                <c:pt idx="680">
                  <c:v>44173</c:v>
                </c:pt>
                <c:pt idx="681">
                  <c:v>44174</c:v>
                </c:pt>
                <c:pt idx="682">
                  <c:v>44175</c:v>
                </c:pt>
                <c:pt idx="683">
                  <c:v>44176</c:v>
                </c:pt>
                <c:pt idx="684">
                  <c:v>44179</c:v>
                </c:pt>
                <c:pt idx="685">
                  <c:v>44180</c:v>
                </c:pt>
                <c:pt idx="686">
                  <c:v>44181</c:v>
                </c:pt>
                <c:pt idx="687">
                  <c:v>44182</c:v>
                </c:pt>
                <c:pt idx="688">
                  <c:v>44183</c:v>
                </c:pt>
                <c:pt idx="689">
                  <c:v>44186</c:v>
                </c:pt>
                <c:pt idx="690">
                  <c:v>44187</c:v>
                </c:pt>
                <c:pt idx="691">
                  <c:v>44188</c:v>
                </c:pt>
                <c:pt idx="692">
                  <c:v>44193</c:v>
                </c:pt>
                <c:pt idx="693">
                  <c:v>44194</c:v>
                </c:pt>
                <c:pt idx="694">
                  <c:v>44195</c:v>
                </c:pt>
                <c:pt idx="695">
                  <c:v>44200</c:v>
                </c:pt>
                <c:pt idx="696">
                  <c:v>44201</c:v>
                </c:pt>
                <c:pt idx="697">
                  <c:v>44203</c:v>
                </c:pt>
                <c:pt idx="698">
                  <c:v>44204</c:v>
                </c:pt>
                <c:pt idx="699">
                  <c:v>44207</c:v>
                </c:pt>
                <c:pt idx="700">
                  <c:v>44208</c:v>
                </c:pt>
                <c:pt idx="701">
                  <c:v>44209</c:v>
                </c:pt>
                <c:pt idx="702">
                  <c:v>44210</c:v>
                </c:pt>
                <c:pt idx="703">
                  <c:v>44211</c:v>
                </c:pt>
                <c:pt idx="704">
                  <c:v>44214</c:v>
                </c:pt>
                <c:pt idx="705">
                  <c:v>44215</c:v>
                </c:pt>
                <c:pt idx="706">
                  <c:v>44216</c:v>
                </c:pt>
                <c:pt idx="707">
                  <c:v>44217</c:v>
                </c:pt>
                <c:pt idx="708">
                  <c:v>44218</c:v>
                </c:pt>
                <c:pt idx="709">
                  <c:v>44221</c:v>
                </c:pt>
                <c:pt idx="710">
                  <c:v>44222</c:v>
                </c:pt>
                <c:pt idx="711">
                  <c:v>44223</c:v>
                </c:pt>
                <c:pt idx="712">
                  <c:v>44224</c:v>
                </c:pt>
                <c:pt idx="713">
                  <c:v>44225</c:v>
                </c:pt>
                <c:pt idx="714">
                  <c:v>44228</c:v>
                </c:pt>
                <c:pt idx="715">
                  <c:v>44229</c:v>
                </c:pt>
                <c:pt idx="716">
                  <c:v>44230</c:v>
                </c:pt>
                <c:pt idx="717">
                  <c:v>44231</c:v>
                </c:pt>
                <c:pt idx="718">
                  <c:v>44232</c:v>
                </c:pt>
                <c:pt idx="719">
                  <c:v>44235</c:v>
                </c:pt>
                <c:pt idx="720">
                  <c:v>44236</c:v>
                </c:pt>
                <c:pt idx="721">
                  <c:v>44237</c:v>
                </c:pt>
                <c:pt idx="722">
                  <c:v>44238</c:v>
                </c:pt>
                <c:pt idx="723">
                  <c:v>44239</c:v>
                </c:pt>
                <c:pt idx="724">
                  <c:v>44243</c:v>
                </c:pt>
                <c:pt idx="725">
                  <c:v>44245</c:v>
                </c:pt>
                <c:pt idx="726">
                  <c:v>44246</c:v>
                </c:pt>
                <c:pt idx="727">
                  <c:v>44249</c:v>
                </c:pt>
                <c:pt idx="728">
                  <c:v>44250</c:v>
                </c:pt>
                <c:pt idx="729">
                  <c:v>44251</c:v>
                </c:pt>
                <c:pt idx="730">
                  <c:v>44252</c:v>
                </c:pt>
                <c:pt idx="731">
                  <c:v>44253</c:v>
                </c:pt>
                <c:pt idx="732">
                  <c:v>44256</c:v>
                </c:pt>
                <c:pt idx="733">
                  <c:v>44257</c:v>
                </c:pt>
                <c:pt idx="734">
                  <c:v>44258</c:v>
                </c:pt>
                <c:pt idx="735">
                  <c:v>44259</c:v>
                </c:pt>
                <c:pt idx="736">
                  <c:v>44260</c:v>
                </c:pt>
                <c:pt idx="737">
                  <c:v>44263</c:v>
                </c:pt>
                <c:pt idx="738">
                  <c:v>44264</c:v>
                </c:pt>
                <c:pt idx="739">
                  <c:v>44265</c:v>
                </c:pt>
                <c:pt idx="740">
                  <c:v>44266</c:v>
                </c:pt>
                <c:pt idx="741">
                  <c:v>44267</c:v>
                </c:pt>
                <c:pt idx="742">
                  <c:v>44270</c:v>
                </c:pt>
                <c:pt idx="743">
                  <c:v>44271</c:v>
                </c:pt>
                <c:pt idx="744">
                  <c:v>44272</c:v>
                </c:pt>
                <c:pt idx="745">
                  <c:v>44273</c:v>
                </c:pt>
                <c:pt idx="746">
                  <c:v>44274</c:v>
                </c:pt>
                <c:pt idx="747">
                  <c:v>44277</c:v>
                </c:pt>
                <c:pt idx="748">
                  <c:v>44278</c:v>
                </c:pt>
                <c:pt idx="749">
                  <c:v>44279</c:v>
                </c:pt>
                <c:pt idx="750">
                  <c:v>44280</c:v>
                </c:pt>
                <c:pt idx="751">
                  <c:v>44281</c:v>
                </c:pt>
                <c:pt idx="752">
                  <c:v>44284</c:v>
                </c:pt>
                <c:pt idx="753">
                  <c:v>44285</c:v>
                </c:pt>
                <c:pt idx="754">
                  <c:v>44286</c:v>
                </c:pt>
                <c:pt idx="755">
                  <c:v>44292</c:v>
                </c:pt>
                <c:pt idx="756">
                  <c:v>44293</c:v>
                </c:pt>
                <c:pt idx="757">
                  <c:v>44294</c:v>
                </c:pt>
                <c:pt idx="758">
                  <c:v>44295</c:v>
                </c:pt>
                <c:pt idx="759">
                  <c:v>44298</c:v>
                </c:pt>
                <c:pt idx="760">
                  <c:v>44299</c:v>
                </c:pt>
                <c:pt idx="761">
                  <c:v>44300</c:v>
                </c:pt>
                <c:pt idx="762">
                  <c:v>44301</c:v>
                </c:pt>
                <c:pt idx="763">
                  <c:v>44302</c:v>
                </c:pt>
                <c:pt idx="764">
                  <c:v>44305</c:v>
                </c:pt>
                <c:pt idx="765">
                  <c:v>44306</c:v>
                </c:pt>
                <c:pt idx="766">
                  <c:v>44307</c:v>
                </c:pt>
                <c:pt idx="767">
                  <c:v>44308</c:v>
                </c:pt>
                <c:pt idx="768">
                  <c:v>44309</c:v>
                </c:pt>
                <c:pt idx="769">
                  <c:v>44312</c:v>
                </c:pt>
                <c:pt idx="770">
                  <c:v>44313</c:v>
                </c:pt>
                <c:pt idx="771">
                  <c:v>44314</c:v>
                </c:pt>
                <c:pt idx="772">
                  <c:v>44315</c:v>
                </c:pt>
                <c:pt idx="773">
                  <c:v>44319</c:v>
                </c:pt>
                <c:pt idx="774">
                  <c:v>44320</c:v>
                </c:pt>
                <c:pt idx="775">
                  <c:v>44321</c:v>
                </c:pt>
                <c:pt idx="776">
                  <c:v>44322</c:v>
                </c:pt>
                <c:pt idx="777">
                  <c:v>44323</c:v>
                </c:pt>
                <c:pt idx="778">
                  <c:v>44326</c:v>
                </c:pt>
                <c:pt idx="779">
                  <c:v>44327</c:v>
                </c:pt>
                <c:pt idx="780">
                  <c:v>44328</c:v>
                </c:pt>
                <c:pt idx="781">
                  <c:v>44333</c:v>
                </c:pt>
                <c:pt idx="782">
                  <c:v>44334</c:v>
                </c:pt>
                <c:pt idx="783">
                  <c:v>44335</c:v>
                </c:pt>
                <c:pt idx="784">
                  <c:v>44336</c:v>
                </c:pt>
                <c:pt idx="785">
                  <c:v>44337</c:v>
                </c:pt>
                <c:pt idx="786">
                  <c:v>44341</c:v>
                </c:pt>
                <c:pt idx="787">
                  <c:v>44342</c:v>
                </c:pt>
                <c:pt idx="788">
                  <c:v>44343</c:v>
                </c:pt>
                <c:pt idx="789">
                  <c:v>44344</c:v>
                </c:pt>
                <c:pt idx="790">
                  <c:v>44347</c:v>
                </c:pt>
                <c:pt idx="791">
                  <c:v>44348</c:v>
                </c:pt>
                <c:pt idx="792">
                  <c:v>44349</c:v>
                </c:pt>
                <c:pt idx="793">
                  <c:v>44350</c:v>
                </c:pt>
                <c:pt idx="794">
                  <c:v>44351</c:v>
                </c:pt>
                <c:pt idx="795">
                  <c:v>44354</c:v>
                </c:pt>
                <c:pt idx="796">
                  <c:v>44355</c:v>
                </c:pt>
                <c:pt idx="797">
                  <c:v>44356</c:v>
                </c:pt>
                <c:pt idx="798">
                  <c:v>44357</c:v>
                </c:pt>
                <c:pt idx="799">
                  <c:v>44358</c:v>
                </c:pt>
                <c:pt idx="800">
                  <c:v>44361</c:v>
                </c:pt>
                <c:pt idx="801">
                  <c:v>44362</c:v>
                </c:pt>
                <c:pt idx="802">
                  <c:v>44363</c:v>
                </c:pt>
                <c:pt idx="803">
                  <c:v>44364</c:v>
                </c:pt>
                <c:pt idx="804">
                  <c:v>44365</c:v>
                </c:pt>
                <c:pt idx="805">
                  <c:v>44368</c:v>
                </c:pt>
                <c:pt idx="806">
                  <c:v>44369</c:v>
                </c:pt>
                <c:pt idx="807">
                  <c:v>44370</c:v>
                </c:pt>
                <c:pt idx="808">
                  <c:v>44371</c:v>
                </c:pt>
                <c:pt idx="809">
                  <c:v>44375</c:v>
                </c:pt>
                <c:pt idx="810">
                  <c:v>44376</c:v>
                </c:pt>
                <c:pt idx="811">
                  <c:v>44377</c:v>
                </c:pt>
                <c:pt idx="812">
                  <c:v>44378</c:v>
                </c:pt>
                <c:pt idx="813">
                  <c:v>44379</c:v>
                </c:pt>
                <c:pt idx="814">
                  <c:v>44382</c:v>
                </c:pt>
                <c:pt idx="815">
                  <c:v>44383</c:v>
                </c:pt>
                <c:pt idx="816">
                  <c:v>44384</c:v>
                </c:pt>
                <c:pt idx="817">
                  <c:v>44385</c:v>
                </c:pt>
                <c:pt idx="818">
                  <c:v>44386</c:v>
                </c:pt>
                <c:pt idx="819">
                  <c:v>44389</c:v>
                </c:pt>
                <c:pt idx="820">
                  <c:v>44390</c:v>
                </c:pt>
                <c:pt idx="821">
                  <c:v>44391</c:v>
                </c:pt>
                <c:pt idx="822">
                  <c:v>44392</c:v>
                </c:pt>
                <c:pt idx="823">
                  <c:v>44393</c:v>
                </c:pt>
                <c:pt idx="824">
                  <c:v>44396</c:v>
                </c:pt>
                <c:pt idx="825">
                  <c:v>44397</c:v>
                </c:pt>
                <c:pt idx="826">
                  <c:v>44398</c:v>
                </c:pt>
                <c:pt idx="827">
                  <c:v>44399</c:v>
                </c:pt>
                <c:pt idx="828">
                  <c:v>44400</c:v>
                </c:pt>
                <c:pt idx="829">
                  <c:v>44403</c:v>
                </c:pt>
                <c:pt idx="830">
                  <c:v>44404</c:v>
                </c:pt>
                <c:pt idx="831">
                  <c:v>44405</c:v>
                </c:pt>
                <c:pt idx="832">
                  <c:v>44406</c:v>
                </c:pt>
                <c:pt idx="833">
                  <c:v>44407</c:v>
                </c:pt>
                <c:pt idx="834">
                  <c:v>44410</c:v>
                </c:pt>
                <c:pt idx="835">
                  <c:v>44411</c:v>
                </c:pt>
                <c:pt idx="836">
                  <c:v>44412</c:v>
                </c:pt>
                <c:pt idx="837">
                  <c:v>44413</c:v>
                </c:pt>
                <c:pt idx="838">
                  <c:v>44414</c:v>
                </c:pt>
                <c:pt idx="839">
                  <c:v>44417</c:v>
                </c:pt>
                <c:pt idx="840">
                  <c:v>44418</c:v>
                </c:pt>
                <c:pt idx="841">
                  <c:v>44419</c:v>
                </c:pt>
                <c:pt idx="842">
                  <c:v>44420</c:v>
                </c:pt>
                <c:pt idx="843">
                  <c:v>44421</c:v>
                </c:pt>
                <c:pt idx="844">
                  <c:v>44424</c:v>
                </c:pt>
                <c:pt idx="845">
                  <c:v>44425</c:v>
                </c:pt>
                <c:pt idx="846">
                  <c:v>44426</c:v>
                </c:pt>
                <c:pt idx="847">
                  <c:v>44427</c:v>
                </c:pt>
                <c:pt idx="848">
                  <c:v>44428</c:v>
                </c:pt>
                <c:pt idx="849">
                  <c:v>44431</c:v>
                </c:pt>
                <c:pt idx="850">
                  <c:v>44432</c:v>
                </c:pt>
                <c:pt idx="851">
                  <c:v>44433</c:v>
                </c:pt>
                <c:pt idx="852">
                  <c:v>44434</c:v>
                </c:pt>
                <c:pt idx="853">
                  <c:v>44435</c:v>
                </c:pt>
                <c:pt idx="854">
                  <c:v>44438</c:v>
                </c:pt>
                <c:pt idx="855">
                  <c:v>44439</c:v>
                </c:pt>
                <c:pt idx="856">
                  <c:v>44440</c:v>
                </c:pt>
                <c:pt idx="857">
                  <c:v>44441</c:v>
                </c:pt>
                <c:pt idx="858">
                  <c:v>44442</c:v>
                </c:pt>
                <c:pt idx="859">
                  <c:v>44445</c:v>
                </c:pt>
                <c:pt idx="860">
                  <c:v>44446</c:v>
                </c:pt>
                <c:pt idx="861">
                  <c:v>44447</c:v>
                </c:pt>
                <c:pt idx="862">
                  <c:v>44448</c:v>
                </c:pt>
                <c:pt idx="863">
                  <c:v>44449</c:v>
                </c:pt>
                <c:pt idx="864">
                  <c:v>44452</c:v>
                </c:pt>
                <c:pt idx="865">
                  <c:v>44453</c:v>
                </c:pt>
                <c:pt idx="866">
                  <c:v>44454</c:v>
                </c:pt>
                <c:pt idx="867">
                  <c:v>44455</c:v>
                </c:pt>
                <c:pt idx="868">
                  <c:v>44456</c:v>
                </c:pt>
                <c:pt idx="869">
                  <c:v>44459</c:v>
                </c:pt>
                <c:pt idx="870">
                  <c:v>44460</c:v>
                </c:pt>
                <c:pt idx="871">
                  <c:v>44461</c:v>
                </c:pt>
                <c:pt idx="872">
                  <c:v>44462</c:v>
                </c:pt>
                <c:pt idx="873">
                  <c:v>44463</c:v>
                </c:pt>
                <c:pt idx="874">
                  <c:v>44466</c:v>
                </c:pt>
                <c:pt idx="875">
                  <c:v>44467</c:v>
                </c:pt>
                <c:pt idx="876">
                  <c:v>44468</c:v>
                </c:pt>
                <c:pt idx="877">
                  <c:v>44469</c:v>
                </c:pt>
                <c:pt idx="878">
                  <c:v>44470</c:v>
                </c:pt>
                <c:pt idx="879">
                  <c:v>44473</c:v>
                </c:pt>
                <c:pt idx="880">
                  <c:v>44474</c:v>
                </c:pt>
                <c:pt idx="881">
                  <c:v>44475</c:v>
                </c:pt>
                <c:pt idx="882">
                  <c:v>44476</c:v>
                </c:pt>
                <c:pt idx="883">
                  <c:v>44477</c:v>
                </c:pt>
                <c:pt idx="884">
                  <c:v>44480</c:v>
                </c:pt>
                <c:pt idx="885">
                  <c:v>44481</c:v>
                </c:pt>
                <c:pt idx="886">
                  <c:v>44482</c:v>
                </c:pt>
                <c:pt idx="887">
                  <c:v>44483</c:v>
                </c:pt>
                <c:pt idx="888">
                  <c:v>44484</c:v>
                </c:pt>
                <c:pt idx="889">
                  <c:v>44487</c:v>
                </c:pt>
                <c:pt idx="890">
                  <c:v>44488</c:v>
                </c:pt>
                <c:pt idx="891">
                  <c:v>44489</c:v>
                </c:pt>
                <c:pt idx="892">
                  <c:v>44490</c:v>
                </c:pt>
                <c:pt idx="893">
                  <c:v>44491</c:v>
                </c:pt>
                <c:pt idx="894">
                  <c:v>44494</c:v>
                </c:pt>
                <c:pt idx="895">
                  <c:v>44495</c:v>
                </c:pt>
                <c:pt idx="896">
                  <c:v>44496</c:v>
                </c:pt>
                <c:pt idx="897">
                  <c:v>44497</c:v>
                </c:pt>
                <c:pt idx="898">
                  <c:v>44498</c:v>
                </c:pt>
                <c:pt idx="899">
                  <c:v>44501</c:v>
                </c:pt>
                <c:pt idx="900">
                  <c:v>44502</c:v>
                </c:pt>
                <c:pt idx="901">
                  <c:v>44503</c:v>
                </c:pt>
                <c:pt idx="902">
                  <c:v>44504</c:v>
                </c:pt>
                <c:pt idx="903">
                  <c:v>44505</c:v>
                </c:pt>
                <c:pt idx="904">
                  <c:v>44508</c:v>
                </c:pt>
                <c:pt idx="905">
                  <c:v>44509</c:v>
                </c:pt>
                <c:pt idx="906">
                  <c:v>44510</c:v>
                </c:pt>
                <c:pt idx="907">
                  <c:v>44511</c:v>
                </c:pt>
                <c:pt idx="908">
                  <c:v>44512</c:v>
                </c:pt>
                <c:pt idx="909">
                  <c:v>44515</c:v>
                </c:pt>
                <c:pt idx="910">
                  <c:v>44516</c:v>
                </c:pt>
                <c:pt idx="911">
                  <c:v>44517</c:v>
                </c:pt>
                <c:pt idx="912">
                  <c:v>44518</c:v>
                </c:pt>
                <c:pt idx="913">
                  <c:v>44519</c:v>
                </c:pt>
                <c:pt idx="914">
                  <c:v>44522</c:v>
                </c:pt>
                <c:pt idx="915">
                  <c:v>44523</c:v>
                </c:pt>
                <c:pt idx="916">
                  <c:v>44524</c:v>
                </c:pt>
                <c:pt idx="917">
                  <c:v>44525</c:v>
                </c:pt>
                <c:pt idx="918">
                  <c:v>44526</c:v>
                </c:pt>
                <c:pt idx="919">
                  <c:v>44529</c:v>
                </c:pt>
                <c:pt idx="920">
                  <c:v>44530</c:v>
                </c:pt>
                <c:pt idx="921">
                  <c:v>44531</c:v>
                </c:pt>
                <c:pt idx="922">
                  <c:v>44532</c:v>
                </c:pt>
                <c:pt idx="923">
                  <c:v>44533</c:v>
                </c:pt>
                <c:pt idx="924">
                  <c:v>44536</c:v>
                </c:pt>
                <c:pt idx="925">
                  <c:v>44537</c:v>
                </c:pt>
                <c:pt idx="926">
                  <c:v>44538</c:v>
                </c:pt>
                <c:pt idx="927">
                  <c:v>44539</c:v>
                </c:pt>
                <c:pt idx="928">
                  <c:v>44540</c:v>
                </c:pt>
                <c:pt idx="929">
                  <c:v>44543</c:v>
                </c:pt>
                <c:pt idx="930">
                  <c:v>44544</c:v>
                </c:pt>
                <c:pt idx="931">
                  <c:v>44545</c:v>
                </c:pt>
                <c:pt idx="932">
                  <c:v>44546</c:v>
                </c:pt>
                <c:pt idx="933">
                  <c:v>44547</c:v>
                </c:pt>
                <c:pt idx="934">
                  <c:v>44550</c:v>
                </c:pt>
                <c:pt idx="935">
                  <c:v>44551</c:v>
                </c:pt>
                <c:pt idx="936">
                  <c:v>44552</c:v>
                </c:pt>
                <c:pt idx="937">
                  <c:v>44553</c:v>
                </c:pt>
                <c:pt idx="938">
                  <c:v>44557</c:v>
                </c:pt>
                <c:pt idx="939">
                  <c:v>44558</c:v>
                </c:pt>
                <c:pt idx="940">
                  <c:v>44559</c:v>
                </c:pt>
                <c:pt idx="941">
                  <c:v>44560</c:v>
                </c:pt>
                <c:pt idx="942">
                  <c:v>44564</c:v>
                </c:pt>
                <c:pt idx="943">
                  <c:v>44565</c:v>
                </c:pt>
                <c:pt idx="944">
                  <c:v>44566</c:v>
                </c:pt>
                <c:pt idx="945">
                  <c:v>44568</c:v>
                </c:pt>
                <c:pt idx="946">
                  <c:v>44571</c:v>
                </c:pt>
                <c:pt idx="947">
                  <c:v>44572</c:v>
                </c:pt>
                <c:pt idx="948">
                  <c:v>44573</c:v>
                </c:pt>
                <c:pt idx="949">
                  <c:v>44574</c:v>
                </c:pt>
                <c:pt idx="950">
                  <c:v>44575</c:v>
                </c:pt>
                <c:pt idx="951">
                  <c:v>44578</c:v>
                </c:pt>
                <c:pt idx="952">
                  <c:v>44579</c:v>
                </c:pt>
                <c:pt idx="953">
                  <c:v>44580</c:v>
                </c:pt>
                <c:pt idx="954">
                  <c:v>44581</c:v>
                </c:pt>
                <c:pt idx="955">
                  <c:v>44582</c:v>
                </c:pt>
                <c:pt idx="956">
                  <c:v>44585</c:v>
                </c:pt>
                <c:pt idx="957">
                  <c:v>44586</c:v>
                </c:pt>
                <c:pt idx="958">
                  <c:v>44587</c:v>
                </c:pt>
                <c:pt idx="959">
                  <c:v>44588</c:v>
                </c:pt>
                <c:pt idx="960">
                  <c:v>44589</c:v>
                </c:pt>
                <c:pt idx="961">
                  <c:v>44592</c:v>
                </c:pt>
                <c:pt idx="962">
                  <c:v>44593</c:v>
                </c:pt>
                <c:pt idx="963">
                  <c:v>44594</c:v>
                </c:pt>
                <c:pt idx="964">
                  <c:v>44595</c:v>
                </c:pt>
                <c:pt idx="965">
                  <c:v>44596</c:v>
                </c:pt>
                <c:pt idx="966">
                  <c:v>44599</c:v>
                </c:pt>
                <c:pt idx="967">
                  <c:v>44600</c:v>
                </c:pt>
                <c:pt idx="968">
                  <c:v>44601</c:v>
                </c:pt>
                <c:pt idx="969">
                  <c:v>44602</c:v>
                </c:pt>
                <c:pt idx="970">
                  <c:v>44603</c:v>
                </c:pt>
                <c:pt idx="971">
                  <c:v>44606</c:v>
                </c:pt>
                <c:pt idx="972">
                  <c:v>44607</c:v>
                </c:pt>
                <c:pt idx="973">
                  <c:v>44608</c:v>
                </c:pt>
                <c:pt idx="974">
                  <c:v>44609</c:v>
                </c:pt>
                <c:pt idx="975">
                  <c:v>44610</c:v>
                </c:pt>
                <c:pt idx="976">
                  <c:v>44613</c:v>
                </c:pt>
                <c:pt idx="977">
                  <c:v>44614</c:v>
                </c:pt>
                <c:pt idx="978">
                  <c:v>44615</c:v>
                </c:pt>
                <c:pt idx="979">
                  <c:v>44616</c:v>
                </c:pt>
                <c:pt idx="980">
                  <c:v>44617</c:v>
                </c:pt>
                <c:pt idx="981">
                  <c:v>44620</c:v>
                </c:pt>
                <c:pt idx="982">
                  <c:v>44621</c:v>
                </c:pt>
                <c:pt idx="983">
                  <c:v>44622</c:v>
                </c:pt>
                <c:pt idx="984">
                  <c:v>44623</c:v>
                </c:pt>
                <c:pt idx="985">
                  <c:v>44624</c:v>
                </c:pt>
                <c:pt idx="986">
                  <c:v>44627</c:v>
                </c:pt>
                <c:pt idx="987">
                  <c:v>44628</c:v>
                </c:pt>
                <c:pt idx="988">
                  <c:v>44629</c:v>
                </c:pt>
                <c:pt idx="989">
                  <c:v>44630</c:v>
                </c:pt>
                <c:pt idx="990">
                  <c:v>44631</c:v>
                </c:pt>
                <c:pt idx="991">
                  <c:v>44634</c:v>
                </c:pt>
                <c:pt idx="992">
                  <c:v>44635</c:v>
                </c:pt>
                <c:pt idx="993">
                  <c:v>44636</c:v>
                </c:pt>
                <c:pt idx="994">
                  <c:v>44637</c:v>
                </c:pt>
                <c:pt idx="995">
                  <c:v>44638</c:v>
                </c:pt>
                <c:pt idx="996">
                  <c:v>44641</c:v>
                </c:pt>
                <c:pt idx="997">
                  <c:v>44642</c:v>
                </c:pt>
                <c:pt idx="998">
                  <c:v>44643</c:v>
                </c:pt>
                <c:pt idx="999">
                  <c:v>44644</c:v>
                </c:pt>
                <c:pt idx="1000">
                  <c:v>44645</c:v>
                </c:pt>
                <c:pt idx="1001">
                  <c:v>44648</c:v>
                </c:pt>
                <c:pt idx="1002">
                  <c:v>44649</c:v>
                </c:pt>
                <c:pt idx="1003">
                  <c:v>44650</c:v>
                </c:pt>
                <c:pt idx="1004">
                  <c:v>44651</c:v>
                </c:pt>
                <c:pt idx="1005">
                  <c:v>44652</c:v>
                </c:pt>
                <c:pt idx="1006">
                  <c:v>44655</c:v>
                </c:pt>
                <c:pt idx="1007">
                  <c:v>44656</c:v>
                </c:pt>
                <c:pt idx="1008">
                  <c:v>44657</c:v>
                </c:pt>
                <c:pt idx="1009">
                  <c:v>44658</c:v>
                </c:pt>
                <c:pt idx="1010">
                  <c:v>44659</c:v>
                </c:pt>
                <c:pt idx="1011">
                  <c:v>44662</c:v>
                </c:pt>
                <c:pt idx="1012">
                  <c:v>44663</c:v>
                </c:pt>
                <c:pt idx="1013">
                  <c:v>44664</c:v>
                </c:pt>
                <c:pt idx="1014">
                  <c:v>44670</c:v>
                </c:pt>
                <c:pt idx="1015">
                  <c:v>44671</c:v>
                </c:pt>
                <c:pt idx="1016">
                  <c:v>44672</c:v>
                </c:pt>
                <c:pt idx="1017">
                  <c:v>44673</c:v>
                </c:pt>
                <c:pt idx="1018">
                  <c:v>44676</c:v>
                </c:pt>
                <c:pt idx="1019">
                  <c:v>44677</c:v>
                </c:pt>
                <c:pt idx="1020">
                  <c:v>44678</c:v>
                </c:pt>
                <c:pt idx="1021">
                  <c:v>44679</c:v>
                </c:pt>
                <c:pt idx="1022">
                  <c:v>44680</c:v>
                </c:pt>
                <c:pt idx="1023">
                  <c:v>44683</c:v>
                </c:pt>
                <c:pt idx="1024">
                  <c:v>44684</c:v>
                </c:pt>
                <c:pt idx="1025">
                  <c:v>44685</c:v>
                </c:pt>
                <c:pt idx="1026">
                  <c:v>44686</c:v>
                </c:pt>
                <c:pt idx="1027">
                  <c:v>44687</c:v>
                </c:pt>
                <c:pt idx="1028">
                  <c:v>44690</c:v>
                </c:pt>
                <c:pt idx="1029">
                  <c:v>44691</c:v>
                </c:pt>
                <c:pt idx="1030">
                  <c:v>44692</c:v>
                </c:pt>
                <c:pt idx="1031">
                  <c:v>44693</c:v>
                </c:pt>
                <c:pt idx="1032">
                  <c:v>44697</c:v>
                </c:pt>
                <c:pt idx="1033">
                  <c:v>44698</c:v>
                </c:pt>
                <c:pt idx="1034">
                  <c:v>44699</c:v>
                </c:pt>
                <c:pt idx="1035">
                  <c:v>44700</c:v>
                </c:pt>
                <c:pt idx="1036">
                  <c:v>44701</c:v>
                </c:pt>
                <c:pt idx="1037">
                  <c:v>44704</c:v>
                </c:pt>
                <c:pt idx="1038">
                  <c:v>44705</c:v>
                </c:pt>
                <c:pt idx="1039">
                  <c:v>44706</c:v>
                </c:pt>
                <c:pt idx="1040">
                  <c:v>44711</c:v>
                </c:pt>
                <c:pt idx="1041">
                  <c:v>44712</c:v>
                </c:pt>
                <c:pt idx="1042">
                  <c:v>44713</c:v>
                </c:pt>
                <c:pt idx="1043">
                  <c:v>44714</c:v>
                </c:pt>
                <c:pt idx="1044">
                  <c:v>44715</c:v>
                </c:pt>
                <c:pt idx="1045">
                  <c:v>44719</c:v>
                </c:pt>
                <c:pt idx="1046">
                  <c:v>44720</c:v>
                </c:pt>
                <c:pt idx="1047">
                  <c:v>44721</c:v>
                </c:pt>
                <c:pt idx="1048">
                  <c:v>44722</c:v>
                </c:pt>
                <c:pt idx="1049">
                  <c:v>44725</c:v>
                </c:pt>
                <c:pt idx="1050">
                  <c:v>44726</c:v>
                </c:pt>
                <c:pt idx="1051">
                  <c:v>44727</c:v>
                </c:pt>
                <c:pt idx="1052">
                  <c:v>44728</c:v>
                </c:pt>
                <c:pt idx="1053">
                  <c:v>44729</c:v>
                </c:pt>
                <c:pt idx="1054">
                  <c:v>44732</c:v>
                </c:pt>
                <c:pt idx="1055">
                  <c:v>44733</c:v>
                </c:pt>
                <c:pt idx="1056">
                  <c:v>44734</c:v>
                </c:pt>
                <c:pt idx="1057">
                  <c:v>44735</c:v>
                </c:pt>
                <c:pt idx="1058">
                  <c:v>44739</c:v>
                </c:pt>
                <c:pt idx="1059">
                  <c:v>44740</c:v>
                </c:pt>
                <c:pt idx="1060">
                  <c:v>44741</c:v>
                </c:pt>
                <c:pt idx="1061">
                  <c:v>44742</c:v>
                </c:pt>
                <c:pt idx="1062">
                  <c:v>44743</c:v>
                </c:pt>
                <c:pt idx="1063">
                  <c:v>44746</c:v>
                </c:pt>
                <c:pt idx="1064">
                  <c:v>44747</c:v>
                </c:pt>
                <c:pt idx="1065">
                  <c:v>44748</c:v>
                </c:pt>
                <c:pt idx="1066">
                  <c:v>44749</c:v>
                </c:pt>
                <c:pt idx="1067">
                  <c:v>44750</c:v>
                </c:pt>
                <c:pt idx="1068">
                  <c:v>44753</c:v>
                </c:pt>
                <c:pt idx="1069">
                  <c:v>44754</c:v>
                </c:pt>
                <c:pt idx="1070">
                  <c:v>44755</c:v>
                </c:pt>
                <c:pt idx="1071">
                  <c:v>44756</c:v>
                </c:pt>
                <c:pt idx="1072">
                  <c:v>44757</c:v>
                </c:pt>
                <c:pt idx="1073">
                  <c:v>44760</c:v>
                </c:pt>
                <c:pt idx="1074">
                  <c:v>44761</c:v>
                </c:pt>
                <c:pt idx="1075">
                  <c:v>44762</c:v>
                </c:pt>
                <c:pt idx="1076">
                  <c:v>44763</c:v>
                </c:pt>
                <c:pt idx="1077">
                  <c:v>44764</c:v>
                </c:pt>
                <c:pt idx="1078">
                  <c:v>44767</c:v>
                </c:pt>
                <c:pt idx="1079">
                  <c:v>44768</c:v>
                </c:pt>
                <c:pt idx="1080">
                  <c:v>44769</c:v>
                </c:pt>
                <c:pt idx="1081">
                  <c:v>44770</c:v>
                </c:pt>
                <c:pt idx="1082">
                  <c:v>44771</c:v>
                </c:pt>
                <c:pt idx="1083">
                  <c:v>44774</c:v>
                </c:pt>
                <c:pt idx="1084">
                  <c:v>44775</c:v>
                </c:pt>
                <c:pt idx="1085">
                  <c:v>44776</c:v>
                </c:pt>
                <c:pt idx="1086">
                  <c:v>44777</c:v>
                </c:pt>
                <c:pt idx="1087">
                  <c:v>44778</c:v>
                </c:pt>
                <c:pt idx="1088">
                  <c:v>44781</c:v>
                </c:pt>
                <c:pt idx="1089">
                  <c:v>44782</c:v>
                </c:pt>
                <c:pt idx="1090">
                  <c:v>44783</c:v>
                </c:pt>
                <c:pt idx="1091">
                  <c:v>44784</c:v>
                </c:pt>
                <c:pt idx="1092">
                  <c:v>44785</c:v>
                </c:pt>
                <c:pt idx="1093">
                  <c:v>44788</c:v>
                </c:pt>
                <c:pt idx="1094">
                  <c:v>44789</c:v>
                </c:pt>
                <c:pt idx="1095">
                  <c:v>44790</c:v>
                </c:pt>
                <c:pt idx="1096">
                  <c:v>44791</c:v>
                </c:pt>
                <c:pt idx="1097">
                  <c:v>44792</c:v>
                </c:pt>
                <c:pt idx="1098">
                  <c:v>44795</c:v>
                </c:pt>
                <c:pt idx="1099">
                  <c:v>44796</c:v>
                </c:pt>
                <c:pt idx="1100">
                  <c:v>44797</c:v>
                </c:pt>
                <c:pt idx="1101">
                  <c:v>44798</c:v>
                </c:pt>
                <c:pt idx="1102">
                  <c:v>44799</c:v>
                </c:pt>
                <c:pt idx="1103">
                  <c:v>44802</c:v>
                </c:pt>
                <c:pt idx="1104">
                  <c:v>44803</c:v>
                </c:pt>
                <c:pt idx="1105">
                  <c:v>44804</c:v>
                </c:pt>
                <c:pt idx="1106">
                  <c:v>44805</c:v>
                </c:pt>
                <c:pt idx="1107">
                  <c:v>44806</c:v>
                </c:pt>
                <c:pt idx="1108">
                  <c:v>44809</c:v>
                </c:pt>
                <c:pt idx="1109">
                  <c:v>44810</c:v>
                </c:pt>
                <c:pt idx="1110">
                  <c:v>44811</c:v>
                </c:pt>
                <c:pt idx="1111">
                  <c:v>44812</c:v>
                </c:pt>
                <c:pt idx="1112">
                  <c:v>44813</c:v>
                </c:pt>
                <c:pt idx="1113">
                  <c:v>44816</c:v>
                </c:pt>
                <c:pt idx="1114">
                  <c:v>44817</c:v>
                </c:pt>
                <c:pt idx="1115">
                  <c:v>44818</c:v>
                </c:pt>
                <c:pt idx="1116">
                  <c:v>44819</c:v>
                </c:pt>
                <c:pt idx="1117">
                  <c:v>44820</c:v>
                </c:pt>
                <c:pt idx="1118">
                  <c:v>44823</c:v>
                </c:pt>
                <c:pt idx="1119">
                  <c:v>44824</c:v>
                </c:pt>
                <c:pt idx="1120">
                  <c:v>44825</c:v>
                </c:pt>
                <c:pt idx="1121">
                  <c:v>44826</c:v>
                </c:pt>
                <c:pt idx="1122">
                  <c:v>44827</c:v>
                </c:pt>
                <c:pt idx="1123">
                  <c:v>44830</c:v>
                </c:pt>
                <c:pt idx="1124">
                  <c:v>44831</c:v>
                </c:pt>
                <c:pt idx="1125">
                  <c:v>44832</c:v>
                </c:pt>
                <c:pt idx="1126">
                  <c:v>44833</c:v>
                </c:pt>
                <c:pt idx="1127">
                  <c:v>44834</c:v>
                </c:pt>
                <c:pt idx="1128">
                  <c:v>44837</c:v>
                </c:pt>
                <c:pt idx="1129">
                  <c:v>44838</c:v>
                </c:pt>
                <c:pt idx="1130">
                  <c:v>44839</c:v>
                </c:pt>
                <c:pt idx="1131">
                  <c:v>44840</c:v>
                </c:pt>
                <c:pt idx="1132">
                  <c:v>44841</c:v>
                </c:pt>
                <c:pt idx="1133">
                  <c:v>44844</c:v>
                </c:pt>
                <c:pt idx="1134">
                  <c:v>44845</c:v>
                </c:pt>
                <c:pt idx="1135">
                  <c:v>44846</c:v>
                </c:pt>
                <c:pt idx="1136">
                  <c:v>44847</c:v>
                </c:pt>
                <c:pt idx="1137">
                  <c:v>44848</c:v>
                </c:pt>
                <c:pt idx="1138">
                  <c:v>44851</c:v>
                </c:pt>
                <c:pt idx="1139">
                  <c:v>44852</c:v>
                </c:pt>
                <c:pt idx="1140">
                  <c:v>44853</c:v>
                </c:pt>
                <c:pt idx="1141">
                  <c:v>44854</c:v>
                </c:pt>
                <c:pt idx="1142">
                  <c:v>44855</c:v>
                </c:pt>
                <c:pt idx="1143">
                  <c:v>44858</c:v>
                </c:pt>
                <c:pt idx="1144">
                  <c:v>44859</c:v>
                </c:pt>
                <c:pt idx="1145">
                  <c:v>44860</c:v>
                </c:pt>
                <c:pt idx="1146">
                  <c:v>44861</c:v>
                </c:pt>
                <c:pt idx="1147">
                  <c:v>44862</c:v>
                </c:pt>
                <c:pt idx="1148">
                  <c:v>44865</c:v>
                </c:pt>
                <c:pt idx="1149">
                  <c:v>44866</c:v>
                </c:pt>
                <c:pt idx="1150">
                  <c:v>44867</c:v>
                </c:pt>
                <c:pt idx="1151">
                  <c:v>44868</c:v>
                </c:pt>
                <c:pt idx="1152">
                  <c:v>44869</c:v>
                </c:pt>
                <c:pt idx="1153">
                  <c:v>44872</c:v>
                </c:pt>
                <c:pt idx="1154">
                  <c:v>44873</c:v>
                </c:pt>
                <c:pt idx="1155">
                  <c:v>44874</c:v>
                </c:pt>
                <c:pt idx="1156">
                  <c:v>44875</c:v>
                </c:pt>
                <c:pt idx="1157">
                  <c:v>44876</c:v>
                </c:pt>
                <c:pt idx="1158">
                  <c:v>44879</c:v>
                </c:pt>
                <c:pt idx="1159">
                  <c:v>44880</c:v>
                </c:pt>
                <c:pt idx="1160">
                  <c:v>44881</c:v>
                </c:pt>
                <c:pt idx="1161">
                  <c:v>44882</c:v>
                </c:pt>
                <c:pt idx="1162">
                  <c:v>44883</c:v>
                </c:pt>
                <c:pt idx="1163">
                  <c:v>44886</c:v>
                </c:pt>
                <c:pt idx="1164">
                  <c:v>44887</c:v>
                </c:pt>
                <c:pt idx="1165">
                  <c:v>44888</c:v>
                </c:pt>
                <c:pt idx="1166">
                  <c:v>44889</c:v>
                </c:pt>
                <c:pt idx="1167">
                  <c:v>44890</c:v>
                </c:pt>
                <c:pt idx="1168">
                  <c:v>44893</c:v>
                </c:pt>
                <c:pt idx="1169">
                  <c:v>44894</c:v>
                </c:pt>
                <c:pt idx="1170">
                  <c:v>44895</c:v>
                </c:pt>
                <c:pt idx="1171">
                  <c:v>44896</c:v>
                </c:pt>
                <c:pt idx="1172">
                  <c:v>44897</c:v>
                </c:pt>
                <c:pt idx="1173">
                  <c:v>44900</c:v>
                </c:pt>
                <c:pt idx="1174">
                  <c:v>44901</c:v>
                </c:pt>
                <c:pt idx="1175">
                  <c:v>44902</c:v>
                </c:pt>
                <c:pt idx="1176">
                  <c:v>44903</c:v>
                </c:pt>
                <c:pt idx="1177">
                  <c:v>44904</c:v>
                </c:pt>
                <c:pt idx="1178">
                  <c:v>44907</c:v>
                </c:pt>
                <c:pt idx="1179">
                  <c:v>44908</c:v>
                </c:pt>
                <c:pt idx="1180">
                  <c:v>44909</c:v>
                </c:pt>
                <c:pt idx="1181">
                  <c:v>44910</c:v>
                </c:pt>
                <c:pt idx="1182">
                  <c:v>44911</c:v>
                </c:pt>
                <c:pt idx="1183">
                  <c:v>44914</c:v>
                </c:pt>
                <c:pt idx="1184">
                  <c:v>44915</c:v>
                </c:pt>
                <c:pt idx="1185">
                  <c:v>44916</c:v>
                </c:pt>
                <c:pt idx="1186">
                  <c:v>44917</c:v>
                </c:pt>
                <c:pt idx="1187">
                  <c:v>44918</c:v>
                </c:pt>
                <c:pt idx="1188">
                  <c:v>44922</c:v>
                </c:pt>
                <c:pt idx="1189">
                  <c:v>44923</c:v>
                </c:pt>
                <c:pt idx="1190">
                  <c:v>44924</c:v>
                </c:pt>
                <c:pt idx="1191">
                  <c:v>44925</c:v>
                </c:pt>
                <c:pt idx="1192">
                  <c:v>44928</c:v>
                </c:pt>
                <c:pt idx="1193">
                  <c:v>44929</c:v>
                </c:pt>
                <c:pt idx="1194">
                  <c:v>44930</c:v>
                </c:pt>
                <c:pt idx="1195">
                  <c:v>44931</c:v>
                </c:pt>
                <c:pt idx="1196">
                  <c:v>44935</c:v>
                </c:pt>
                <c:pt idx="1197">
                  <c:v>44936</c:v>
                </c:pt>
                <c:pt idx="1198">
                  <c:v>44937</c:v>
                </c:pt>
                <c:pt idx="1199">
                  <c:v>44938</c:v>
                </c:pt>
                <c:pt idx="1200">
                  <c:v>44939</c:v>
                </c:pt>
                <c:pt idx="1201">
                  <c:v>44942</c:v>
                </c:pt>
                <c:pt idx="1202">
                  <c:v>44943</c:v>
                </c:pt>
                <c:pt idx="1203">
                  <c:v>44944</c:v>
                </c:pt>
                <c:pt idx="1204">
                  <c:v>44945</c:v>
                </c:pt>
                <c:pt idx="1205">
                  <c:v>44946</c:v>
                </c:pt>
                <c:pt idx="1206">
                  <c:v>44949</c:v>
                </c:pt>
                <c:pt idx="1207">
                  <c:v>44950</c:v>
                </c:pt>
                <c:pt idx="1208">
                  <c:v>44951</c:v>
                </c:pt>
                <c:pt idx="1209">
                  <c:v>44952</c:v>
                </c:pt>
                <c:pt idx="1210">
                  <c:v>44953</c:v>
                </c:pt>
                <c:pt idx="1211">
                  <c:v>44956</c:v>
                </c:pt>
                <c:pt idx="1212">
                  <c:v>44957</c:v>
                </c:pt>
                <c:pt idx="1213">
                  <c:v>44958</c:v>
                </c:pt>
                <c:pt idx="1214">
                  <c:v>44959</c:v>
                </c:pt>
                <c:pt idx="1215">
                  <c:v>44960</c:v>
                </c:pt>
                <c:pt idx="1216">
                  <c:v>44963</c:v>
                </c:pt>
                <c:pt idx="1217">
                  <c:v>44964</c:v>
                </c:pt>
                <c:pt idx="1218">
                  <c:v>44965</c:v>
                </c:pt>
                <c:pt idx="1219">
                  <c:v>44966</c:v>
                </c:pt>
                <c:pt idx="1220">
                  <c:v>44967</c:v>
                </c:pt>
                <c:pt idx="1221">
                  <c:v>44970</c:v>
                </c:pt>
                <c:pt idx="1222">
                  <c:v>44971</c:v>
                </c:pt>
                <c:pt idx="1223">
                  <c:v>44972</c:v>
                </c:pt>
                <c:pt idx="1224">
                  <c:v>44973</c:v>
                </c:pt>
                <c:pt idx="1225">
                  <c:v>44974</c:v>
                </c:pt>
                <c:pt idx="1226">
                  <c:v>44977</c:v>
                </c:pt>
                <c:pt idx="1227">
                  <c:v>44978</c:v>
                </c:pt>
                <c:pt idx="1228">
                  <c:v>44979</c:v>
                </c:pt>
                <c:pt idx="1229">
                  <c:v>44980</c:v>
                </c:pt>
                <c:pt idx="1230">
                  <c:v>44981</c:v>
                </c:pt>
                <c:pt idx="1231">
                  <c:v>44984</c:v>
                </c:pt>
                <c:pt idx="1232">
                  <c:v>44985</c:v>
                </c:pt>
              </c:numCache>
            </c:numRef>
          </c:cat>
          <c:val>
            <c:numRef>
              <c:f>'Vestas Stock Price Movement'!$N$2:$N$1234</c:f>
              <c:numCache>
                <c:formatCode>General</c:formatCode>
                <c:ptCount val="1233"/>
                <c:pt idx="0">
                  <c:v>100</c:v>
                </c:pt>
                <c:pt idx="1">
                  <c:v>98.418520467497899</c:v>
                </c:pt>
                <c:pt idx="2">
                  <c:v>98.815863835421155</c:v>
                </c:pt>
                <c:pt idx="3">
                  <c:v>99.031727482297697</c:v>
                </c:pt>
                <c:pt idx="4">
                  <c:v>99.410572246847394</c:v>
                </c:pt>
                <c:pt idx="5">
                  <c:v>100.40175293255783</c:v>
                </c:pt>
                <c:pt idx="6">
                  <c:v>100.34537527999422</c:v>
                </c:pt>
                <c:pt idx="7">
                  <c:v>100.51013109567201</c:v>
                </c:pt>
                <c:pt idx="8">
                  <c:v>99.840524842595883</c:v>
                </c:pt>
                <c:pt idx="9">
                  <c:v>99.463443851037042</c:v>
                </c:pt>
                <c:pt idx="10">
                  <c:v>99.852860857147846</c:v>
                </c:pt>
                <c:pt idx="11">
                  <c:v>99.479296750871811</c:v>
                </c:pt>
                <c:pt idx="12">
                  <c:v>99.009701244837458</c:v>
                </c:pt>
                <c:pt idx="13">
                  <c:v>99.074016096122349</c:v>
                </c:pt>
                <c:pt idx="14">
                  <c:v>99.074898026670255</c:v>
                </c:pt>
                <c:pt idx="15">
                  <c:v>97.73129754159612</c:v>
                </c:pt>
                <c:pt idx="16">
                  <c:v>97.795612392881011</c:v>
                </c:pt>
                <c:pt idx="17">
                  <c:v>97.352441940137609</c:v>
                </c:pt>
                <c:pt idx="18">
                  <c:v>97.637901096572719</c:v>
                </c:pt>
                <c:pt idx="19">
                  <c:v>98.221155423994915</c:v>
                </c:pt>
                <c:pt idx="20">
                  <c:v>97.835255303166903</c:v>
                </c:pt>
                <c:pt idx="21">
                  <c:v>96.21325092983102</c:v>
                </c:pt>
                <c:pt idx="22">
                  <c:v>97.800021957515611</c:v>
                </c:pt>
                <c:pt idx="23">
                  <c:v>97.759486367877955</c:v>
                </c:pt>
                <c:pt idx="24">
                  <c:v>98.038782935491483</c:v>
                </c:pt>
                <c:pt idx="25">
                  <c:v>98.381512511946923</c:v>
                </c:pt>
                <c:pt idx="26">
                  <c:v>97.169187521086272</c:v>
                </c:pt>
                <c:pt idx="27">
                  <c:v>97.370069361767136</c:v>
                </c:pt>
                <c:pt idx="28">
                  <c:v>97.175350109907853</c:v>
                </c:pt>
                <c:pt idx="29">
                  <c:v>96.896946221646104</c:v>
                </c:pt>
                <c:pt idx="30">
                  <c:v>97.952441846746353</c:v>
                </c:pt>
                <c:pt idx="31">
                  <c:v>98.238782933729368</c:v>
                </c:pt>
                <c:pt idx="32">
                  <c:v>97.9665416342892</c:v>
                </c:pt>
                <c:pt idx="33">
                  <c:v>97.85111895180556</c:v>
                </c:pt>
                <c:pt idx="34">
                  <c:v>98.2255649886295</c:v>
                </c:pt>
                <c:pt idx="35">
                  <c:v>98.201774978178406</c:v>
                </c:pt>
                <c:pt idx="36">
                  <c:v>97.074038051875874</c:v>
                </c:pt>
                <c:pt idx="37">
                  <c:v>98.182394444256943</c:v>
                </c:pt>
                <c:pt idx="38">
                  <c:v>98.062573034047531</c:v>
                </c:pt>
                <c:pt idx="39">
                  <c:v>99.896913332068351</c:v>
                </c:pt>
                <c:pt idx="40">
                  <c:v>99.772693106028228</c:v>
                </c:pt>
                <c:pt idx="41">
                  <c:v>99.626435893723993</c:v>
                </c:pt>
                <c:pt idx="42">
                  <c:v>101.12861876874551</c:v>
                </c:pt>
                <c:pt idx="43">
                  <c:v>101.98059751032505</c:v>
                </c:pt>
                <c:pt idx="44">
                  <c:v>101.95857127286483</c:v>
                </c:pt>
                <c:pt idx="45">
                  <c:v>102.35504354714899</c:v>
                </c:pt>
                <c:pt idx="46">
                  <c:v>100.810561221394</c:v>
                </c:pt>
                <c:pt idx="47">
                  <c:v>100.76915445001231</c:v>
                </c:pt>
                <c:pt idx="48">
                  <c:v>100.70572152927532</c:v>
                </c:pt>
                <c:pt idx="49">
                  <c:v>100.39911797782295</c:v>
                </c:pt>
                <c:pt idx="50">
                  <c:v>100.79029875692464</c:v>
                </c:pt>
                <c:pt idx="51">
                  <c:v>100.67312305025401</c:v>
                </c:pt>
                <c:pt idx="52">
                  <c:v>99.531275587604767</c:v>
                </c:pt>
                <c:pt idx="53">
                  <c:v>99.935685060610211</c:v>
                </c:pt>
                <c:pt idx="54">
                  <c:v>98.604420590088054</c:v>
                </c:pt>
                <c:pt idx="55">
                  <c:v>97.540105923823575</c:v>
                </c:pt>
                <c:pt idx="56">
                  <c:v>97.734825175682843</c:v>
                </c:pt>
                <c:pt idx="57">
                  <c:v>98.11278809778959</c:v>
                </c:pt>
                <c:pt idx="58">
                  <c:v>99.557711389699591</c:v>
                </c:pt>
                <c:pt idx="59">
                  <c:v>99.812336016314106</c:v>
                </c:pt>
                <c:pt idx="60">
                  <c:v>99.121596205129535</c:v>
                </c:pt>
                <c:pt idx="61">
                  <c:v>98.510142302621659</c:v>
                </c:pt>
                <c:pt idx="62">
                  <c:v>97.983276376566963</c:v>
                </c:pt>
                <c:pt idx="63">
                  <c:v>98.626446827548278</c:v>
                </c:pt>
                <c:pt idx="64">
                  <c:v>98.785911148043567</c:v>
                </c:pt>
                <c:pt idx="65">
                  <c:v>99.138330947407283</c:v>
                </c:pt>
                <c:pt idx="66">
                  <c:v>99.925112907154045</c:v>
                </c:pt>
                <c:pt idx="67">
                  <c:v>99.968283451526602</c:v>
                </c:pt>
                <c:pt idx="68">
                  <c:v>98.692525539928965</c:v>
                </c:pt>
                <c:pt idx="69">
                  <c:v>97.896053357273942</c:v>
                </c:pt>
                <c:pt idx="70">
                  <c:v>98.839653933977232</c:v>
                </c:pt>
                <c:pt idx="71">
                  <c:v>98.601774886549265</c:v>
                </c:pt>
                <c:pt idx="72">
                  <c:v>99.06256201211832</c:v>
                </c:pt>
                <c:pt idx="73">
                  <c:v>98.209701339990858</c:v>
                </c:pt>
                <c:pt idx="74">
                  <c:v>96.793859553714441</c:v>
                </c:pt>
                <c:pt idx="75">
                  <c:v>97.031738601142422</c:v>
                </c:pt>
                <c:pt idx="76">
                  <c:v>95.791224783999965</c:v>
                </c:pt>
                <c:pt idx="77">
                  <c:v>96.672274282409234</c:v>
                </c:pt>
                <c:pt idx="78">
                  <c:v>96.027350807240936</c:v>
                </c:pt>
                <c:pt idx="79">
                  <c:v>96.825576014082955</c:v>
                </c:pt>
                <c:pt idx="80">
                  <c:v>96.884610207094155</c:v>
                </c:pt>
                <c:pt idx="81">
                  <c:v>96.386815125974124</c:v>
                </c:pt>
                <c:pt idx="82">
                  <c:v>96.915444825019691</c:v>
                </c:pt>
                <c:pt idx="83">
                  <c:v>97.735707106230748</c:v>
                </c:pt>
                <c:pt idx="84">
                  <c:v>98.755958548770906</c:v>
                </c:pt>
                <c:pt idx="85">
                  <c:v>98.215874765721281</c:v>
                </c:pt>
                <c:pt idx="86">
                  <c:v>99.426435895486136</c:v>
                </c:pt>
                <c:pt idx="87">
                  <c:v>99.540976647421886</c:v>
                </c:pt>
                <c:pt idx="88">
                  <c:v>99.340094806741021</c:v>
                </c:pt>
                <c:pt idx="89">
                  <c:v>100.32598399726896</c:v>
                </c:pt>
                <c:pt idx="90">
                  <c:v>99.761239022024199</c:v>
                </c:pt>
                <c:pt idx="91">
                  <c:v>100.15682936576047</c:v>
                </c:pt>
                <c:pt idx="92">
                  <c:v>101.01320692317074</c:v>
                </c:pt>
                <c:pt idx="93">
                  <c:v>100.76034615765202</c:v>
                </c:pt>
                <c:pt idx="94">
                  <c:v>101.60526954295327</c:v>
                </c:pt>
                <c:pt idx="95">
                  <c:v>101.8863299716626</c:v>
                </c:pt>
                <c:pt idx="96">
                  <c:v>103.11715356589681</c:v>
                </c:pt>
                <c:pt idx="97">
                  <c:v>103.03081238904676</c:v>
                </c:pt>
                <c:pt idx="98">
                  <c:v>102.60437667858109</c:v>
                </c:pt>
                <c:pt idx="99">
                  <c:v>101.94007266949133</c:v>
                </c:pt>
                <c:pt idx="100">
                  <c:v>102.2440304293</c:v>
                </c:pt>
                <c:pt idx="101">
                  <c:v>101.95680749987402</c:v>
                </c:pt>
                <c:pt idx="102">
                  <c:v>102.13037160791215</c:v>
                </c:pt>
                <c:pt idx="103">
                  <c:v>101.64404135960007</c:v>
                </c:pt>
                <c:pt idx="104">
                  <c:v>101.1902987534005</c:v>
                </c:pt>
                <c:pt idx="105">
                  <c:v>99.673134072183288</c:v>
                </c:pt>
                <c:pt idx="106">
                  <c:v>100.47047743658233</c:v>
                </c:pt>
                <c:pt idx="107">
                  <c:v>99.975327970896132</c:v>
                </c:pt>
                <c:pt idx="108">
                  <c:v>100.63083443642941</c:v>
                </c:pt>
                <c:pt idx="109">
                  <c:v>100.69603121826221</c:v>
                </c:pt>
                <c:pt idx="110">
                  <c:v>99.485470088497365</c:v>
                </c:pt>
                <c:pt idx="111">
                  <c:v>100.47047743658234</c:v>
                </c:pt>
                <c:pt idx="112">
                  <c:v>100.4431704527435</c:v>
                </c:pt>
                <c:pt idx="113">
                  <c:v>101.16739058539238</c:v>
                </c:pt>
                <c:pt idx="114">
                  <c:v>101.54448232575511</c:v>
                </c:pt>
                <c:pt idx="115">
                  <c:v>102.12420901909063</c:v>
                </c:pt>
                <c:pt idx="116">
                  <c:v>101.89513835212796</c:v>
                </c:pt>
                <c:pt idx="117">
                  <c:v>102.50922720937074</c:v>
                </c:pt>
                <c:pt idx="118">
                  <c:v>103.49952596453326</c:v>
                </c:pt>
                <c:pt idx="119">
                  <c:v>103.66869134484563</c:v>
                </c:pt>
                <c:pt idx="120">
                  <c:v>103.6237570274822</c:v>
                </c:pt>
                <c:pt idx="121">
                  <c:v>103.78763091261209</c:v>
                </c:pt>
                <c:pt idx="122">
                  <c:v>103.21847637273274</c:v>
                </c:pt>
                <c:pt idx="123">
                  <c:v>102.87751065737309</c:v>
                </c:pt>
                <c:pt idx="124">
                  <c:v>101.71892845244609</c:v>
                </c:pt>
                <c:pt idx="125">
                  <c:v>100.15859322685631</c:v>
                </c:pt>
                <c:pt idx="126">
                  <c:v>100.28545915643521</c:v>
                </c:pt>
                <c:pt idx="127">
                  <c:v>100.15241980112592</c:v>
                </c:pt>
                <c:pt idx="128">
                  <c:v>100.03787904919017</c:v>
                </c:pt>
                <c:pt idx="129">
                  <c:v>99.363002886644253</c:v>
                </c:pt>
                <c:pt idx="130">
                  <c:v>99.753301823302962</c:v>
                </c:pt>
                <c:pt idx="131">
                  <c:v>99.491632677318961</c:v>
                </c:pt>
                <c:pt idx="132">
                  <c:v>99.009701244837586</c:v>
                </c:pt>
                <c:pt idx="133">
                  <c:v>98.303979715562264</c:v>
                </c:pt>
                <c:pt idx="134">
                  <c:v>98.712787916293465</c:v>
                </c:pt>
                <c:pt idx="135">
                  <c:v>98.259927240641801</c:v>
                </c:pt>
                <c:pt idx="136">
                  <c:v>99.064325873214202</c:v>
                </c:pt>
                <c:pt idx="137">
                  <c:v>99.311895143550416</c:v>
                </c:pt>
                <c:pt idx="138">
                  <c:v>98.496042426973929</c:v>
                </c:pt>
                <c:pt idx="139">
                  <c:v>99.36388481719213</c:v>
                </c:pt>
                <c:pt idx="140">
                  <c:v>99.233491253526552</c:v>
                </c:pt>
                <c:pt idx="141">
                  <c:v>98.746268237757732</c:v>
                </c:pt>
                <c:pt idx="142">
                  <c:v>98.682835317020746</c:v>
                </c:pt>
                <c:pt idx="143">
                  <c:v>98.851989860424311</c:v>
                </c:pt>
                <c:pt idx="144">
                  <c:v>98.704861554480985</c:v>
                </c:pt>
                <c:pt idx="145">
                  <c:v>98.385040146033674</c:v>
                </c:pt>
                <c:pt idx="146">
                  <c:v>94.712821078996555</c:v>
                </c:pt>
                <c:pt idx="147">
                  <c:v>94.169209661860251</c:v>
                </c:pt>
                <c:pt idx="148">
                  <c:v>92.106680539319726</c:v>
                </c:pt>
                <c:pt idx="149">
                  <c:v>91.831793536340783</c:v>
                </c:pt>
                <c:pt idx="150">
                  <c:v>89.767489803900574</c:v>
                </c:pt>
                <c:pt idx="151">
                  <c:v>89.293484733231637</c:v>
                </c:pt>
                <c:pt idx="152">
                  <c:v>90.439731011711601</c:v>
                </c:pt>
                <c:pt idx="153">
                  <c:v>90.148985734495938</c:v>
                </c:pt>
                <c:pt idx="154">
                  <c:v>92.278480874367006</c:v>
                </c:pt>
                <c:pt idx="155">
                  <c:v>92.163940122431271</c:v>
                </c:pt>
                <c:pt idx="156">
                  <c:v>92.984202403642328</c:v>
                </c:pt>
                <c:pt idx="157">
                  <c:v>92.128706776779964</c:v>
                </c:pt>
                <c:pt idx="158">
                  <c:v>91.748087402330569</c:v>
                </c:pt>
                <c:pt idx="159">
                  <c:v>89.003621386563893</c:v>
                </c:pt>
                <c:pt idx="160">
                  <c:v>89.09965278632221</c:v>
                </c:pt>
                <c:pt idx="161">
                  <c:v>87.92521768156044</c:v>
                </c:pt>
                <c:pt idx="162">
                  <c:v>87.430068303979169</c:v>
                </c:pt>
                <c:pt idx="163">
                  <c:v>89.502293023829893</c:v>
                </c:pt>
                <c:pt idx="164">
                  <c:v>89.058246014940522</c:v>
                </c:pt>
                <c:pt idx="165">
                  <c:v>90.290838844672479</c:v>
                </c:pt>
                <c:pt idx="166">
                  <c:v>91.575405136735412</c:v>
                </c:pt>
                <c:pt idx="167">
                  <c:v>92.212402161986333</c:v>
                </c:pt>
                <c:pt idx="168">
                  <c:v>91.082019532145026</c:v>
                </c:pt>
                <c:pt idx="169">
                  <c:v>91.618575681107984</c:v>
                </c:pt>
                <c:pt idx="170">
                  <c:v>93.072307353483282</c:v>
                </c:pt>
                <c:pt idx="171">
                  <c:v>93.835299214673995</c:v>
                </c:pt>
                <c:pt idx="172">
                  <c:v>93.783309541032267</c:v>
                </c:pt>
                <c:pt idx="173">
                  <c:v>93.154249714502612</c:v>
                </c:pt>
                <c:pt idx="174">
                  <c:v>92.320769576296613</c:v>
                </c:pt>
                <c:pt idx="175">
                  <c:v>92.382449472846602</c:v>
                </c:pt>
                <c:pt idx="176">
                  <c:v>90.640612852392479</c:v>
                </c:pt>
                <c:pt idx="177">
                  <c:v>90.977169091222478</c:v>
                </c:pt>
                <c:pt idx="178">
                  <c:v>90.637085218305799</c:v>
                </c:pt>
                <c:pt idx="179">
                  <c:v>89.200975593158091</c:v>
                </c:pt>
                <c:pt idx="180">
                  <c:v>89.577185491077842</c:v>
                </c:pt>
                <c:pt idx="181">
                  <c:v>89.606256247907552</c:v>
                </c:pt>
                <c:pt idx="182">
                  <c:v>90.939289953927457</c:v>
                </c:pt>
                <c:pt idx="183">
                  <c:v>92.650281207652171</c:v>
                </c:pt>
                <c:pt idx="184">
                  <c:v>92.078480964234046</c:v>
                </c:pt>
                <c:pt idx="185">
                  <c:v>91.920780416729627</c:v>
                </c:pt>
                <c:pt idx="186">
                  <c:v>92.039719896391148</c:v>
                </c:pt>
                <c:pt idx="187">
                  <c:v>91.676727943571279</c:v>
                </c:pt>
                <c:pt idx="188">
                  <c:v>91.999184306753506</c:v>
                </c:pt>
                <c:pt idx="189">
                  <c:v>92.187730220987333</c:v>
                </c:pt>
                <c:pt idx="190">
                  <c:v>92.153367968975132</c:v>
                </c:pt>
                <c:pt idx="191">
                  <c:v>90.294355729955313</c:v>
                </c:pt>
                <c:pt idx="192">
                  <c:v>91.532234504257929</c:v>
                </c:pt>
                <c:pt idx="193">
                  <c:v>90.374534229878847</c:v>
                </c:pt>
                <c:pt idx="194">
                  <c:v>91.350733197498542</c:v>
                </c:pt>
                <c:pt idx="195">
                  <c:v>91.758659555786778</c:v>
                </c:pt>
                <c:pt idx="196">
                  <c:v>92.54632335797649</c:v>
                </c:pt>
                <c:pt idx="197">
                  <c:v>92.324297210383307</c:v>
                </c:pt>
                <c:pt idx="198">
                  <c:v>91.446775346060718</c:v>
                </c:pt>
                <c:pt idx="199">
                  <c:v>90.790386949979535</c:v>
                </c:pt>
                <c:pt idx="200">
                  <c:v>90.167484337869539</c:v>
                </c:pt>
                <c:pt idx="201">
                  <c:v>88.590408995600086</c:v>
                </c:pt>
                <c:pt idx="202">
                  <c:v>87.922571978021708</c:v>
                </c:pt>
                <c:pt idx="203">
                  <c:v>86.408929556489241</c:v>
                </c:pt>
                <c:pt idx="204">
                  <c:v>87.657375197951026</c:v>
                </c:pt>
                <c:pt idx="205">
                  <c:v>88.524330283219385</c:v>
                </c:pt>
                <c:pt idx="206">
                  <c:v>87.697023482638826</c:v>
                </c:pt>
                <c:pt idx="207">
                  <c:v>89.882025181434415</c:v>
                </c:pt>
                <c:pt idx="208">
                  <c:v>90.55602478783436</c:v>
                </c:pt>
                <c:pt idx="209">
                  <c:v>91.400077079496526</c:v>
                </c:pt>
                <c:pt idx="210">
                  <c:v>91.985095268014533</c:v>
                </c:pt>
                <c:pt idx="211">
                  <c:v>91.439720077887344</c:v>
                </c:pt>
                <c:pt idx="212">
                  <c:v>91.422103316956765</c:v>
                </c:pt>
                <c:pt idx="213">
                  <c:v>89.974534321507988</c:v>
                </c:pt>
                <c:pt idx="214">
                  <c:v>90.244140578108315</c:v>
                </c:pt>
                <c:pt idx="215">
                  <c:v>90.998313398134812</c:v>
                </c:pt>
                <c:pt idx="216">
                  <c:v>91.293462777478183</c:v>
                </c:pt>
                <c:pt idx="217">
                  <c:v>92.007121505474757</c:v>
                </c:pt>
                <c:pt idx="218">
                  <c:v>92.373630343577432</c:v>
                </c:pt>
                <c:pt idx="219">
                  <c:v>92.037956123400278</c:v>
                </c:pt>
                <c:pt idx="220">
                  <c:v>91.887300095265331</c:v>
                </c:pt>
                <c:pt idx="221">
                  <c:v>91.671436448388775</c:v>
                </c:pt>
                <c:pt idx="222">
                  <c:v>91.218575772737111</c:v>
                </c:pt>
                <c:pt idx="223">
                  <c:v>90.882901464455017</c:v>
                </c:pt>
                <c:pt idx="224">
                  <c:v>91.595667513099826</c:v>
                </c:pt>
                <c:pt idx="225">
                  <c:v>91.831793536340797</c:v>
                </c:pt>
                <c:pt idx="226">
                  <c:v>91.24324771373611</c:v>
                </c:pt>
                <c:pt idx="227">
                  <c:v>92.942795632260641</c:v>
                </c:pt>
                <c:pt idx="228">
                  <c:v>92.501388952508108</c:v>
                </c:pt>
                <c:pt idx="229">
                  <c:v>94.575372159052691</c:v>
                </c:pt>
                <c:pt idx="230">
                  <c:v>94.105776653018339</c:v>
                </c:pt>
                <c:pt idx="231">
                  <c:v>93.540138998421796</c:v>
                </c:pt>
                <c:pt idx="232">
                  <c:v>92.681115737472751</c:v>
                </c:pt>
                <c:pt idx="233">
                  <c:v>93.725168027372817</c:v>
                </c:pt>
                <c:pt idx="234">
                  <c:v>94.808852478754872</c:v>
                </c:pt>
                <c:pt idx="235">
                  <c:v>94.815025816380313</c:v>
                </c:pt>
                <c:pt idx="236">
                  <c:v>95.471403375552683</c:v>
                </c:pt>
                <c:pt idx="237">
                  <c:v>96.00091500514614</c:v>
                </c:pt>
                <c:pt idx="238">
                  <c:v>96.230867602656716</c:v>
                </c:pt>
                <c:pt idx="239">
                  <c:v>95.453786702727029</c:v>
                </c:pt>
                <c:pt idx="240">
                  <c:v>96.252893840116954</c:v>
                </c:pt>
                <c:pt idx="241">
                  <c:v>95.768316615991864</c:v>
                </c:pt>
                <c:pt idx="242">
                  <c:v>96.180652538914686</c:v>
                </c:pt>
                <c:pt idx="243">
                  <c:v>96.656421470679433</c:v>
                </c:pt>
                <c:pt idx="244">
                  <c:v>97.043192685146522</c:v>
                </c:pt>
                <c:pt idx="245">
                  <c:v>96.86434783072977</c:v>
                </c:pt>
                <c:pt idx="246">
                  <c:v>96.964788795122672</c:v>
                </c:pt>
                <c:pt idx="247">
                  <c:v>97.336589040302897</c:v>
                </c:pt>
                <c:pt idx="248">
                  <c:v>97.897817130264855</c:v>
                </c:pt>
                <c:pt idx="249">
                  <c:v>98.141869603423217</c:v>
                </c:pt>
                <c:pt idx="250">
                  <c:v>97.638783027120695</c:v>
                </c:pt>
                <c:pt idx="251">
                  <c:v>97.431738509513309</c:v>
                </c:pt>
                <c:pt idx="252">
                  <c:v>97.044074615694427</c:v>
                </c:pt>
                <c:pt idx="253">
                  <c:v>97.261702035561839</c:v>
                </c:pt>
                <c:pt idx="254">
                  <c:v>97.975349926649614</c:v>
                </c:pt>
                <c:pt idx="255">
                  <c:v>98.548032100615643</c:v>
                </c:pt>
                <c:pt idx="256">
                  <c:v>99.238771911800228</c:v>
                </c:pt>
                <c:pt idx="257">
                  <c:v>99.637889889623182</c:v>
                </c:pt>
                <c:pt idx="258">
                  <c:v>99.898677105059278</c:v>
                </c:pt>
                <c:pt idx="259">
                  <c:v>100.34977400772007</c:v>
                </c:pt>
                <c:pt idx="260">
                  <c:v>100.04846203955513</c:v>
                </c:pt>
                <c:pt idx="261">
                  <c:v>99.940965806988885</c:v>
                </c:pt>
                <c:pt idx="262">
                  <c:v>98.572704129719611</c:v>
                </c:pt>
                <c:pt idx="263">
                  <c:v>98.004420683479367</c:v>
                </c:pt>
                <c:pt idx="264">
                  <c:v>98.85551758261596</c:v>
                </c:pt>
                <c:pt idx="265">
                  <c:v>98.501333922156434</c:v>
                </c:pt>
                <c:pt idx="266">
                  <c:v>98.614992743544278</c:v>
                </c:pt>
                <c:pt idx="267">
                  <c:v>98.930404587357017</c:v>
                </c:pt>
                <c:pt idx="268">
                  <c:v>100.37797367091075</c:v>
                </c:pt>
                <c:pt idx="269">
                  <c:v>101.05637746754336</c:v>
                </c:pt>
                <c:pt idx="270">
                  <c:v>101.05108597236087</c:v>
                </c:pt>
                <c:pt idx="271">
                  <c:v>100.23524409269319</c:v>
                </c:pt>
                <c:pt idx="272">
                  <c:v>100.785900029199</c:v>
                </c:pt>
                <c:pt idx="273">
                  <c:v>100.76474488537787</c:v>
                </c:pt>
                <c:pt idx="274">
                  <c:v>100.41145399237507</c:v>
                </c:pt>
                <c:pt idx="275">
                  <c:v>100.51101302622006</c:v>
                </c:pt>
                <c:pt idx="276">
                  <c:v>100.47665077420784</c:v>
                </c:pt>
                <c:pt idx="277">
                  <c:v>100.79998906793797</c:v>
                </c:pt>
                <c:pt idx="278">
                  <c:v>101.24932210950296</c:v>
                </c:pt>
                <c:pt idx="279">
                  <c:v>101.30042994070172</c:v>
                </c:pt>
                <c:pt idx="280">
                  <c:v>100.57268217396616</c:v>
                </c:pt>
                <c:pt idx="281">
                  <c:v>100.76915445001244</c:v>
                </c:pt>
                <c:pt idx="282">
                  <c:v>100.71452982163581</c:v>
                </c:pt>
                <c:pt idx="283">
                  <c:v>100.38854582436691</c:v>
                </c:pt>
                <c:pt idx="284">
                  <c:v>101.84579438202502</c:v>
                </c:pt>
                <c:pt idx="285">
                  <c:v>101.95416170823036</c:v>
                </c:pt>
                <c:pt idx="286">
                  <c:v>101.2933745844234</c:v>
                </c:pt>
                <c:pt idx="287">
                  <c:v>100.58853498569599</c:v>
                </c:pt>
                <c:pt idx="288">
                  <c:v>100.31982140844744</c:v>
                </c:pt>
                <c:pt idx="289">
                  <c:v>99.563884815430072</c:v>
                </c:pt>
                <c:pt idx="290">
                  <c:v>99.889868812698964</c:v>
                </c:pt>
                <c:pt idx="291">
                  <c:v>100.34801023472924</c:v>
                </c:pt>
                <c:pt idx="292">
                  <c:v>99.200010932062284</c:v>
                </c:pt>
                <c:pt idx="293">
                  <c:v>99.127758793951202</c:v>
                </c:pt>
                <c:pt idx="294">
                  <c:v>97.08108257124546</c:v>
                </c:pt>
                <c:pt idx="295">
                  <c:v>97.696935289584047</c:v>
                </c:pt>
                <c:pt idx="296">
                  <c:v>97.260820105013991</c:v>
                </c:pt>
                <c:pt idx="297">
                  <c:v>98.495171333334866</c:v>
                </c:pt>
                <c:pt idx="298">
                  <c:v>97.689008839666641</c:v>
                </c:pt>
                <c:pt idx="299">
                  <c:v>98.726005861393332</c:v>
                </c:pt>
                <c:pt idx="300">
                  <c:v>99.766519680297904</c:v>
                </c:pt>
                <c:pt idx="301">
                  <c:v>98.555958550533063</c:v>
                </c:pt>
                <c:pt idx="302">
                  <c:v>98.9392129678223</c:v>
                </c:pt>
                <c:pt idx="303">
                  <c:v>98.217638538712208</c:v>
                </c:pt>
                <c:pt idx="304">
                  <c:v>99.355947618470893</c:v>
                </c:pt>
                <c:pt idx="305">
                  <c:v>96.661702128953124</c:v>
                </c:pt>
                <c:pt idx="306">
                  <c:v>96.910153329837243</c:v>
                </c:pt>
                <c:pt idx="307">
                  <c:v>96.434395234981309</c:v>
                </c:pt>
                <c:pt idx="308">
                  <c:v>98.048473158399801</c:v>
                </c:pt>
                <c:pt idx="309">
                  <c:v>99.513658914779157</c:v>
                </c:pt>
                <c:pt idx="310">
                  <c:v>100.26078721543617</c:v>
                </c:pt>
                <c:pt idx="311">
                  <c:v>99.895149470972584</c:v>
                </c:pt>
                <c:pt idx="312">
                  <c:v>99.200882025701333</c:v>
                </c:pt>
                <c:pt idx="313">
                  <c:v>100.32158518143824</c:v>
                </c:pt>
                <c:pt idx="314">
                  <c:v>100.63258746061639</c:v>
                </c:pt>
                <c:pt idx="315">
                  <c:v>100.55241970949673</c:v>
                </c:pt>
                <c:pt idx="316">
                  <c:v>99.493396538414729</c:v>
                </c:pt>
                <c:pt idx="317">
                  <c:v>99.645816339540531</c:v>
                </c:pt>
                <c:pt idx="318">
                  <c:v>99.118068571042869</c:v>
                </c:pt>
                <c:pt idx="319">
                  <c:v>98.14979605334058</c:v>
                </c:pt>
                <c:pt idx="320">
                  <c:v>98.92159629499659</c:v>
                </c:pt>
                <c:pt idx="321">
                  <c:v>100.56475572404868</c:v>
                </c:pt>
                <c:pt idx="322">
                  <c:v>100.86518584977065</c:v>
                </c:pt>
                <c:pt idx="323">
                  <c:v>102.17178912809769</c:v>
                </c:pt>
                <c:pt idx="324">
                  <c:v>101.66958448234307</c:v>
                </c:pt>
                <c:pt idx="325">
                  <c:v>100.53567421841508</c:v>
                </c:pt>
                <c:pt idx="326">
                  <c:v>100.55330164004461</c:v>
                </c:pt>
                <c:pt idx="327">
                  <c:v>100.01498171809079</c:v>
                </c:pt>
                <c:pt idx="328">
                  <c:v>100.32510206672104</c:v>
                </c:pt>
                <c:pt idx="329">
                  <c:v>100.01145408400411</c:v>
                </c:pt>
                <c:pt idx="330">
                  <c:v>99.032609324740719</c:v>
                </c:pt>
                <c:pt idx="331">
                  <c:v>99.567401700712807</c:v>
                </c:pt>
                <c:pt idx="332">
                  <c:v>99.971800336809437</c:v>
                </c:pt>
                <c:pt idx="333">
                  <c:v>99.772693106028257</c:v>
                </c:pt>
                <c:pt idx="334">
                  <c:v>99.674887096370256</c:v>
                </c:pt>
                <c:pt idx="335">
                  <c:v>99.418509445568731</c:v>
                </c:pt>
                <c:pt idx="336">
                  <c:v>99.422026330851551</c:v>
                </c:pt>
                <c:pt idx="337">
                  <c:v>99.859916125321277</c:v>
                </c:pt>
                <c:pt idx="338">
                  <c:v>100.39647227428424</c:v>
                </c:pt>
                <c:pt idx="339">
                  <c:v>100.54184755604058</c:v>
                </c:pt>
                <c:pt idx="340">
                  <c:v>100.31541184381281</c:v>
                </c:pt>
                <c:pt idx="341">
                  <c:v>100.3823724867414</c:v>
                </c:pt>
                <c:pt idx="342">
                  <c:v>98.590320802545236</c:v>
                </c:pt>
                <c:pt idx="343">
                  <c:v>99.062562012118349</c:v>
                </c:pt>
                <c:pt idx="344">
                  <c:v>100.3004408745259</c:v>
                </c:pt>
                <c:pt idx="345">
                  <c:v>98.548032100615629</c:v>
                </c:pt>
                <c:pt idx="346">
                  <c:v>96.80972320235314</c:v>
                </c:pt>
                <c:pt idx="347">
                  <c:v>97.325134956298811</c:v>
                </c:pt>
                <c:pt idx="348">
                  <c:v>98.831727484059869</c:v>
                </c:pt>
                <c:pt idx="349">
                  <c:v>98.146268419253914</c:v>
                </c:pt>
                <c:pt idx="350">
                  <c:v>97.294300426478245</c:v>
                </c:pt>
                <c:pt idx="351">
                  <c:v>98.127769815880384</c:v>
                </c:pt>
                <c:pt idx="352">
                  <c:v>96.800904073083984</c:v>
                </c:pt>
                <c:pt idx="353">
                  <c:v>96.821177286357226</c:v>
                </c:pt>
                <c:pt idx="354">
                  <c:v>98.703097693385175</c:v>
                </c:pt>
                <c:pt idx="355">
                  <c:v>99.011465017828414</c:v>
                </c:pt>
                <c:pt idx="356">
                  <c:v>99.038772001667255</c:v>
                </c:pt>
                <c:pt idx="357">
                  <c:v>100.65109681279381</c:v>
                </c:pt>
                <c:pt idx="358">
                  <c:v>100.34712830418127</c:v>
                </c:pt>
                <c:pt idx="359">
                  <c:v>100.03348032146435</c:v>
                </c:pt>
                <c:pt idx="360">
                  <c:v>99.06697157675292</c:v>
                </c:pt>
                <c:pt idx="361">
                  <c:v>99.502204830775071</c:v>
                </c:pt>
                <c:pt idx="362">
                  <c:v>98.965648769917067</c:v>
                </c:pt>
                <c:pt idx="363">
                  <c:v>98.929522656809056</c:v>
                </c:pt>
                <c:pt idx="364">
                  <c:v>99.883695386968512</c:v>
                </c:pt>
                <c:pt idx="365">
                  <c:v>100.59029884679174</c:v>
                </c:pt>
                <c:pt idx="366">
                  <c:v>100.84845110749293</c:v>
                </c:pt>
                <c:pt idx="367">
                  <c:v>101.45284974182744</c:v>
                </c:pt>
                <c:pt idx="368">
                  <c:v>101.8158416946473</c:v>
                </c:pt>
                <c:pt idx="369">
                  <c:v>101.9145187979444</c:v>
                </c:pt>
                <c:pt idx="370">
                  <c:v>101.27752177269349</c:v>
                </c:pt>
                <c:pt idx="371">
                  <c:v>99.742729669846753</c:v>
                </c:pt>
                <c:pt idx="372">
                  <c:v>101.55505447921119</c:v>
                </c:pt>
                <c:pt idx="373">
                  <c:v>101.25196790114656</c:v>
                </c:pt>
                <c:pt idx="374">
                  <c:v>101.13655596746678</c:v>
                </c:pt>
                <c:pt idx="375">
                  <c:v>100.33567422017717</c:v>
                </c:pt>
                <c:pt idx="376">
                  <c:v>100.82907057357143</c:v>
                </c:pt>
                <c:pt idx="377">
                  <c:v>100.7744459451948</c:v>
                </c:pt>
                <c:pt idx="378">
                  <c:v>101.01232499262275</c:v>
                </c:pt>
                <c:pt idx="379">
                  <c:v>101.34801004970872</c:v>
                </c:pt>
                <c:pt idx="380">
                  <c:v>101.21672371858642</c:v>
                </c:pt>
                <c:pt idx="381">
                  <c:v>101.7110020025286</c:v>
                </c:pt>
                <c:pt idx="382">
                  <c:v>100.70219380708372</c:v>
                </c:pt>
                <c:pt idx="383">
                  <c:v>101.34976307389572</c:v>
                </c:pt>
                <c:pt idx="384">
                  <c:v>101.20087090685658</c:v>
                </c:pt>
                <c:pt idx="385">
                  <c:v>100.58501810041307</c:v>
                </c:pt>
                <c:pt idx="386">
                  <c:v>99.452871697580889</c:v>
                </c:pt>
                <c:pt idx="387">
                  <c:v>96.894300518107329</c:v>
                </c:pt>
                <c:pt idx="388">
                  <c:v>97.008841270043064</c:v>
                </c:pt>
                <c:pt idx="389">
                  <c:v>98.068735622869085</c:v>
                </c:pt>
                <c:pt idx="390">
                  <c:v>98.827317919425226</c:v>
                </c:pt>
                <c:pt idx="391">
                  <c:v>98.01146520284874</c:v>
                </c:pt>
                <c:pt idx="392">
                  <c:v>98.149796053340523</c:v>
                </c:pt>
                <c:pt idx="393">
                  <c:v>97.445838385161011</c:v>
                </c:pt>
                <c:pt idx="394">
                  <c:v>98.4458273632318</c:v>
                </c:pt>
                <c:pt idx="395">
                  <c:v>99.385911054652283</c:v>
                </c:pt>
                <c:pt idx="396">
                  <c:v>100.42466110056597</c:v>
                </c:pt>
                <c:pt idx="397">
                  <c:v>99.674016002731094</c:v>
                </c:pt>
                <c:pt idx="398">
                  <c:v>99.748903007472137</c:v>
                </c:pt>
                <c:pt idx="399">
                  <c:v>98.786793078591415</c:v>
                </c:pt>
                <c:pt idx="400">
                  <c:v>99.84669826832625</c:v>
                </c:pt>
                <c:pt idx="401">
                  <c:v>100.55153786705368</c:v>
                </c:pt>
                <c:pt idx="402">
                  <c:v>100.65374260443745</c:v>
                </c:pt>
                <c:pt idx="403">
                  <c:v>100.84315961231036</c:v>
                </c:pt>
                <c:pt idx="404">
                  <c:v>101.22642477840346</c:v>
                </c:pt>
                <c:pt idx="405">
                  <c:v>102.1215633155517</c:v>
                </c:pt>
                <c:pt idx="406">
                  <c:v>101.03876079471755</c:v>
                </c:pt>
                <c:pt idx="407">
                  <c:v>101.83258727383379</c:v>
                </c:pt>
                <c:pt idx="408">
                  <c:v>101.26871339222812</c:v>
                </c:pt>
                <c:pt idx="409">
                  <c:v>103.34446045986851</c:v>
                </c:pt>
                <c:pt idx="410">
                  <c:v>104.01670166767953</c:v>
                </c:pt>
                <c:pt idx="411">
                  <c:v>102.98852377522199</c:v>
                </c:pt>
                <c:pt idx="412">
                  <c:v>102.64667612931446</c:v>
                </c:pt>
                <c:pt idx="413">
                  <c:v>104.29952586937975</c:v>
                </c:pt>
                <c:pt idx="414">
                  <c:v>105.36206592574455</c:v>
                </c:pt>
                <c:pt idx="415">
                  <c:v>105.32065915436286</c:v>
                </c:pt>
                <c:pt idx="416">
                  <c:v>105.71889528974283</c:v>
                </c:pt>
                <c:pt idx="417">
                  <c:v>106.17880057286894</c:v>
                </c:pt>
                <c:pt idx="418">
                  <c:v>105.7708742145807</c:v>
                </c:pt>
                <c:pt idx="419">
                  <c:v>106.53122037223264</c:v>
                </c:pt>
                <c:pt idx="420">
                  <c:v>106.2492780129754</c:v>
                </c:pt>
                <c:pt idx="421">
                  <c:v>106.21492659787199</c:v>
                </c:pt>
                <c:pt idx="422">
                  <c:v>105.68893185356133</c:v>
                </c:pt>
                <c:pt idx="423">
                  <c:v>104.61317385209665</c:v>
                </c:pt>
                <c:pt idx="424">
                  <c:v>105.39290054367007</c:v>
                </c:pt>
                <c:pt idx="425">
                  <c:v>106.84223340021465</c:v>
                </c:pt>
                <c:pt idx="426">
                  <c:v>107.8589572086681</c:v>
                </c:pt>
                <c:pt idx="427">
                  <c:v>107.96468958013855</c:v>
                </c:pt>
                <c:pt idx="428">
                  <c:v>108.0809833562613</c:v>
                </c:pt>
                <c:pt idx="429">
                  <c:v>107.38055332216847</c:v>
                </c:pt>
                <c:pt idx="430">
                  <c:v>107.0175613693486</c:v>
                </c:pt>
                <c:pt idx="431">
                  <c:v>107.06689459064766</c:v>
                </c:pt>
                <c:pt idx="432">
                  <c:v>107.80345064974357</c:v>
                </c:pt>
                <c:pt idx="433">
                  <c:v>108.5056552937361</c:v>
                </c:pt>
                <c:pt idx="434">
                  <c:v>109.27745553539211</c:v>
                </c:pt>
                <c:pt idx="435">
                  <c:v>108.76908821271097</c:v>
                </c:pt>
                <c:pt idx="436">
                  <c:v>108.62899358922832</c:v>
                </c:pt>
                <c:pt idx="437">
                  <c:v>108.23869474067453</c:v>
                </c:pt>
                <c:pt idx="438">
                  <c:v>108.68538207870075</c:v>
                </c:pt>
                <c:pt idx="439">
                  <c:v>108.80080467307945</c:v>
                </c:pt>
                <c:pt idx="440">
                  <c:v>110.75321344522764</c:v>
                </c:pt>
                <c:pt idx="441">
                  <c:v>110.53558602536023</c:v>
                </c:pt>
                <c:pt idx="442">
                  <c:v>109.33208016376875</c:v>
                </c:pt>
                <c:pt idx="443">
                  <c:v>109.31092501994762</c:v>
                </c:pt>
                <c:pt idx="444">
                  <c:v>109.88009030863084</c:v>
                </c:pt>
                <c:pt idx="445">
                  <c:v>110.91355969627085</c:v>
                </c:pt>
                <c:pt idx="446">
                  <c:v>111.39637305930015</c:v>
                </c:pt>
                <c:pt idx="447">
                  <c:v>110.47479872005709</c:v>
                </c:pt>
                <c:pt idx="448">
                  <c:v>110.4175283881417</c:v>
                </c:pt>
                <c:pt idx="449">
                  <c:v>109.03428499278169</c:v>
                </c:pt>
                <c:pt idx="450">
                  <c:v>109.33559704905157</c:v>
                </c:pt>
                <c:pt idx="451">
                  <c:v>109.16467855644727</c:v>
                </c:pt>
                <c:pt idx="452">
                  <c:v>109.78933965525115</c:v>
                </c:pt>
                <c:pt idx="453">
                  <c:v>109.84837384826237</c:v>
                </c:pt>
                <c:pt idx="454">
                  <c:v>110.17523977607915</c:v>
                </c:pt>
                <c:pt idx="455">
                  <c:v>110.57259398091122</c:v>
                </c:pt>
                <c:pt idx="456">
                  <c:v>112.24658802788882</c:v>
                </c:pt>
                <c:pt idx="457">
                  <c:v>112.1505566281305</c:v>
                </c:pt>
                <c:pt idx="458">
                  <c:v>113.15319139784501</c:v>
                </c:pt>
                <c:pt idx="459">
                  <c:v>113.43776862373221</c:v>
                </c:pt>
                <c:pt idx="460">
                  <c:v>113.33115432171387</c:v>
                </c:pt>
                <c:pt idx="461">
                  <c:v>114.02542176698512</c:v>
                </c:pt>
                <c:pt idx="462">
                  <c:v>113.56198884977235</c:v>
                </c:pt>
                <c:pt idx="463">
                  <c:v>114.4853377989151</c:v>
                </c:pt>
                <c:pt idx="464">
                  <c:v>111.78580081421485</c:v>
                </c:pt>
                <c:pt idx="465">
                  <c:v>112.50385835804214</c:v>
                </c:pt>
                <c:pt idx="466">
                  <c:v>114.12586273137802</c:v>
                </c:pt>
                <c:pt idx="467">
                  <c:v>112.33204718608606</c:v>
                </c:pt>
                <c:pt idx="468">
                  <c:v>112.58050922387899</c:v>
                </c:pt>
                <c:pt idx="469">
                  <c:v>112.66508653963325</c:v>
                </c:pt>
                <c:pt idx="470">
                  <c:v>114.46066585791608</c:v>
                </c:pt>
                <c:pt idx="471">
                  <c:v>117.23597177790528</c:v>
                </c:pt>
                <c:pt idx="472">
                  <c:v>118.31084784882205</c:v>
                </c:pt>
                <c:pt idx="473">
                  <c:v>118.08265902430234</c:v>
                </c:pt>
                <c:pt idx="474">
                  <c:v>117.48530490933732</c:v>
                </c:pt>
                <c:pt idx="475">
                  <c:v>119.10732003147709</c:v>
                </c:pt>
                <c:pt idx="476">
                  <c:v>118.74697378219598</c:v>
                </c:pt>
                <c:pt idx="477">
                  <c:v>118.51349355059872</c:v>
                </c:pt>
                <c:pt idx="478">
                  <c:v>119.41745112891118</c:v>
                </c:pt>
                <c:pt idx="479">
                  <c:v>119.33639069843974</c:v>
                </c:pt>
                <c:pt idx="480">
                  <c:v>120.13639060328637</c:v>
                </c:pt>
                <c:pt idx="481">
                  <c:v>121.29144517412669</c:v>
                </c:pt>
                <c:pt idx="482">
                  <c:v>120.99188623014875</c:v>
                </c:pt>
                <c:pt idx="483">
                  <c:v>119.95753491196082</c:v>
                </c:pt>
                <c:pt idx="484">
                  <c:v>115.34611408405112</c:v>
                </c:pt>
                <c:pt idx="485">
                  <c:v>113.32058216825772</c:v>
                </c:pt>
                <c:pt idx="486">
                  <c:v>113.24217827823387</c:v>
                </c:pt>
                <c:pt idx="487">
                  <c:v>110.07656267278207</c:v>
                </c:pt>
                <c:pt idx="488">
                  <c:v>107.37349805399515</c:v>
                </c:pt>
                <c:pt idx="489">
                  <c:v>108.42547679381259</c:v>
                </c:pt>
                <c:pt idx="490">
                  <c:v>111.47655164732865</c:v>
                </c:pt>
                <c:pt idx="491">
                  <c:v>112.03248824210812</c:v>
                </c:pt>
                <c:pt idx="492">
                  <c:v>111.24042562408768</c:v>
                </c:pt>
                <c:pt idx="493">
                  <c:v>108.11799131181232</c:v>
                </c:pt>
                <c:pt idx="494">
                  <c:v>102.18324321210171</c:v>
                </c:pt>
                <c:pt idx="495">
                  <c:v>100.71893938627026</c:v>
                </c:pt>
                <c:pt idx="496">
                  <c:v>98.695160494663853</c:v>
                </c:pt>
                <c:pt idx="497">
                  <c:v>90.771006504162912</c:v>
                </c:pt>
                <c:pt idx="498">
                  <c:v>91.762187189873345</c:v>
                </c:pt>
                <c:pt idx="499">
                  <c:v>89.630046346463516</c:v>
                </c:pt>
                <c:pt idx="500">
                  <c:v>90.976287160674488</c:v>
                </c:pt>
                <c:pt idx="501">
                  <c:v>88.725206749498199</c:v>
                </c:pt>
                <c:pt idx="502">
                  <c:v>89.50846107515828</c:v>
                </c:pt>
                <c:pt idx="503">
                  <c:v>90.868801676912099</c:v>
                </c:pt>
                <c:pt idx="504">
                  <c:v>87.277643040346419</c:v>
                </c:pt>
                <c:pt idx="505">
                  <c:v>90.8441297359131</c:v>
                </c:pt>
                <c:pt idx="506">
                  <c:v>92.994774557098424</c:v>
                </c:pt>
                <c:pt idx="507">
                  <c:v>95.719865413345573</c:v>
                </c:pt>
                <c:pt idx="508">
                  <c:v>94.793881509467937</c:v>
                </c:pt>
                <c:pt idx="509">
                  <c:v>97.325134956298783</c:v>
                </c:pt>
                <c:pt idx="510">
                  <c:v>99.250225995804243</c:v>
                </c:pt>
                <c:pt idx="511">
                  <c:v>98.718950593219915</c:v>
                </c:pt>
                <c:pt idx="512">
                  <c:v>98.153323687427246</c:v>
                </c:pt>
                <c:pt idx="513">
                  <c:v>99.49692417250138</c:v>
                </c:pt>
                <c:pt idx="514">
                  <c:v>100.69866617299704</c:v>
                </c:pt>
                <c:pt idx="515">
                  <c:v>102.18324321210173</c:v>
                </c:pt>
                <c:pt idx="516">
                  <c:v>101.43611499954966</c:v>
                </c:pt>
                <c:pt idx="517">
                  <c:v>104.02022930176625</c:v>
                </c:pt>
                <c:pt idx="518">
                  <c:v>102.66164709860136</c:v>
                </c:pt>
                <c:pt idx="519">
                  <c:v>103.84049176799772</c:v>
                </c:pt>
                <c:pt idx="520">
                  <c:v>106.13562994039145</c:v>
                </c:pt>
                <c:pt idx="521">
                  <c:v>107.43341417755427</c:v>
                </c:pt>
                <c:pt idx="522">
                  <c:v>106.28452219553554</c:v>
                </c:pt>
                <c:pt idx="523">
                  <c:v>106.57791855069192</c:v>
                </c:pt>
                <c:pt idx="524">
                  <c:v>108.43075745208628</c:v>
                </c:pt>
                <c:pt idx="525">
                  <c:v>107.06513072955192</c:v>
                </c:pt>
                <c:pt idx="526">
                  <c:v>107.83516711011214</c:v>
                </c:pt>
                <c:pt idx="527">
                  <c:v>109.00255769550441</c:v>
                </c:pt>
                <c:pt idx="528">
                  <c:v>108.92943446375423</c:v>
                </c:pt>
                <c:pt idx="529">
                  <c:v>108.80608541945813</c:v>
                </c:pt>
                <c:pt idx="530">
                  <c:v>105.96734649062701</c:v>
                </c:pt>
                <c:pt idx="531">
                  <c:v>107.14530922947546</c:v>
                </c:pt>
                <c:pt idx="532">
                  <c:v>107.74266343254543</c:v>
                </c:pt>
                <c:pt idx="533">
                  <c:v>109.22987542638501</c:v>
                </c:pt>
                <c:pt idx="534">
                  <c:v>110.7391135695799</c:v>
                </c:pt>
                <c:pt idx="535">
                  <c:v>111.02545465656291</c:v>
                </c:pt>
                <c:pt idx="536">
                  <c:v>110.54968581290311</c:v>
                </c:pt>
                <c:pt idx="537">
                  <c:v>108.94265240885409</c:v>
                </c:pt>
                <c:pt idx="538">
                  <c:v>109.47569167253423</c:v>
                </c:pt>
                <c:pt idx="539">
                  <c:v>112.30297642925633</c:v>
                </c:pt>
                <c:pt idx="540">
                  <c:v>113.03953257645716</c:v>
                </c:pt>
                <c:pt idx="541">
                  <c:v>114.67651866788378</c:v>
                </c:pt>
                <c:pt idx="542">
                  <c:v>116.49236036253104</c:v>
                </c:pt>
                <c:pt idx="543">
                  <c:v>116.91526843891002</c:v>
                </c:pt>
                <c:pt idx="544">
                  <c:v>113.39811496464242</c:v>
                </c:pt>
                <c:pt idx="545">
                  <c:v>116.68796154493822</c:v>
                </c:pt>
                <c:pt idx="546">
                  <c:v>116.91615036945791</c:v>
                </c:pt>
                <c:pt idx="547">
                  <c:v>117.32495857018912</c:v>
                </c:pt>
                <c:pt idx="548">
                  <c:v>118.01393460838283</c:v>
                </c:pt>
                <c:pt idx="549">
                  <c:v>117.59191921135562</c:v>
                </c:pt>
                <c:pt idx="550">
                  <c:v>117.32495857018911</c:v>
                </c:pt>
                <c:pt idx="551">
                  <c:v>117.51438641497086</c:v>
                </c:pt>
                <c:pt idx="552">
                  <c:v>118.35313646264666</c:v>
                </c:pt>
                <c:pt idx="553">
                  <c:v>116.1848749686357</c:v>
                </c:pt>
                <c:pt idx="554">
                  <c:v>116.34258626494399</c:v>
                </c:pt>
                <c:pt idx="555">
                  <c:v>116.03069130641406</c:v>
                </c:pt>
                <c:pt idx="556">
                  <c:v>117.76812911103745</c:v>
                </c:pt>
                <c:pt idx="557">
                  <c:v>119.61745112714901</c:v>
                </c:pt>
                <c:pt idx="558">
                  <c:v>118.72934636056638</c:v>
                </c:pt>
                <c:pt idx="559">
                  <c:v>119.52670047376931</c:v>
                </c:pt>
                <c:pt idx="560">
                  <c:v>121.52316163273301</c:v>
                </c:pt>
                <c:pt idx="561">
                  <c:v>119.39101541492124</c:v>
                </c:pt>
                <c:pt idx="562">
                  <c:v>119.00335143299743</c:v>
                </c:pt>
                <c:pt idx="563">
                  <c:v>118.30380332945251</c:v>
                </c:pt>
                <c:pt idx="564">
                  <c:v>118.43066925903142</c:v>
                </c:pt>
                <c:pt idx="565">
                  <c:v>118.75578216266121</c:v>
                </c:pt>
                <c:pt idx="566">
                  <c:v>119.9222908175056</c:v>
                </c:pt>
                <c:pt idx="567">
                  <c:v>121.71522434414473</c:v>
                </c:pt>
                <c:pt idx="568">
                  <c:v>121.54870475547608</c:v>
                </c:pt>
                <c:pt idx="569">
                  <c:v>122.64561781265697</c:v>
                </c:pt>
                <c:pt idx="570">
                  <c:v>122.68702458403865</c:v>
                </c:pt>
                <c:pt idx="571">
                  <c:v>123.33194805920695</c:v>
                </c:pt>
                <c:pt idx="572">
                  <c:v>123.80507119932798</c:v>
                </c:pt>
                <c:pt idx="573">
                  <c:v>124.12842024186197</c:v>
                </c:pt>
                <c:pt idx="574">
                  <c:v>125.50285534486163</c:v>
                </c:pt>
                <c:pt idx="575">
                  <c:v>124.09846755448434</c:v>
                </c:pt>
                <c:pt idx="576">
                  <c:v>126.88434562792969</c:v>
                </c:pt>
                <c:pt idx="577">
                  <c:v>126.5609965853957</c:v>
                </c:pt>
                <c:pt idx="578">
                  <c:v>127.31165252013939</c:v>
                </c:pt>
                <c:pt idx="579">
                  <c:v>129.04556269067612</c:v>
                </c:pt>
                <c:pt idx="580">
                  <c:v>129.81999788706702</c:v>
                </c:pt>
                <c:pt idx="581">
                  <c:v>129.16450217033761</c:v>
                </c:pt>
                <c:pt idx="582">
                  <c:v>129.15128431334267</c:v>
                </c:pt>
                <c:pt idx="583">
                  <c:v>127.09227207608497</c:v>
                </c:pt>
                <c:pt idx="584">
                  <c:v>127.61561027994803</c:v>
                </c:pt>
                <c:pt idx="585">
                  <c:v>127.46936381644767</c:v>
                </c:pt>
                <c:pt idx="586">
                  <c:v>127.12398853645345</c:v>
                </c:pt>
                <c:pt idx="587">
                  <c:v>126.2015322666625</c:v>
                </c:pt>
                <c:pt idx="588">
                  <c:v>125.42885018256351</c:v>
                </c:pt>
                <c:pt idx="589">
                  <c:v>127.89490684756157</c:v>
                </c:pt>
                <c:pt idx="590">
                  <c:v>126.34073421079339</c:v>
                </c:pt>
                <c:pt idx="591">
                  <c:v>126.71341647462644</c:v>
                </c:pt>
                <c:pt idx="592">
                  <c:v>126.18478677558089</c:v>
                </c:pt>
                <c:pt idx="593">
                  <c:v>127.65085446250816</c:v>
                </c:pt>
                <c:pt idx="594">
                  <c:v>126.82178380083181</c:v>
                </c:pt>
                <c:pt idx="595">
                  <c:v>129.57859111744747</c:v>
                </c:pt>
                <c:pt idx="596">
                  <c:v>129.96537316882339</c:v>
                </c:pt>
                <c:pt idx="597">
                  <c:v>130.58387167880568</c:v>
                </c:pt>
                <c:pt idx="598">
                  <c:v>128.69314289131242</c:v>
                </c:pt>
                <c:pt idx="599">
                  <c:v>129.9873994062836</c:v>
                </c:pt>
                <c:pt idx="600">
                  <c:v>128.05789889024851</c:v>
                </c:pt>
                <c:pt idx="601">
                  <c:v>129.2534890507265</c:v>
                </c:pt>
                <c:pt idx="602">
                  <c:v>128.67111665385221</c:v>
                </c:pt>
                <c:pt idx="603">
                  <c:v>129.53365680008406</c:v>
                </c:pt>
                <c:pt idx="604">
                  <c:v>130.27903198844913</c:v>
                </c:pt>
                <c:pt idx="605">
                  <c:v>130.36977189302496</c:v>
                </c:pt>
                <c:pt idx="606">
                  <c:v>131.22703129287819</c:v>
                </c:pt>
                <c:pt idx="607">
                  <c:v>130.5230736246987</c:v>
                </c:pt>
                <c:pt idx="608">
                  <c:v>129.50546788569733</c:v>
                </c:pt>
                <c:pt idx="609">
                  <c:v>130.34511070082985</c:v>
                </c:pt>
                <c:pt idx="610">
                  <c:v>129.11780399187845</c:v>
                </c:pt>
                <c:pt idx="611">
                  <c:v>130.97681631900321</c:v>
                </c:pt>
                <c:pt idx="612">
                  <c:v>129.66405036374965</c:v>
                </c:pt>
                <c:pt idx="613">
                  <c:v>126.56892303531315</c:v>
                </c:pt>
                <c:pt idx="614">
                  <c:v>129.0323447455763</c:v>
                </c:pt>
                <c:pt idx="615">
                  <c:v>126.8085766926408</c:v>
                </c:pt>
                <c:pt idx="616">
                  <c:v>129.91779305981629</c:v>
                </c:pt>
                <c:pt idx="617">
                  <c:v>129.42264368223502</c:v>
                </c:pt>
                <c:pt idx="618">
                  <c:v>129.10282227378772</c:v>
                </c:pt>
                <c:pt idx="619">
                  <c:v>128.94247602274453</c:v>
                </c:pt>
                <c:pt idx="620">
                  <c:v>130.21823393434218</c:v>
                </c:pt>
                <c:pt idx="621">
                  <c:v>131.16977170976674</c:v>
                </c:pt>
                <c:pt idx="622">
                  <c:v>131.52395537022625</c:v>
                </c:pt>
                <c:pt idx="623">
                  <c:v>131.39619667319064</c:v>
                </c:pt>
                <c:pt idx="624">
                  <c:v>129.46845993014642</c:v>
                </c:pt>
                <c:pt idx="625">
                  <c:v>129.97859111392336</c:v>
                </c:pt>
                <c:pt idx="626">
                  <c:v>130.6666851334642</c:v>
                </c:pt>
                <c:pt idx="627">
                  <c:v>129.09225012033158</c:v>
                </c:pt>
                <c:pt idx="628">
                  <c:v>129.74422886367324</c:v>
                </c:pt>
                <c:pt idx="629">
                  <c:v>131.77768722938404</c:v>
                </c:pt>
                <c:pt idx="630">
                  <c:v>133.25961856494996</c:v>
                </c:pt>
                <c:pt idx="631">
                  <c:v>132.89398082048638</c:v>
                </c:pt>
                <c:pt idx="632">
                  <c:v>134.41996463097277</c:v>
                </c:pt>
                <c:pt idx="633">
                  <c:v>133.72921407098431</c:v>
                </c:pt>
                <c:pt idx="634">
                  <c:v>135.6666410369368</c:v>
                </c:pt>
                <c:pt idx="635">
                  <c:v>134.64991722848333</c:v>
                </c:pt>
                <c:pt idx="636">
                  <c:v>135.38470951458837</c:v>
                </c:pt>
                <c:pt idx="637">
                  <c:v>136.5018850362386</c:v>
                </c:pt>
                <c:pt idx="638">
                  <c:v>137.8912910204202</c:v>
                </c:pt>
                <c:pt idx="639">
                  <c:v>140.71329511886864</c:v>
                </c:pt>
                <c:pt idx="640">
                  <c:v>140.70360489596038</c:v>
                </c:pt>
                <c:pt idx="641">
                  <c:v>140.81549994435736</c:v>
                </c:pt>
                <c:pt idx="642">
                  <c:v>138.39437759672273</c:v>
                </c:pt>
                <c:pt idx="643">
                  <c:v>139.12916988282777</c:v>
                </c:pt>
                <c:pt idx="644">
                  <c:v>138.30362694334303</c:v>
                </c:pt>
                <c:pt idx="645">
                  <c:v>138.05076617782433</c:v>
                </c:pt>
                <c:pt idx="646">
                  <c:v>135.78910823878994</c:v>
                </c:pt>
                <c:pt idx="647">
                  <c:v>134.47986991762306</c:v>
                </c:pt>
                <c:pt idx="648">
                  <c:v>134.73361261368967</c:v>
                </c:pt>
                <c:pt idx="649">
                  <c:v>132.31865294298157</c:v>
                </c:pt>
                <c:pt idx="650">
                  <c:v>132.30368197369469</c:v>
                </c:pt>
                <c:pt idx="651">
                  <c:v>129.03058097258545</c:v>
                </c:pt>
                <c:pt idx="652">
                  <c:v>131.6208686124275</c:v>
                </c:pt>
                <c:pt idx="653">
                  <c:v>130.8455407366848</c:v>
                </c:pt>
                <c:pt idx="654">
                  <c:v>131.90103636178503</c:v>
                </c:pt>
                <c:pt idx="655">
                  <c:v>133.40058428207166</c:v>
                </c:pt>
                <c:pt idx="656">
                  <c:v>137.02434130955373</c:v>
                </c:pt>
                <c:pt idx="657">
                  <c:v>140.37409326460477</c:v>
                </c:pt>
                <c:pt idx="658">
                  <c:v>139.76352120453984</c:v>
                </c:pt>
                <c:pt idx="659">
                  <c:v>137.7071546708209</c:v>
                </c:pt>
                <c:pt idx="660">
                  <c:v>136.75298194066144</c:v>
                </c:pt>
                <c:pt idx="661">
                  <c:v>139.12828795227981</c:v>
                </c:pt>
                <c:pt idx="662">
                  <c:v>139.69656056161125</c:v>
                </c:pt>
                <c:pt idx="663">
                  <c:v>139.11242430364115</c:v>
                </c:pt>
                <c:pt idx="664">
                  <c:v>138.38644039800141</c:v>
                </c:pt>
                <c:pt idx="665">
                  <c:v>137.81816778866997</c:v>
                </c:pt>
                <c:pt idx="666">
                  <c:v>137.84460359076479</c:v>
                </c:pt>
                <c:pt idx="667">
                  <c:v>138.32212554671651</c:v>
                </c:pt>
                <c:pt idx="668">
                  <c:v>140.59523756975497</c:v>
                </c:pt>
                <c:pt idx="669">
                  <c:v>139.38732214352891</c:v>
                </c:pt>
                <c:pt idx="670">
                  <c:v>137.34592657909684</c:v>
                </c:pt>
                <c:pt idx="671">
                  <c:v>137.69570058681683</c:v>
                </c:pt>
                <c:pt idx="672">
                  <c:v>138.53269761030563</c:v>
                </c:pt>
                <c:pt idx="673">
                  <c:v>140.36704874523528</c:v>
                </c:pt>
                <c:pt idx="674">
                  <c:v>140.68422436203889</c:v>
                </c:pt>
                <c:pt idx="675">
                  <c:v>139.34855032688213</c:v>
                </c:pt>
                <c:pt idx="676">
                  <c:v>138.82608321665816</c:v>
                </c:pt>
                <c:pt idx="677">
                  <c:v>136.91861968688715</c:v>
                </c:pt>
                <c:pt idx="678">
                  <c:v>137.00143314154559</c:v>
                </c:pt>
                <c:pt idx="679">
                  <c:v>137.75738057147177</c:v>
                </c:pt>
                <c:pt idx="680">
                  <c:v>139.17410428829609</c:v>
                </c:pt>
                <c:pt idx="681">
                  <c:v>139.99347380205046</c:v>
                </c:pt>
                <c:pt idx="682">
                  <c:v>138.93357944922442</c:v>
                </c:pt>
                <c:pt idx="683">
                  <c:v>139.37938494480767</c:v>
                </c:pt>
                <c:pt idx="684">
                  <c:v>140.99170984403915</c:v>
                </c:pt>
                <c:pt idx="685">
                  <c:v>140.5547127289212</c:v>
                </c:pt>
                <c:pt idx="686">
                  <c:v>142.07980377195088</c:v>
                </c:pt>
                <c:pt idx="687">
                  <c:v>142.58993486762287</c:v>
                </c:pt>
                <c:pt idx="688">
                  <c:v>144.83043775094106</c:v>
                </c:pt>
                <c:pt idx="689">
                  <c:v>144.03044868300321</c:v>
                </c:pt>
                <c:pt idx="690">
                  <c:v>145.74320370971878</c:v>
                </c:pt>
                <c:pt idx="691">
                  <c:v>145.32207024323949</c:v>
                </c:pt>
                <c:pt idx="692">
                  <c:v>148.27446799345844</c:v>
                </c:pt>
                <c:pt idx="693">
                  <c:v>148.74053586540612</c:v>
                </c:pt>
                <c:pt idx="694">
                  <c:v>147.72293012640475</c:v>
                </c:pt>
                <c:pt idx="695">
                  <c:v>149.91498171897175</c:v>
                </c:pt>
                <c:pt idx="696">
                  <c:v>148.06829465759509</c:v>
                </c:pt>
                <c:pt idx="697">
                  <c:v>149.06388490794012</c:v>
                </c:pt>
                <c:pt idx="698">
                  <c:v>150.35725949236343</c:v>
                </c:pt>
                <c:pt idx="699">
                  <c:v>148.94494534017369</c:v>
                </c:pt>
                <c:pt idx="700">
                  <c:v>146.6550985748575</c:v>
                </c:pt>
                <c:pt idx="701">
                  <c:v>147.2788777431135</c:v>
                </c:pt>
                <c:pt idx="702">
                  <c:v>147.70883033886196</c:v>
                </c:pt>
                <c:pt idx="703">
                  <c:v>146.04540844534051</c:v>
                </c:pt>
                <c:pt idx="704">
                  <c:v>146.9467203201142</c:v>
                </c:pt>
                <c:pt idx="705">
                  <c:v>148.61718673300513</c:v>
                </c:pt>
                <c:pt idx="706">
                  <c:v>148.88943878124917</c:v>
                </c:pt>
                <c:pt idx="707">
                  <c:v>148.99076167618995</c:v>
                </c:pt>
                <c:pt idx="708">
                  <c:v>148.52027349080382</c:v>
                </c:pt>
                <c:pt idx="709">
                  <c:v>148.78458834032659</c:v>
                </c:pt>
                <c:pt idx="710">
                  <c:v>146.92645794374974</c:v>
                </c:pt>
                <c:pt idx="711">
                  <c:v>143.44102092985062</c:v>
                </c:pt>
                <c:pt idx="712">
                  <c:v>144.85951925657463</c:v>
                </c:pt>
                <c:pt idx="713">
                  <c:v>142.07011354904259</c:v>
                </c:pt>
                <c:pt idx="714">
                  <c:v>144.44630140310392</c:v>
                </c:pt>
                <c:pt idx="715">
                  <c:v>146.72733987605974</c:v>
                </c:pt>
                <c:pt idx="716">
                  <c:v>147.59869915156077</c:v>
                </c:pt>
                <c:pt idx="717">
                  <c:v>146.7150038615078</c:v>
                </c:pt>
                <c:pt idx="718">
                  <c:v>147.96345487737153</c:v>
                </c:pt>
                <c:pt idx="719">
                  <c:v>147.37843677695849</c:v>
                </c:pt>
                <c:pt idx="720">
                  <c:v>146.25686243947754</c:v>
                </c:pt>
                <c:pt idx="721">
                  <c:v>143.74057996193358</c:v>
                </c:pt>
                <c:pt idx="722">
                  <c:v>147.31235806457778</c:v>
                </c:pt>
                <c:pt idx="723">
                  <c:v>149.42599493021214</c:v>
                </c:pt>
                <c:pt idx="724">
                  <c:v>150.8295115388454</c:v>
                </c:pt>
                <c:pt idx="725">
                  <c:v>147.85067798653162</c:v>
                </c:pt>
                <c:pt idx="726">
                  <c:v>147.72997464577429</c:v>
                </c:pt>
                <c:pt idx="727">
                  <c:v>144.95202302224632</c:v>
                </c:pt>
                <c:pt idx="728">
                  <c:v>142.37495323939919</c:v>
                </c:pt>
                <c:pt idx="729">
                  <c:v>141.82694300643217</c:v>
                </c:pt>
                <c:pt idx="730">
                  <c:v>143.40049608901688</c:v>
                </c:pt>
                <c:pt idx="731">
                  <c:v>141.57231837981763</c:v>
                </c:pt>
                <c:pt idx="732">
                  <c:v>143.8762650207816</c:v>
                </c:pt>
                <c:pt idx="733">
                  <c:v>142.81196110332101</c:v>
                </c:pt>
                <c:pt idx="734">
                  <c:v>139.28776310968394</c:v>
                </c:pt>
                <c:pt idx="735">
                  <c:v>137.44460368239396</c:v>
                </c:pt>
                <c:pt idx="736">
                  <c:v>135.57765415654794</c:v>
                </c:pt>
                <c:pt idx="737">
                  <c:v>137.12654604693751</c:v>
                </c:pt>
                <c:pt idx="738">
                  <c:v>141.61372515119933</c:v>
                </c:pt>
                <c:pt idx="739">
                  <c:v>142.90093714680103</c:v>
                </c:pt>
                <c:pt idx="740">
                  <c:v>144.6912358068102</c:v>
                </c:pt>
                <c:pt idx="741">
                  <c:v>143.09389262566944</c:v>
                </c:pt>
                <c:pt idx="742">
                  <c:v>144.14674245912599</c:v>
                </c:pt>
                <c:pt idx="743">
                  <c:v>145.8788887685669</c:v>
                </c:pt>
                <c:pt idx="744">
                  <c:v>142.99962508700693</c:v>
                </c:pt>
                <c:pt idx="745">
                  <c:v>143.66392909609667</c:v>
                </c:pt>
                <c:pt idx="746">
                  <c:v>144.23044859313617</c:v>
                </c:pt>
                <c:pt idx="747">
                  <c:v>145.30708852514877</c:v>
                </c:pt>
                <c:pt idx="748">
                  <c:v>144.50445375367218</c:v>
                </c:pt>
                <c:pt idx="749">
                  <c:v>142.687730128477</c:v>
                </c:pt>
                <c:pt idx="750">
                  <c:v>142.78905293531284</c:v>
                </c:pt>
                <c:pt idx="751">
                  <c:v>145.48329842483056</c:v>
                </c:pt>
                <c:pt idx="752">
                  <c:v>146.52469417428304</c:v>
                </c:pt>
                <c:pt idx="753">
                  <c:v>146.72557610306882</c:v>
                </c:pt>
                <c:pt idx="754">
                  <c:v>148.87974855834082</c:v>
                </c:pt>
                <c:pt idx="755">
                  <c:v>149.42246729612535</c:v>
                </c:pt>
                <c:pt idx="756">
                  <c:v>147.98987993066237</c:v>
                </c:pt>
                <c:pt idx="757">
                  <c:v>150.67884476190645</c:v>
                </c:pt>
                <c:pt idx="758">
                  <c:v>151.92994148130893</c:v>
                </c:pt>
                <c:pt idx="759">
                  <c:v>150.1096902220271</c:v>
                </c:pt>
                <c:pt idx="760">
                  <c:v>151.50350577084328</c:v>
                </c:pt>
                <c:pt idx="761">
                  <c:v>150.32818873553362</c:v>
                </c:pt>
                <c:pt idx="762">
                  <c:v>151.47531694456148</c:v>
                </c:pt>
                <c:pt idx="763">
                  <c:v>153.11671260062269</c:v>
                </c:pt>
                <c:pt idx="764">
                  <c:v>152.20394655374</c:v>
                </c:pt>
                <c:pt idx="765">
                  <c:v>150.2418476467885</c:v>
                </c:pt>
                <c:pt idx="766">
                  <c:v>151.96958439159485</c:v>
                </c:pt>
                <c:pt idx="767">
                  <c:v>155.40391366240016</c:v>
                </c:pt>
                <c:pt idx="768">
                  <c:v>155.20039677887945</c:v>
                </c:pt>
                <c:pt idx="769">
                  <c:v>155.52373507260958</c:v>
                </c:pt>
                <c:pt idx="770">
                  <c:v>157.573938929402</c:v>
                </c:pt>
                <c:pt idx="771">
                  <c:v>156.92460588959912</c:v>
                </c:pt>
                <c:pt idx="772">
                  <c:v>155.62505787944545</c:v>
                </c:pt>
                <c:pt idx="773">
                  <c:v>155.89378229360281</c:v>
                </c:pt>
                <c:pt idx="774">
                  <c:v>152.82508001845724</c:v>
                </c:pt>
                <c:pt idx="775">
                  <c:v>156.03651187182038</c:v>
                </c:pt>
                <c:pt idx="776">
                  <c:v>154.22947855763843</c:v>
                </c:pt>
                <c:pt idx="777">
                  <c:v>156.78540394546829</c:v>
                </c:pt>
                <c:pt idx="778">
                  <c:v>156.19597628042064</c:v>
                </c:pt>
                <c:pt idx="779">
                  <c:v>152.09293352399595</c:v>
                </c:pt>
                <c:pt idx="780">
                  <c:v>151.4021937128114</c:v>
                </c:pt>
                <c:pt idx="781">
                  <c:v>153.51758360263275</c:v>
                </c:pt>
                <c:pt idx="782">
                  <c:v>154.60745222854908</c:v>
                </c:pt>
                <c:pt idx="783">
                  <c:v>153.6206702705644</c:v>
                </c:pt>
                <c:pt idx="784">
                  <c:v>156.54839607978434</c:v>
                </c:pt>
                <c:pt idx="785">
                  <c:v>158.31490464123746</c:v>
                </c:pt>
                <c:pt idx="786">
                  <c:v>158.85410649373921</c:v>
                </c:pt>
                <c:pt idx="787">
                  <c:v>158.72283099952571</c:v>
                </c:pt>
                <c:pt idx="788">
                  <c:v>157.02945641862664</c:v>
                </c:pt>
                <c:pt idx="789">
                  <c:v>159.10784918980579</c:v>
                </c:pt>
                <c:pt idx="790">
                  <c:v>157.97658462941658</c:v>
                </c:pt>
                <c:pt idx="791">
                  <c:v>159.21621651601114</c:v>
                </c:pt>
                <c:pt idx="792">
                  <c:v>157.38451117272524</c:v>
                </c:pt>
                <c:pt idx="793">
                  <c:v>157.52812268149069</c:v>
                </c:pt>
                <c:pt idx="794">
                  <c:v>158.57041111029494</c:v>
                </c:pt>
                <c:pt idx="795">
                  <c:v>159.14925587308255</c:v>
                </c:pt>
                <c:pt idx="796">
                  <c:v>158.78538198971478</c:v>
                </c:pt>
                <c:pt idx="797">
                  <c:v>159.94749191683337</c:v>
                </c:pt>
                <c:pt idx="798">
                  <c:v>159.79947084343334</c:v>
                </c:pt>
                <c:pt idx="799">
                  <c:v>159.84793288298837</c:v>
                </c:pt>
                <c:pt idx="800">
                  <c:v>161.28140217899923</c:v>
                </c:pt>
                <c:pt idx="801">
                  <c:v>161.90429941670729</c:v>
                </c:pt>
                <c:pt idx="802">
                  <c:v>163.38621991536439</c:v>
                </c:pt>
                <c:pt idx="803">
                  <c:v>161.99505007008699</c:v>
                </c:pt>
                <c:pt idx="804">
                  <c:v>161.07522884313587</c:v>
                </c:pt>
                <c:pt idx="805">
                  <c:v>161.79152252586735</c:v>
                </c:pt>
                <c:pt idx="806">
                  <c:v>162.09549103447989</c:v>
                </c:pt>
                <c:pt idx="807">
                  <c:v>160.8699481866243</c:v>
                </c:pt>
                <c:pt idx="808">
                  <c:v>162.57477676342248</c:v>
                </c:pt>
                <c:pt idx="809">
                  <c:v>163.5368866923032</c:v>
                </c:pt>
                <c:pt idx="810">
                  <c:v>164.63731663476688</c:v>
                </c:pt>
                <c:pt idx="811">
                  <c:v>163.91133272912714</c:v>
                </c:pt>
                <c:pt idx="812">
                  <c:v>166.41967809605478</c:v>
                </c:pt>
                <c:pt idx="813">
                  <c:v>165.95008259002043</c:v>
                </c:pt>
                <c:pt idx="814">
                  <c:v>166.20117949444335</c:v>
                </c:pt>
                <c:pt idx="815">
                  <c:v>167.60821298835941</c:v>
                </c:pt>
                <c:pt idx="816">
                  <c:v>169.66634329506923</c:v>
                </c:pt>
                <c:pt idx="817">
                  <c:v>167.69015534937878</c:v>
                </c:pt>
                <c:pt idx="818">
                  <c:v>167.14830770523335</c:v>
                </c:pt>
                <c:pt idx="819">
                  <c:v>169.48044317247914</c:v>
                </c:pt>
                <c:pt idx="820">
                  <c:v>169.50158747939147</c:v>
                </c:pt>
                <c:pt idx="821">
                  <c:v>169.16943014449714</c:v>
                </c:pt>
                <c:pt idx="822">
                  <c:v>167.00293242347703</c:v>
                </c:pt>
                <c:pt idx="823">
                  <c:v>166.90160961664117</c:v>
                </c:pt>
                <c:pt idx="824">
                  <c:v>165.26197773357083</c:v>
                </c:pt>
                <c:pt idx="825">
                  <c:v>164.99238222577438</c:v>
                </c:pt>
                <c:pt idx="826">
                  <c:v>167.80733105604946</c:v>
                </c:pt>
                <c:pt idx="827">
                  <c:v>169.64784477980066</c:v>
                </c:pt>
                <c:pt idx="828">
                  <c:v>169.3782384350954</c:v>
                </c:pt>
                <c:pt idx="829">
                  <c:v>168.71040679191896</c:v>
                </c:pt>
                <c:pt idx="830">
                  <c:v>167.6355307210022</c:v>
                </c:pt>
                <c:pt idx="831">
                  <c:v>169.6073199389669</c:v>
                </c:pt>
                <c:pt idx="832">
                  <c:v>168.81349345985063</c:v>
                </c:pt>
                <c:pt idx="833">
                  <c:v>169.65488929917015</c:v>
                </c:pt>
                <c:pt idx="834">
                  <c:v>170.33505686879363</c:v>
                </c:pt>
                <c:pt idx="835">
                  <c:v>170.59056342595608</c:v>
                </c:pt>
                <c:pt idx="836">
                  <c:v>173.20023159971961</c:v>
                </c:pt>
                <c:pt idx="837">
                  <c:v>174.47159078359149</c:v>
                </c:pt>
                <c:pt idx="838">
                  <c:v>172.47512953652287</c:v>
                </c:pt>
                <c:pt idx="839">
                  <c:v>174.15088744459629</c:v>
                </c:pt>
                <c:pt idx="840">
                  <c:v>174.05309227184711</c:v>
                </c:pt>
                <c:pt idx="841">
                  <c:v>173.53062516162313</c:v>
                </c:pt>
                <c:pt idx="842">
                  <c:v>173.10243633886554</c:v>
                </c:pt>
                <c:pt idx="843">
                  <c:v>174.4566090655008</c:v>
                </c:pt>
                <c:pt idx="844">
                  <c:v>174.24515498325883</c:v>
                </c:pt>
                <c:pt idx="845">
                  <c:v>175.87509655531596</c:v>
                </c:pt>
                <c:pt idx="846">
                  <c:v>177.01518024497435</c:v>
                </c:pt>
                <c:pt idx="847">
                  <c:v>175.66893396825651</c:v>
                </c:pt>
                <c:pt idx="848">
                  <c:v>176.86980487511309</c:v>
                </c:pt>
                <c:pt idx="849">
                  <c:v>177.86274942191932</c:v>
                </c:pt>
                <c:pt idx="850">
                  <c:v>176.32091279970311</c:v>
                </c:pt>
                <c:pt idx="851">
                  <c:v>175.13854049622009</c:v>
                </c:pt>
                <c:pt idx="852">
                  <c:v>175.20110232331797</c:v>
                </c:pt>
                <c:pt idx="853">
                  <c:v>174.76321252884821</c:v>
                </c:pt>
                <c:pt idx="854">
                  <c:v>175.60461911697163</c:v>
                </c:pt>
                <c:pt idx="855">
                  <c:v>174.02842024274321</c:v>
                </c:pt>
                <c:pt idx="856">
                  <c:v>175.17995801640564</c:v>
                </c:pt>
                <c:pt idx="857">
                  <c:v>177.29887554031365</c:v>
                </c:pt>
                <c:pt idx="858">
                  <c:v>176.55086539721367</c:v>
                </c:pt>
                <c:pt idx="859">
                  <c:v>177.71825598260597</c:v>
                </c:pt>
                <c:pt idx="860">
                  <c:v>177.23279682793296</c:v>
                </c:pt>
                <c:pt idx="861">
                  <c:v>174.5878845597143</c:v>
                </c:pt>
                <c:pt idx="862">
                  <c:v>174.33150690891276</c:v>
                </c:pt>
                <c:pt idx="863">
                  <c:v>172.74648890541516</c:v>
                </c:pt>
                <c:pt idx="864">
                  <c:v>173.43282990076904</c:v>
                </c:pt>
                <c:pt idx="865">
                  <c:v>173.89979045206849</c:v>
                </c:pt>
                <c:pt idx="866">
                  <c:v>172.01169670741507</c:v>
                </c:pt>
                <c:pt idx="867">
                  <c:v>173.38437869812282</c:v>
                </c:pt>
                <c:pt idx="868">
                  <c:v>172.30244727092773</c:v>
                </c:pt>
                <c:pt idx="869">
                  <c:v>169.83815446702548</c:v>
                </c:pt>
                <c:pt idx="870">
                  <c:v>173.09098234296644</c:v>
                </c:pt>
                <c:pt idx="871">
                  <c:v>173.48305580141988</c:v>
                </c:pt>
                <c:pt idx="872">
                  <c:v>176.03898127735468</c:v>
                </c:pt>
                <c:pt idx="873">
                  <c:v>173.07864632841446</c:v>
                </c:pt>
                <c:pt idx="874">
                  <c:v>170.21611738913225</c:v>
                </c:pt>
                <c:pt idx="875">
                  <c:v>165.96065474347679</c:v>
                </c:pt>
                <c:pt idx="876">
                  <c:v>166.77562552950536</c:v>
                </c:pt>
                <c:pt idx="877">
                  <c:v>165.6919303293194</c:v>
                </c:pt>
                <c:pt idx="878">
                  <c:v>163.58093916722382</c:v>
                </c:pt>
                <c:pt idx="879">
                  <c:v>160.69638399048137</c:v>
                </c:pt>
                <c:pt idx="880">
                  <c:v>162.1086981426711</c:v>
                </c:pt>
                <c:pt idx="881">
                  <c:v>162.18711286960377</c:v>
                </c:pt>
                <c:pt idx="882">
                  <c:v>164.15009370710317</c:v>
                </c:pt>
                <c:pt idx="883">
                  <c:v>162.08843576630667</c:v>
                </c:pt>
                <c:pt idx="884">
                  <c:v>160.88228411307148</c:v>
                </c:pt>
                <c:pt idx="885">
                  <c:v>162.35098675473367</c:v>
                </c:pt>
                <c:pt idx="886">
                  <c:v>166.40381444741629</c:v>
                </c:pt>
                <c:pt idx="887">
                  <c:v>165.08576783388907</c:v>
                </c:pt>
                <c:pt idx="888">
                  <c:v>167.28046512999484</c:v>
                </c:pt>
                <c:pt idx="889">
                  <c:v>167.31570931255496</c:v>
                </c:pt>
                <c:pt idx="890">
                  <c:v>169.40555616773821</c:v>
                </c:pt>
                <c:pt idx="891">
                  <c:v>170.73682063826038</c:v>
                </c:pt>
                <c:pt idx="892">
                  <c:v>171.54033734028488</c:v>
                </c:pt>
                <c:pt idx="893">
                  <c:v>173.24428407464012</c:v>
                </c:pt>
                <c:pt idx="894">
                  <c:v>173.4381213959515</c:v>
                </c:pt>
                <c:pt idx="895">
                  <c:v>173.80903979868876</c:v>
                </c:pt>
                <c:pt idx="896">
                  <c:v>173.13768052142564</c:v>
                </c:pt>
                <c:pt idx="897">
                  <c:v>174.38964842257218</c:v>
                </c:pt>
                <c:pt idx="898">
                  <c:v>173.68304496274897</c:v>
                </c:pt>
                <c:pt idx="899">
                  <c:v>174.70242531165002</c:v>
                </c:pt>
                <c:pt idx="900">
                  <c:v>175.38612051536018</c:v>
                </c:pt>
                <c:pt idx="901">
                  <c:v>174.11036260376255</c:v>
                </c:pt>
                <c:pt idx="902">
                  <c:v>175.43281878192437</c:v>
                </c:pt>
                <c:pt idx="903">
                  <c:v>172.25927672655519</c:v>
                </c:pt>
                <c:pt idx="904">
                  <c:v>174.92445145924322</c:v>
                </c:pt>
                <c:pt idx="905">
                  <c:v>175.56144857259906</c:v>
                </c:pt>
                <c:pt idx="906">
                  <c:v>174.0539741142901</c:v>
                </c:pt>
                <c:pt idx="907">
                  <c:v>176.49447690774124</c:v>
                </c:pt>
                <c:pt idx="908">
                  <c:v>178.0327858958708</c:v>
                </c:pt>
                <c:pt idx="909">
                  <c:v>177.07861316571135</c:v>
                </c:pt>
                <c:pt idx="910">
                  <c:v>176.4195899030002</c:v>
                </c:pt>
                <c:pt idx="911">
                  <c:v>176.42575249182175</c:v>
                </c:pt>
                <c:pt idx="912">
                  <c:v>175.85043536312082</c:v>
                </c:pt>
                <c:pt idx="913">
                  <c:v>175.23017308014764</c:v>
                </c:pt>
                <c:pt idx="914">
                  <c:v>173.85397420415711</c:v>
                </c:pt>
                <c:pt idx="915">
                  <c:v>168.22230193370729</c:v>
                </c:pt>
                <c:pt idx="916">
                  <c:v>167.90071666416418</c:v>
                </c:pt>
                <c:pt idx="917">
                  <c:v>169.61876318606224</c:v>
                </c:pt>
                <c:pt idx="918">
                  <c:v>168.0742916091111</c:v>
                </c:pt>
                <c:pt idx="919">
                  <c:v>167.12451769478236</c:v>
                </c:pt>
                <c:pt idx="920">
                  <c:v>165.86197764017965</c:v>
                </c:pt>
                <c:pt idx="921">
                  <c:v>167.30600825273785</c:v>
                </c:pt>
                <c:pt idx="922">
                  <c:v>163.03556397709661</c:v>
                </c:pt>
                <c:pt idx="923">
                  <c:v>161.90253555561159</c:v>
                </c:pt>
                <c:pt idx="924">
                  <c:v>162.50077160112451</c:v>
                </c:pt>
                <c:pt idx="925">
                  <c:v>168.15534129077861</c:v>
                </c:pt>
                <c:pt idx="926">
                  <c:v>169.54387618132111</c:v>
                </c:pt>
                <c:pt idx="927">
                  <c:v>170.05224341589732</c:v>
                </c:pt>
                <c:pt idx="928">
                  <c:v>168.23111022606759</c:v>
                </c:pt>
                <c:pt idx="929">
                  <c:v>168.53331496168923</c:v>
                </c:pt>
                <c:pt idx="930">
                  <c:v>164.70251350470471</c:v>
                </c:pt>
                <c:pt idx="931">
                  <c:v>166.8839928557106</c:v>
                </c:pt>
                <c:pt idx="932">
                  <c:v>169.28836962415866</c:v>
                </c:pt>
                <c:pt idx="933">
                  <c:v>167.62054900291145</c:v>
                </c:pt>
                <c:pt idx="934">
                  <c:v>164.36331156233592</c:v>
                </c:pt>
                <c:pt idx="935">
                  <c:v>166.5024915507133</c:v>
                </c:pt>
                <c:pt idx="936">
                  <c:v>169.51568735503926</c:v>
                </c:pt>
                <c:pt idx="937">
                  <c:v>170.04696275762359</c:v>
                </c:pt>
                <c:pt idx="938">
                  <c:v>172.07161274286912</c:v>
                </c:pt>
                <c:pt idx="939">
                  <c:v>172.2865837103939</c:v>
                </c:pt>
                <c:pt idx="940">
                  <c:v>172.57468857036778</c:v>
                </c:pt>
                <c:pt idx="941">
                  <c:v>173.18349676933687</c:v>
                </c:pt>
                <c:pt idx="942">
                  <c:v>173.65044657183245</c:v>
                </c:pt>
                <c:pt idx="943">
                  <c:v>172.0522322970526</c:v>
                </c:pt>
                <c:pt idx="944">
                  <c:v>171.59584389920931</c:v>
                </c:pt>
                <c:pt idx="945">
                  <c:v>164.57916437230367</c:v>
                </c:pt>
                <c:pt idx="946">
                  <c:v>160.83646786516007</c:v>
                </c:pt>
                <c:pt idx="947">
                  <c:v>162.33777964654251</c:v>
                </c:pt>
                <c:pt idx="948">
                  <c:v>164.26815134432167</c:v>
                </c:pt>
                <c:pt idx="949">
                  <c:v>163.72543260653714</c:v>
                </c:pt>
                <c:pt idx="950">
                  <c:v>159.90607439664788</c:v>
                </c:pt>
                <c:pt idx="951">
                  <c:v>160.32017409256156</c:v>
                </c:pt>
                <c:pt idx="952">
                  <c:v>158.18714594420189</c:v>
                </c:pt>
                <c:pt idx="953">
                  <c:v>159.39066264270221</c:v>
                </c:pt>
                <c:pt idx="954">
                  <c:v>161.33689790101505</c:v>
                </c:pt>
                <c:pt idx="955">
                  <c:v>156.87350889530927</c:v>
                </c:pt>
                <c:pt idx="956">
                  <c:v>151.46033522647087</c:v>
                </c:pt>
                <c:pt idx="957">
                  <c:v>150.71056122227509</c:v>
                </c:pt>
                <c:pt idx="958">
                  <c:v>153.9334471596423</c:v>
                </c:pt>
                <c:pt idx="959">
                  <c:v>155.05061193248866</c:v>
                </c:pt>
                <c:pt idx="960">
                  <c:v>152.54226656556102</c:v>
                </c:pt>
                <c:pt idx="961">
                  <c:v>156.49465329385075</c:v>
                </c:pt>
                <c:pt idx="962">
                  <c:v>156.81888426693263</c:v>
                </c:pt>
                <c:pt idx="963">
                  <c:v>160.23295107326857</c:v>
                </c:pt>
                <c:pt idx="964">
                  <c:v>155.81007615959268</c:v>
                </c:pt>
                <c:pt idx="965">
                  <c:v>151.82685481337742</c:v>
                </c:pt>
                <c:pt idx="966">
                  <c:v>152.92552098285023</c:v>
                </c:pt>
                <c:pt idx="967">
                  <c:v>149.67797376518297</c:v>
                </c:pt>
                <c:pt idx="968">
                  <c:v>155.50964603387069</c:v>
                </c:pt>
                <c:pt idx="969">
                  <c:v>154.62947846600935</c:v>
                </c:pt>
                <c:pt idx="970">
                  <c:v>152.75107485615925</c:v>
                </c:pt>
                <c:pt idx="971">
                  <c:v>149.15022599668532</c:v>
                </c:pt>
                <c:pt idx="972">
                  <c:v>153.4911586374468</c:v>
                </c:pt>
                <c:pt idx="973">
                  <c:v>153.14313756580887</c:v>
                </c:pt>
                <c:pt idx="974">
                  <c:v>151.49029866265241</c:v>
                </c:pt>
                <c:pt idx="975">
                  <c:v>148.44891403204463</c:v>
                </c:pt>
                <c:pt idx="976">
                  <c:v>146.19871017701431</c:v>
                </c:pt>
                <c:pt idx="977">
                  <c:v>146.36963941842251</c:v>
                </c:pt>
                <c:pt idx="978">
                  <c:v>145.49828014292149</c:v>
                </c:pt>
                <c:pt idx="979">
                  <c:v>146.01633768851087</c:v>
                </c:pt>
                <c:pt idx="980">
                  <c:v>150.9369969345029</c:v>
                </c:pt>
                <c:pt idx="981">
                  <c:v>155.48850172695845</c:v>
                </c:pt>
                <c:pt idx="982">
                  <c:v>154.36163598239995</c:v>
                </c:pt>
                <c:pt idx="983">
                  <c:v>151.68940589343359</c:v>
                </c:pt>
                <c:pt idx="984">
                  <c:v>151.07091822036011</c:v>
                </c:pt>
                <c:pt idx="985">
                  <c:v>148.28504014691475</c:v>
                </c:pt>
                <c:pt idx="986">
                  <c:v>149.46651977104599</c:v>
                </c:pt>
                <c:pt idx="987">
                  <c:v>149.1643257842282</c:v>
                </c:pt>
                <c:pt idx="988">
                  <c:v>151.25858220404604</c:v>
                </c:pt>
                <c:pt idx="989">
                  <c:v>148.94141770608712</c:v>
                </c:pt>
                <c:pt idx="990">
                  <c:v>150.15109690530409</c:v>
                </c:pt>
                <c:pt idx="991">
                  <c:v>151.40306480645063</c:v>
                </c:pt>
                <c:pt idx="992">
                  <c:v>150.95725939897233</c:v>
                </c:pt>
                <c:pt idx="993">
                  <c:v>154.77044418313119</c:v>
                </c:pt>
                <c:pt idx="994">
                  <c:v>157.95014882732198</c:v>
                </c:pt>
                <c:pt idx="995">
                  <c:v>159.11401177862757</c:v>
                </c:pt>
                <c:pt idx="996">
                  <c:v>158.85322456319147</c:v>
                </c:pt>
                <c:pt idx="997">
                  <c:v>157.70169762643786</c:v>
                </c:pt>
                <c:pt idx="998">
                  <c:v>155.63123130517607</c:v>
                </c:pt>
                <c:pt idx="999">
                  <c:v>153.09996702143641</c:v>
                </c:pt>
                <c:pt idx="1000">
                  <c:v>152.00218278251151</c:v>
                </c:pt>
                <c:pt idx="1001">
                  <c:v>154.7854151524181</c:v>
                </c:pt>
                <c:pt idx="1002">
                  <c:v>156.08056434674106</c:v>
                </c:pt>
                <c:pt idx="1003">
                  <c:v>158.15719334492934</c:v>
                </c:pt>
                <c:pt idx="1004">
                  <c:v>157.36513063880398</c:v>
                </c:pt>
                <c:pt idx="1005">
                  <c:v>158.83648982091373</c:v>
                </c:pt>
                <c:pt idx="1006">
                  <c:v>157.63913579933995</c:v>
                </c:pt>
                <c:pt idx="1007">
                  <c:v>160.17656267190119</c:v>
                </c:pt>
                <c:pt idx="1008">
                  <c:v>156.96689459152893</c:v>
                </c:pt>
                <c:pt idx="1009">
                  <c:v>158.74309337589031</c:v>
                </c:pt>
                <c:pt idx="1010">
                  <c:v>159.06203285378973</c:v>
                </c:pt>
                <c:pt idx="1011">
                  <c:v>156.00831229673491</c:v>
                </c:pt>
                <c:pt idx="1012">
                  <c:v>154.42330513014613</c:v>
                </c:pt>
                <c:pt idx="1013">
                  <c:v>154.36691664067371</c:v>
                </c:pt>
                <c:pt idx="1014">
                  <c:v>156.20478457278122</c:v>
                </c:pt>
                <c:pt idx="1015">
                  <c:v>158.40653722516529</c:v>
                </c:pt>
                <c:pt idx="1016">
                  <c:v>157.04795502200039</c:v>
                </c:pt>
                <c:pt idx="1017">
                  <c:v>154.50964621889125</c:v>
                </c:pt>
                <c:pt idx="1018">
                  <c:v>153.27089626284459</c:v>
                </c:pt>
                <c:pt idx="1019">
                  <c:v>151.09998897718992</c:v>
                </c:pt>
                <c:pt idx="1020">
                  <c:v>152.4911695712712</c:v>
                </c:pt>
                <c:pt idx="1021">
                  <c:v>152.41363677488644</c:v>
                </c:pt>
                <c:pt idx="1022">
                  <c:v>155.47352000886778</c:v>
                </c:pt>
                <c:pt idx="1023">
                  <c:v>152.41803559071712</c:v>
                </c:pt>
                <c:pt idx="1024">
                  <c:v>152.59953698558147</c:v>
                </c:pt>
                <c:pt idx="1025">
                  <c:v>152.45416161572021</c:v>
                </c:pt>
                <c:pt idx="1026">
                  <c:v>151.61981029577018</c:v>
                </c:pt>
                <c:pt idx="1027">
                  <c:v>146.47712481408001</c:v>
                </c:pt>
                <c:pt idx="1028">
                  <c:v>139.13093365581878</c:v>
                </c:pt>
                <c:pt idx="1029">
                  <c:v>140.21286508301387</c:v>
                </c:pt>
                <c:pt idx="1030">
                  <c:v>140.21110122191806</c:v>
                </c:pt>
                <c:pt idx="1031">
                  <c:v>139.63400948331744</c:v>
                </c:pt>
                <c:pt idx="1032">
                  <c:v>141.82870686752818</c:v>
                </c:pt>
                <c:pt idx="1033">
                  <c:v>144.28154558742636</c:v>
                </c:pt>
                <c:pt idx="1034">
                  <c:v>143.47979274649768</c:v>
                </c:pt>
                <c:pt idx="1035">
                  <c:v>141.7670268828733</c:v>
                </c:pt>
                <c:pt idx="1036">
                  <c:v>145.72205940280676</c:v>
                </c:pt>
                <c:pt idx="1037">
                  <c:v>145.26215411968067</c:v>
                </c:pt>
                <c:pt idx="1038">
                  <c:v>143.8718554561473</c:v>
                </c:pt>
                <c:pt idx="1039">
                  <c:v>144.16436988075577</c:v>
                </c:pt>
                <c:pt idx="1040">
                  <c:v>150.00308666881298</c:v>
                </c:pt>
                <c:pt idx="1041">
                  <c:v>148.20926037471713</c:v>
                </c:pt>
                <c:pt idx="1042">
                  <c:v>146.66918761359673</c:v>
                </c:pt>
                <c:pt idx="1043">
                  <c:v>147.05068891859403</c:v>
                </c:pt>
                <c:pt idx="1044">
                  <c:v>147.7070664777664</c:v>
                </c:pt>
                <c:pt idx="1045">
                  <c:v>149.58634118125559</c:v>
                </c:pt>
                <c:pt idx="1046">
                  <c:v>148.23041551853828</c:v>
                </c:pt>
                <c:pt idx="1047">
                  <c:v>145.47360820192262</c:v>
                </c:pt>
                <c:pt idx="1048">
                  <c:v>142.65424980701295</c:v>
                </c:pt>
                <c:pt idx="1049">
                  <c:v>139.1802668771179</c:v>
                </c:pt>
                <c:pt idx="1050">
                  <c:v>136.58558042144514</c:v>
                </c:pt>
                <c:pt idx="1051">
                  <c:v>138.24547468087991</c:v>
                </c:pt>
                <c:pt idx="1052">
                  <c:v>133.41996481599335</c:v>
                </c:pt>
                <c:pt idx="1053">
                  <c:v>134.33361270531904</c:v>
                </c:pt>
                <c:pt idx="1054">
                  <c:v>137.721254458364</c:v>
                </c:pt>
                <c:pt idx="1055">
                  <c:v>139.42608312326712</c:v>
                </c:pt>
                <c:pt idx="1056">
                  <c:v>137.92037252605397</c:v>
                </c:pt>
                <c:pt idx="1057">
                  <c:v>136.99966936855495</c:v>
                </c:pt>
                <c:pt idx="1058">
                  <c:v>143.39696845493043</c:v>
                </c:pt>
                <c:pt idx="1059">
                  <c:v>141.7679088134212</c:v>
                </c:pt>
                <c:pt idx="1060">
                  <c:v>140.53973101083071</c:v>
                </c:pt>
                <c:pt idx="1061">
                  <c:v>138.7362252426305</c:v>
                </c:pt>
                <c:pt idx="1062">
                  <c:v>141.01901673977335</c:v>
                </c:pt>
                <c:pt idx="1063">
                  <c:v>140.91417704765468</c:v>
                </c:pt>
                <c:pt idx="1064">
                  <c:v>140.61814564965846</c:v>
                </c:pt>
                <c:pt idx="1065">
                  <c:v>141.78024482797318</c:v>
                </c:pt>
                <c:pt idx="1066">
                  <c:v>144.12824385575269</c:v>
                </c:pt>
                <c:pt idx="1067">
                  <c:v>145.66831670497803</c:v>
                </c:pt>
                <c:pt idx="1068">
                  <c:v>145.4507000339145</c:v>
                </c:pt>
                <c:pt idx="1069">
                  <c:v>145.44893617281869</c:v>
                </c:pt>
                <c:pt idx="1070">
                  <c:v>144.8348473155759</c:v>
                </c:pt>
                <c:pt idx="1071">
                  <c:v>142.94675348281754</c:v>
                </c:pt>
                <c:pt idx="1072">
                  <c:v>145.13704121428876</c:v>
                </c:pt>
                <c:pt idx="1073">
                  <c:v>148.06389584176466</c:v>
                </c:pt>
                <c:pt idx="1074">
                  <c:v>148.46300307078374</c:v>
                </c:pt>
                <c:pt idx="1075">
                  <c:v>148.35728144811716</c:v>
                </c:pt>
                <c:pt idx="1076">
                  <c:v>149.55903428552165</c:v>
                </c:pt>
                <c:pt idx="1077">
                  <c:v>151.26121715878108</c:v>
                </c:pt>
                <c:pt idx="1078">
                  <c:v>149.18194245705399</c:v>
                </c:pt>
                <c:pt idx="1079">
                  <c:v>149.65330182418415</c:v>
                </c:pt>
                <c:pt idx="1080">
                  <c:v>149.26123911453456</c:v>
                </c:pt>
                <c:pt idx="1081">
                  <c:v>153.60921618656056</c:v>
                </c:pt>
                <c:pt idx="1082">
                  <c:v>155.99950391626965</c:v>
                </c:pt>
                <c:pt idx="1083">
                  <c:v>155.62153024535903</c:v>
                </c:pt>
                <c:pt idx="1084">
                  <c:v>155.48761979641066</c:v>
                </c:pt>
                <c:pt idx="1085">
                  <c:v>153.5704552068226</c:v>
                </c:pt>
                <c:pt idx="1086">
                  <c:v>155.86999228315202</c:v>
                </c:pt>
                <c:pt idx="1087">
                  <c:v>152.62156322304179</c:v>
                </c:pt>
                <c:pt idx="1088">
                  <c:v>152.12200428082593</c:v>
                </c:pt>
                <c:pt idx="1089">
                  <c:v>151.26386286231985</c:v>
                </c:pt>
                <c:pt idx="1090">
                  <c:v>155.02065924511123</c:v>
                </c:pt>
                <c:pt idx="1091">
                  <c:v>156.02064831128695</c:v>
                </c:pt>
                <c:pt idx="1092">
                  <c:v>152.6955682972349</c:v>
                </c:pt>
                <c:pt idx="1093">
                  <c:v>154.15106383070602</c:v>
                </c:pt>
                <c:pt idx="1094">
                  <c:v>152.97838175013123</c:v>
                </c:pt>
                <c:pt idx="1095">
                  <c:v>153.53080154773284</c:v>
                </c:pt>
                <c:pt idx="1096">
                  <c:v>152.04799911852783</c:v>
                </c:pt>
                <c:pt idx="1097">
                  <c:v>153.23477014973662</c:v>
                </c:pt>
                <c:pt idx="1098">
                  <c:v>151.18985778812669</c:v>
                </c:pt>
                <c:pt idx="1099">
                  <c:v>149.25419459516507</c:v>
                </c:pt>
                <c:pt idx="1100">
                  <c:v>151.0559365022695</c:v>
                </c:pt>
                <c:pt idx="1101">
                  <c:v>152.12993064263836</c:v>
                </c:pt>
                <c:pt idx="1102">
                  <c:v>149.29295557490303</c:v>
                </c:pt>
                <c:pt idx="1103">
                  <c:v>145.54233261784205</c:v>
                </c:pt>
                <c:pt idx="1104">
                  <c:v>145.8885790795803</c:v>
                </c:pt>
                <c:pt idx="1105">
                  <c:v>145.60664746912693</c:v>
                </c:pt>
                <c:pt idx="1106">
                  <c:v>140.79435554934022</c:v>
                </c:pt>
                <c:pt idx="1107">
                  <c:v>143.6762650225439</c:v>
                </c:pt>
                <c:pt idx="1108">
                  <c:v>142.76702669785283</c:v>
                </c:pt>
                <c:pt idx="1109">
                  <c:v>141.76702688287324</c:v>
                </c:pt>
                <c:pt idx="1110">
                  <c:v>141.66571482484125</c:v>
                </c:pt>
                <c:pt idx="1111">
                  <c:v>143.47979274649765</c:v>
                </c:pt>
                <c:pt idx="1112">
                  <c:v>145.33968691606538</c:v>
                </c:pt>
                <c:pt idx="1113">
                  <c:v>146.59253674775979</c:v>
                </c:pt>
                <c:pt idx="1114">
                  <c:v>143.43485834102927</c:v>
                </c:pt>
                <c:pt idx="1115">
                  <c:v>142.51504786288203</c:v>
                </c:pt>
                <c:pt idx="1116">
                  <c:v>139.80845561000842</c:v>
                </c:pt>
                <c:pt idx="1117">
                  <c:v>136.14064610760587</c:v>
                </c:pt>
                <c:pt idx="1118">
                  <c:v>135.16972779825988</c:v>
                </c:pt>
                <c:pt idx="1119">
                  <c:v>132.71512521726589</c:v>
                </c:pt>
                <c:pt idx="1120">
                  <c:v>134.24287280074316</c:v>
                </c:pt>
                <c:pt idx="1121">
                  <c:v>130.6834307126509</c:v>
                </c:pt>
                <c:pt idx="1122">
                  <c:v>128.42706418069406</c:v>
                </c:pt>
                <c:pt idx="1123">
                  <c:v>128.51868601581779</c:v>
                </c:pt>
                <c:pt idx="1124">
                  <c:v>128.96626603319581</c:v>
                </c:pt>
                <c:pt idx="1125">
                  <c:v>128.75040247442419</c:v>
                </c:pt>
                <c:pt idx="1126">
                  <c:v>125.05087651165316</c:v>
                </c:pt>
                <c:pt idx="1127">
                  <c:v>126.79094927101148</c:v>
                </c:pt>
                <c:pt idx="1128">
                  <c:v>128.75922160369339</c:v>
                </c:pt>
                <c:pt idx="1129">
                  <c:v>132.50280004138489</c:v>
                </c:pt>
                <c:pt idx="1130">
                  <c:v>130.15391908305747</c:v>
                </c:pt>
                <c:pt idx="1131">
                  <c:v>131.04730450791376</c:v>
                </c:pt>
                <c:pt idx="1132">
                  <c:v>128.23322685938271</c:v>
                </c:pt>
                <c:pt idx="1133">
                  <c:v>128.05701695970086</c:v>
                </c:pt>
                <c:pt idx="1134">
                  <c:v>127.75570490343098</c:v>
                </c:pt>
                <c:pt idx="1135">
                  <c:v>129.17507432379406</c:v>
                </c:pt>
                <c:pt idx="1136">
                  <c:v>128.23587256292149</c:v>
                </c:pt>
                <c:pt idx="1137">
                  <c:v>131.57328850342057</c:v>
                </c:pt>
                <c:pt idx="1138">
                  <c:v>132.68252682634957</c:v>
                </c:pt>
                <c:pt idx="1139">
                  <c:v>135.40144425686634</c:v>
                </c:pt>
                <c:pt idx="1140">
                  <c:v>132.86755585530059</c:v>
                </c:pt>
                <c:pt idx="1141">
                  <c:v>132.81732995464975</c:v>
                </c:pt>
                <c:pt idx="1142">
                  <c:v>131.30632795035905</c:v>
                </c:pt>
                <c:pt idx="1143">
                  <c:v>134.13714042927279</c:v>
                </c:pt>
                <c:pt idx="1144">
                  <c:v>136.41201622530212</c:v>
                </c:pt>
                <c:pt idx="1145">
                  <c:v>138.30362694334329</c:v>
                </c:pt>
                <c:pt idx="1146">
                  <c:v>137.89040908987258</c:v>
                </c:pt>
                <c:pt idx="1147">
                  <c:v>138.0366663021768</c:v>
                </c:pt>
                <c:pt idx="1148">
                  <c:v>138.73622524263052</c:v>
                </c:pt>
                <c:pt idx="1149">
                  <c:v>138.59173180331717</c:v>
                </c:pt>
                <c:pt idx="1150">
                  <c:v>139.51330614256022</c:v>
                </c:pt>
                <c:pt idx="1151">
                  <c:v>138.94326976023791</c:v>
                </c:pt>
                <c:pt idx="1152">
                  <c:v>139.35119603042119</c:v>
                </c:pt>
                <c:pt idx="1153">
                  <c:v>141.40491686060136</c:v>
                </c:pt>
                <c:pt idx="1154">
                  <c:v>144.11590784120074</c:v>
                </c:pt>
                <c:pt idx="1155">
                  <c:v>143.39080586610891</c:v>
                </c:pt>
                <c:pt idx="1156">
                  <c:v>148.86653061324134</c:v>
                </c:pt>
                <c:pt idx="1157">
                  <c:v>146.88944998819909</c:v>
                </c:pt>
                <c:pt idx="1158">
                  <c:v>146.90707740982859</c:v>
                </c:pt>
                <c:pt idx="1159">
                  <c:v>146.89826911746823</c:v>
                </c:pt>
                <c:pt idx="1160">
                  <c:v>144.6868262421759</c:v>
                </c:pt>
                <c:pt idx="1161">
                  <c:v>144.47009150166025</c:v>
                </c:pt>
                <c:pt idx="1162">
                  <c:v>145.12646906083262</c:v>
                </c:pt>
                <c:pt idx="1163">
                  <c:v>144.71854270254437</c:v>
                </c:pt>
                <c:pt idx="1164">
                  <c:v>145.47888886019632</c:v>
                </c:pt>
                <c:pt idx="1165">
                  <c:v>146.12294124172556</c:v>
                </c:pt>
                <c:pt idx="1166">
                  <c:v>147.76080926370008</c:v>
                </c:pt>
                <c:pt idx="1167">
                  <c:v>147.86742356571841</c:v>
                </c:pt>
                <c:pt idx="1168">
                  <c:v>147.43658903942205</c:v>
                </c:pt>
                <c:pt idx="1169">
                  <c:v>147.31940258394752</c:v>
                </c:pt>
                <c:pt idx="1170">
                  <c:v>148.59868812963182</c:v>
                </c:pt>
                <c:pt idx="1171">
                  <c:v>150.94580531496837</c:v>
                </c:pt>
                <c:pt idx="1172">
                  <c:v>151.35373167325659</c:v>
                </c:pt>
                <c:pt idx="1173">
                  <c:v>151.44976307301491</c:v>
                </c:pt>
                <c:pt idx="1174">
                  <c:v>150.10439872684495</c:v>
                </c:pt>
                <c:pt idx="1175">
                  <c:v>149.60220482989419</c:v>
                </c:pt>
                <c:pt idx="1176">
                  <c:v>149.3123361088245</c:v>
                </c:pt>
                <c:pt idx="1177">
                  <c:v>151.54667631521616</c:v>
                </c:pt>
                <c:pt idx="1178">
                  <c:v>150.13787904830923</c:v>
                </c:pt>
                <c:pt idx="1179">
                  <c:v>152.1713481628239</c:v>
                </c:pt>
                <c:pt idx="1180">
                  <c:v>152.89380443437696</c:v>
                </c:pt>
                <c:pt idx="1181">
                  <c:v>150.35814142291153</c:v>
                </c:pt>
                <c:pt idx="1182">
                  <c:v>147.68680410140192</c:v>
                </c:pt>
                <c:pt idx="1183">
                  <c:v>147.91940240245125</c:v>
                </c:pt>
                <c:pt idx="1184">
                  <c:v>147.23747097173197</c:v>
                </c:pt>
                <c:pt idx="1185">
                  <c:v>148.6180686635532</c:v>
                </c:pt>
                <c:pt idx="1186">
                  <c:v>148.4242420910457</c:v>
                </c:pt>
                <c:pt idx="1187">
                  <c:v>149.35550665319704</c:v>
                </c:pt>
                <c:pt idx="1188">
                  <c:v>149.92202623834149</c:v>
                </c:pt>
                <c:pt idx="1189">
                  <c:v>149.35638858374494</c:v>
                </c:pt>
                <c:pt idx="1190">
                  <c:v>150.90967928996523</c:v>
                </c:pt>
                <c:pt idx="1191">
                  <c:v>149.82775869967895</c:v>
                </c:pt>
                <c:pt idx="1192">
                  <c:v>152.52288603163967</c:v>
                </c:pt>
                <c:pt idx="1193">
                  <c:v>153.52111123671961</c:v>
                </c:pt>
                <c:pt idx="1194">
                  <c:v>152.29821418050773</c:v>
                </c:pt>
                <c:pt idx="1195">
                  <c:v>151.35108596971776</c:v>
                </c:pt>
                <c:pt idx="1196">
                  <c:v>153.35282778695515</c:v>
                </c:pt>
                <c:pt idx="1197">
                  <c:v>151.1026346807287</c:v>
                </c:pt>
                <c:pt idx="1198">
                  <c:v>151.29293361914952</c:v>
                </c:pt>
                <c:pt idx="1199">
                  <c:v>151.80130094183065</c:v>
                </c:pt>
                <c:pt idx="1200">
                  <c:v>151.67883373997751</c:v>
                </c:pt>
                <c:pt idx="1201">
                  <c:v>154.48322116560033</c:v>
                </c:pt>
                <c:pt idx="1202">
                  <c:v>154.59863309928011</c:v>
                </c:pt>
                <c:pt idx="1203">
                  <c:v>154.90260160789265</c:v>
                </c:pt>
                <c:pt idx="1204">
                  <c:v>151.86561579311555</c:v>
                </c:pt>
                <c:pt idx="1205">
                  <c:v>151.79249256136538</c:v>
                </c:pt>
                <c:pt idx="1206">
                  <c:v>152.37662881933548</c:v>
                </c:pt>
                <c:pt idx="1207">
                  <c:v>151.58809383540171</c:v>
                </c:pt>
                <c:pt idx="1208">
                  <c:v>148.12556498951074</c:v>
                </c:pt>
                <c:pt idx="1209">
                  <c:v>149.08943877948724</c:v>
                </c:pt>
                <c:pt idx="1210">
                  <c:v>148.99692426501173</c:v>
                </c:pt>
                <c:pt idx="1211">
                  <c:v>149.88678205578134</c:v>
                </c:pt>
                <c:pt idx="1212">
                  <c:v>149.63921278544512</c:v>
                </c:pt>
                <c:pt idx="1213">
                  <c:v>151.26650865396348</c:v>
                </c:pt>
                <c:pt idx="1214">
                  <c:v>154.23740491945105</c:v>
                </c:pt>
                <c:pt idx="1215">
                  <c:v>155.63563003290182</c:v>
                </c:pt>
                <c:pt idx="1216">
                  <c:v>154.92639170644864</c:v>
                </c:pt>
                <c:pt idx="1217">
                  <c:v>154.81008709341708</c:v>
                </c:pt>
                <c:pt idx="1218">
                  <c:v>156.38893167118428</c:v>
                </c:pt>
                <c:pt idx="1219">
                  <c:v>157.64619106751331</c:v>
                </c:pt>
                <c:pt idx="1220">
                  <c:v>155.56074302816077</c:v>
                </c:pt>
                <c:pt idx="1221">
                  <c:v>156.60038575342625</c:v>
                </c:pt>
                <c:pt idx="1222">
                  <c:v>156.52108909594568</c:v>
                </c:pt>
                <c:pt idx="1223">
                  <c:v>156.89024372569207</c:v>
                </c:pt>
                <c:pt idx="1224">
                  <c:v>157.1016977198291</c:v>
                </c:pt>
                <c:pt idx="1225">
                  <c:v>157.24883686268123</c:v>
                </c:pt>
                <c:pt idx="1226">
                  <c:v>157.84618022884237</c:v>
                </c:pt>
                <c:pt idx="1227">
                  <c:v>158.01269990561596</c:v>
                </c:pt>
                <c:pt idx="1228">
                  <c:v>156.47086328339972</c:v>
                </c:pt>
                <c:pt idx="1229">
                  <c:v>156.81535663284603</c:v>
                </c:pt>
                <c:pt idx="1230">
                  <c:v>156.180123380586</c:v>
                </c:pt>
                <c:pt idx="1231">
                  <c:v>157.26468976251596</c:v>
                </c:pt>
                <c:pt idx="1232">
                  <c:v>156.85588147367983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5-473A-B83C-A4CC602E1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9198671"/>
        <c:axId val="829199919"/>
      </c:lineChart>
      <c:dateAx>
        <c:axId val="8291986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99919"/>
        <c:crosses val="autoZero"/>
        <c:auto val="1"/>
        <c:lblOffset val="100"/>
        <c:baseTimeUnit val="days"/>
      </c:dateAx>
      <c:valAx>
        <c:axId val="82919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9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8</xdr:row>
      <xdr:rowOff>19049</xdr:rowOff>
    </xdr:from>
    <xdr:to>
      <xdr:col>11</xdr:col>
      <xdr:colOff>638175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C9039-DB50-483B-9166-030D2996A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647700</xdr:colOff>
      <xdr:row>8</xdr:row>
      <xdr:rowOff>19050</xdr:rowOff>
    </xdr:from>
    <xdr:to>
      <xdr:col>16</xdr:col>
      <xdr:colOff>704850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E62A8B-95BB-4DA3-9B4B-AA61E71B5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19050</xdr:rowOff>
    </xdr:from>
    <xdr:to>
      <xdr:col>6</xdr:col>
      <xdr:colOff>647701</xdr:colOff>
      <xdr:row>20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FA0904-BA7C-4E4F-BA1C-698C0361D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333375</xdr:colOff>
      <xdr:row>0</xdr:row>
      <xdr:rowOff>57150</xdr:rowOff>
    </xdr:from>
    <xdr:to>
      <xdr:col>16</xdr:col>
      <xdr:colOff>638175</xdr:colOff>
      <xdr:row>0</xdr:row>
      <xdr:rowOff>361950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4E81E9-5516-483D-B4E1-D6F7B9DDA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0888" y="57150"/>
          <a:ext cx="3048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497679</xdr:colOff>
      <xdr:row>2</xdr:row>
      <xdr:rowOff>100014</xdr:rowOff>
    </xdr:from>
    <xdr:to>
      <xdr:col>14</xdr:col>
      <xdr:colOff>566738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B12EC-061A-4B6E-0934-3D0BF8F53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65274</xdr:colOff>
      <xdr:row>16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B46F78-5108-4711-8056-A9CDA6E23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170090</xdr:colOff>
      <xdr:row>76</xdr:row>
      <xdr:rowOff>61232</xdr:rowOff>
    </xdr:from>
    <xdr:to>
      <xdr:col>26</xdr:col>
      <xdr:colOff>585107</xdr:colOff>
      <xdr:row>78</xdr:row>
      <xdr:rowOff>94827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F77FC-FBC7-274F-7AF8-269D64CBF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5876" y="15158358"/>
          <a:ext cx="2660196" cy="4282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j\iCloudDrive\Hult\Harvard%20Case%20Comp\2023%20Comp\VESTAS\DCF%20-%20Vestas\Vestas%20-%20DCF_v1_230223.xlsx" TargetMode="External"/><Relationship Id="rId1" Type="http://schemas.openxmlformats.org/officeDocument/2006/relationships/externalLinkPath" Target="Vestas%20-%20DCF_v1_2302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j\iCloudDrive\Hult\Harvard%20Case%20Comp\2023%20Comp\VESTAS\Tearsheet%20-%20Vestas_%2005%20March_EUR.xlsx" TargetMode="External"/><Relationship Id="rId1" Type="http://schemas.openxmlformats.org/officeDocument/2006/relationships/externalLinkPath" Target="/Users/suraj/iCloudDrive/Hult/Harvard%20Case%20Comp/2023%20Comp/VESTAS/Tearsheet%20-%20Vestas_%2005%20March_EU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Landscape%20Comps%20Analysis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S"/>
      <sheetName val="Sheet1"/>
      <sheetName val="DCF"/>
      <sheetName val="PB_CACHE"/>
      <sheetName val="WACC"/>
      <sheetName val="IS"/>
      <sheetName val="CFS"/>
      <sheetName val="Summary"/>
      <sheetName val="Inputs"/>
      <sheetName val="Debt"/>
      <sheetName val="ROIC"/>
      <sheetName val="Audit"/>
      <sheetName val="Buildup"/>
      <sheetName val="Ratios"/>
      <sheetName val="Peers"/>
      <sheetName val="Offshore"/>
      <sheetName val="Wcap"/>
      <sheetName val="Forecast"/>
      <sheetName val="Assumptions"/>
      <sheetName val="backlog and order intake"/>
      <sheetName val="Market Share"/>
      <sheetName val="Segments"/>
      <sheetName val="Cash Flow"/>
      <sheetName val="Consensus Template"/>
      <sheetName val="Metrics and Guidance Tracker"/>
    </sheetNames>
    <sheetDataSet>
      <sheetData sheetId="0"/>
      <sheetData sheetId="1"/>
      <sheetData sheetId="2"/>
      <sheetData sheetId="3"/>
      <sheetData sheetId="4"/>
      <sheetData sheetId="5"/>
      <sheetData sheetId="6">
        <row r="10">
          <cell r="M10">
            <v>62045.1</v>
          </cell>
        </row>
        <row r="12">
          <cell r="M12">
            <v>12774.1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B_CACHE"/>
      <sheetName val="One Page Value"/>
      <sheetName val="data"/>
      <sheetName val="Calculation Data"/>
      <sheetName val="Tearsheet - Vestas_ 05 March_EU"/>
    </sheetNames>
    <sheetDataSet>
      <sheetData sheetId="0"/>
      <sheetData sheetId="1"/>
      <sheetData sheetId="2">
        <row r="1">
          <cell r="B1">
            <v>1000000</v>
          </cell>
        </row>
        <row r="2">
          <cell r="B2" t="str">
            <v>Unit</v>
          </cell>
        </row>
        <row r="3">
          <cell r="B3" t="str">
            <v>Thousand</v>
          </cell>
        </row>
        <row r="4">
          <cell r="B4" t="str">
            <v>Million</v>
          </cell>
        </row>
        <row r="5">
          <cell r="B5" t="str">
            <v>Billion</v>
          </cell>
        </row>
        <row r="6">
          <cell r="I6" t="str">
            <v>EUR</v>
          </cell>
          <cell r="J6" t="str">
            <v>United States Dollars, USD</v>
          </cell>
        </row>
        <row r="7">
          <cell r="J7" t="str">
            <v>British Pounds, GBP</v>
          </cell>
          <cell r="L7" t="str">
            <v>Business Units</v>
          </cell>
          <cell r="M7" t="str">
            <v>Business Revenue</v>
          </cell>
        </row>
        <row r="8">
          <cell r="J8" t="str">
            <v>Euros, EUR</v>
          </cell>
          <cell r="L8" t="str">
            <v>Region</v>
          </cell>
          <cell r="M8" t="str">
            <v>Gross Premiums Earned/Written</v>
          </cell>
        </row>
        <row r="9">
          <cell r="J9" t="str">
            <v>Canadian Dollars, CAD</v>
          </cell>
          <cell r="M9" t="str">
            <v>Net Income</v>
          </cell>
        </row>
        <row r="10">
          <cell r="J10" t="str">
            <v>Chinese Yuan RMB, CNY</v>
          </cell>
          <cell r="M10" t="str">
            <v>Net Interest Income</v>
          </cell>
        </row>
        <row r="11">
          <cell r="J11" t="str">
            <v>Japanese Yen, JPY</v>
          </cell>
          <cell r="M11" t="str">
            <v>Non-Current Assets</v>
          </cell>
        </row>
        <row r="12">
          <cell r="J12" t="str">
            <v>Native Currency</v>
          </cell>
          <cell r="M12" t="str">
            <v>Non-Interest Income</v>
          </cell>
        </row>
        <row r="13">
          <cell r="M13" t="str">
            <v>Operating Income</v>
          </cell>
        </row>
        <row r="14">
          <cell r="M14" t="str">
            <v>Pre-Tax Profit</v>
          </cell>
        </row>
        <row r="15">
          <cell r="M15" t="str">
            <v>Total Assets</v>
          </cell>
        </row>
        <row r="22">
          <cell r="B22" t="str">
            <v>Revenue</v>
          </cell>
        </row>
        <row r="23">
          <cell r="B23" t="str">
            <v>EBITDA</v>
          </cell>
        </row>
        <row r="24">
          <cell r="B24" t="str">
            <v>EPS</v>
          </cell>
        </row>
      </sheetData>
      <sheetData sheetId="3">
        <row r="3">
          <cell r="B3">
            <v>44625</v>
          </cell>
          <cell r="C3">
            <v>26.296767701750003</v>
          </cell>
          <cell r="D3">
            <v>3472393</v>
          </cell>
        </row>
        <row r="4">
          <cell r="B4">
            <v>44626</v>
          </cell>
          <cell r="C4">
            <v>26.296767701750003</v>
          </cell>
          <cell r="D4">
            <v>3472393</v>
          </cell>
        </row>
        <row r="5">
          <cell r="B5">
            <v>44627</v>
          </cell>
          <cell r="C5">
            <v>28.633370823000003</v>
          </cell>
          <cell r="D5">
            <v>6831591</v>
          </cell>
        </row>
        <row r="6">
          <cell r="B6">
            <v>44628</v>
          </cell>
          <cell r="C6">
            <v>31.618895750200004</v>
          </cell>
          <cell r="D6">
            <v>7847123</v>
          </cell>
        </row>
        <row r="7">
          <cell r="B7">
            <v>44629</v>
          </cell>
          <cell r="C7">
            <v>29.612120485499997</v>
          </cell>
          <cell r="D7">
            <v>6438783</v>
          </cell>
        </row>
        <row r="8">
          <cell r="B8">
            <v>44630</v>
          </cell>
          <cell r="C8">
            <v>28.109994172399997</v>
          </cell>
          <cell r="D8">
            <v>4813101</v>
          </cell>
        </row>
        <row r="9">
          <cell r="B9">
            <v>44631</v>
          </cell>
          <cell r="C9">
            <v>28.784338657199999</v>
          </cell>
          <cell r="D9">
            <v>3533016</v>
          </cell>
        </row>
        <row r="10">
          <cell r="B10">
            <v>44632</v>
          </cell>
          <cell r="C10">
            <v>28.784338657199999</v>
          </cell>
          <cell r="D10">
            <v>3533016</v>
          </cell>
        </row>
        <row r="11">
          <cell r="B11">
            <v>44633</v>
          </cell>
          <cell r="C11">
            <v>28.784338657199999</v>
          </cell>
          <cell r="D11">
            <v>3533016</v>
          </cell>
        </row>
        <row r="12">
          <cell r="B12">
            <v>44634</v>
          </cell>
          <cell r="C12">
            <v>27.421095336</v>
          </cell>
          <cell r="D12">
            <v>3094586</v>
          </cell>
        </row>
        <row r="13">
          <cell r="B13">
            <v>44635</v>
          </cell>
          <cell r="C13">
            <v>26.544973468050003</v>
          </cell>
          <cell r="D13">
            <v>3856833</v>
          </cell>
        </row>
        <row r="14">
          <cell r="B14">
            <v>44636</v>
          </cell>
          <cell r="C14">
            <v>27.435237112399999</v>
          </cell>
          <cell r="D14">
            <v>3807558</v>
          </cell>
        </row>
        <row r="15">
          <cell r="B15">
            <v>44637</v>
          </cell>
          <cell r="C15">
            <v>28.179869195000002</v>
          </cell>
          <cell r="D15">
            <v>3310264</v>
          </cell>
        </row>
        <row r="16">
          <cell r="B16">
            <v>44638</v>
          </cell>
          <cell r="C16">
            <v>27.993886011200004</v>
          </cell>
          <cell r="D16">
            <v>3476526</v>
          </cell>
        </row>
        <row r="17">
          <cell r="B17">
            <v>44639</v>
          </cell>
          <cell r="C17">
            <v>27.993886011200004</v>
          </cell>
          <cell r="D17">
            <v>3476526</v>
          </cell>
        </row>
        <row r="18">
          <cell r="B18">
            <v>44640</v>
          </cell>
          <cell r="C18">
            <v>27.993886011200004</v>
          </cell>
          <cell r="D18">
            <v>3476526</v>
          </cell>
        </row>
        <row r="19">
          <cell r="B19">
            <v>44641</v>
          </cell>
          <cell r="C19">
            <v>27.425470927399999</v>
          </cell>
          <cell r="D19">
            <v>2189963</v>
          </cell>
        </row>
        <row r="20">
          <cell r="B20">
            <v>44642</v>
          </cell>
          <cell r="C20">
            <v>27.148055023999998</v>
          </cell>
          <cell r="D20">
            <v>1930439</v>
          </cell>
        </row>
        <row r="21">
          <cell r="B21">
            <v>44643</v>
          </cell>
          <cell r="C21">
            <v>26.229563323650002</v>
          </cell>
          <cell r="D21">
            <v>2755443</v>
          </cell>
        </row>
        <row r="22">
          <cell r="B22">
            <v>44644</v>
          </cell>
          <cell r="C22">
            <v>25.797164207400002</v>
          </cell>
          <cell r="D22">
            <v>2065199</v>
          </cell>
        </row>
        <row r="23">
          <cell r="B23">
            <v>44645</v>
          </cell>
          <cell r="C23">
            <v>25.604588745000001</v>
          </cell>
          <cell r="D23">
            <v>2338669</v>
          </cell>
        </row>
        <row r="24">
          <cell r="B24">
            <v>44646</v>
          </cell>
          <cell r="C24">
            <v>25.604588745000001</v>
          </cell>
          <cell r="D24">
            <v>2338669</v>
          </cell>
        </row>
        <row r="25">
          <cell r="B25">
            <v>44647</v>
          </cell>
          <cell r="C25">
            <v>25.604588745000001</v>
          </cell>
          <cell r="D25">
            <v>2338669</v>
          </cell>
        </row>
        <row r="26">
          <cell r="B26">
            <v>44648</v>
          </cell>
          <cell r="C26">
            <v>25.211747847999998</v>
          </cell>
          <cell r="D26">
            <v>2967816</v>
          </cell>
        </row>
        <row r="27">
          <cell r="B27">
            <v>44649</v>
          </cell>
          <cell r="C27">
            <v>25.552096077199998</v>
          </cell>
          <cell r="D27">
            <v>2565696</v>
          </cell>
        </row>
        <row r="28">
          <cell r="B28">
            <v>44650</v>
          </cell>
          <cell r="C28">
            <v>27.008738848000004</v>
          </cell>
          <cell r="D28">
            <v>2895911</v>
          </cell>
        </row>
        <row r="29">
          <cell r="B29">
            <v>44651</v>
          </cell>
          <cell r="C29">
            <v>26.856467799499999</v>
          </cell>
          <cell r="D29">
            <v>2903786</v>
          </cell>
        </row>
        <row r="30">
          <cell r="B30">
            <v>44652</v>
          </cell>
          <cell r="C30">
            <v>28.2372433128</v>
          </cell>
          <cell r="D30">
            <v>3321441</v>
          </cell>
        </row>
        <row r="31">
          <cell r="B31">
            <v>44653</v>
          </cell>
          <cell r="C31">
            <v>28.2372433128</v>
          </cell>
          <cell r="D31">
            <v>3321441</v>
          </cell>
        </row>
        <row r="32">
          <cell r="B32">
            <v>44654</v>
          </cell>
          <cell r="C32">
            <v>28.2372433128</v>
          </cell>
          <cell r="D32">
            <v>3321441</v>
          </cell>
        </row>
        <row r="33">
          <cell r="B33">
            <v>44655</v>
          </cell>
          <cell r="C33">
            <v>26.924047983600001</v>
          </cell>
          <cell r="D33">
            <v>3026792</v>
          </cell>
        </row>
        <row r="34">
          <cell r="B34">
            <v>44656</v>
          </cell>
          <cell r="C34">
            <v>29.242740150000003</v>
          </cell>
          <cell r="D34">
            <v>5798374</v>
          </cell>
        </row>
        <row r="35">
          <cell r="B35">
            <v>44657</v>
          </cell>
          <cell r="C35">
            <v>28.30876900985</v>
          </cell>
          <cell r="D35">
            <v>3238388</v>
          </cell>
        </row>
        <row r="36">
          <cell r="B36">
            <v>44658</v>
          </cell>
          <cell r="C36">
            <v>28.064996081250001</v>
          </cell>
          <cell r="D36">
            <v>3173655</v>
          </cell>
        </row>
        <row r="37">
          <cell r="B37">
            <v>44659</v>
          </cell>
          <cell r="C37">
            <v>28.754938853549998</v>
          </cell>
          <cell r="D37">
            <v>1996060</v>
          </cell>
        </row>
        <row r="38">
          <cell r="B38">
            <v>44660</v>
          </cell>
          <cell r="C38">
            <v>28.754938853549998</v>
          </cell>
          <cell r="D38">
            <v>1996060</v>
          </cell>
        </row>
        <row r="39">
          <cell r="B39">
            <v>44661</v>
          </cell>
          <cell r="C39">
            <v>28.754938853549998</v>
          </cell>
          <cell r="D39">
            <v>1996060</v>
          </cell>
        </row>
        <row r="40">
          <cell r="B40">
            <v>44662</v>
          </cell>
          <cell r="C40">
            <v>28.289763951199998</v>
          </cell>
          <cell r="D40">
            <v>2337977</v>
          </cell>
        </row>
        <row r="41">
          <cell r="B41">
            <v>44663</v>
          </cell>
          <cell r="C41">
            <v>27.216298912000003</v>
          </cell>
          <cell r="D41">
            <v>2480827</v>
          </cell>
        </row>
        <row r="42">
          <cell r="B42">
            <v>44664</v>
          </cell>
          <cell r="C42">
            <v>26.937195140450001</v>
          </cell>
          <cell r="D42">
            <v>2065996</v>
          </cell>
        </row>
        <row r="43">
          <cell r="B43">
            <v>44665</v>
          </cell>
          <cell r="C43">
            <v>26.937195140450001</v>
          </cell>
          <cell r="D43">
            <v>2065996</v>
          </cell>
        </row>
        <row r="44">
          <cell r="B44">
            <v>44666</v>
          </cell>
          <cell r="C44">
            <v>26.937195140450001</v>
          </cell>
          <cell r="D44">
            <v>2065996</v>
          </cell>
        </row>
        <row r="45">
          <cell r="B45">
            <v>44667</v>
          </cell>
          <cell r="C45">
            <v>26.937195140450001</v>
          </cell>
          <cell r="D45">
            <v>2065996</v>
          </cell>
        </row>
        <row r="46">
          <cell r="B46">
            <v>44668</v>
          </cell>
          <cell r="C46">
            <v>26.937195140450001</v>
          </cell>
          <cell r="D46">
            <v>2065996</v>
          </cell>
        </row>
        <row r="47">
          <cell r="B47">
            <v>44669</v>
          </cell>
          <cell r="C47">
            <v>26.937195140450001</v>
          </cell>
          <cell r="D47">
            <v>2065996</v>
          </cell>
        </row>
        <row r="48">
          <cell r="B48">
            <v>44670</v>
          </cell>
          <cell r="C48">
            <v>27.329818640600003</v>
          </cell>
          <cell r="D48">
            <v>2289636</v>
          </cell>
        </row>
        <row r="49">
          <cell r="B49">
            <v>44671</v>
          </cell>
          <cell r="C49">
            <v>28.03230643545</v>
          </cell>
          <cell r="D49">
            <v>3396447</v>
          </cell>
        </row>
        <row r="50">
          <cell r="B50">
            <v>44672</v>
          </cell>
          <cell r="C50">
            <v>27.068695724000001</v>
          </cell>
          <cell r="D50">
            <v>2502374</v>
          </cell>
        </row>
        <row r="51">
          <cell r="B51">
            <v>44673</v>
          </cell>
          <cell r="C51">
            <v>26.057277344479999</v>
          </cell>
          <cell r="D51">
            <v>9575889</v>
          </cell>
        </row>
        <row r="52">
          <cell r="B52">
            <v>44674</v>
          </cell>
          <cell r="C52">
            <v>26.057277344479999</v>
          </cell>
          <cell r="D52">
            <v>9575889</v>
          </cell>
        </row>
        <row r="53">
          <cell r="B53">
            <v>44675</v>
          </cell>
          <cell r="C53">
            <v>26.057277344479999</v>
          </cell>
          <cell r="D53">
            <v>9575889</v>
          </cell>
        </row>
        <row r="54">
          <cell r="B54">
            <v>44676</v>
          </cell>
          <cell r="C54">
            <v>25.497208017360002</v>
          </cell>
          <cell r="D54">
            <v>2912930</v>
          </cell>
        </row>
        <row r="55">
          <cell r="B55">
            <v>44677</v>
          </cell>
          <cell r="C55">
            <v>23.91420801196</v>
          </cell>
          <cell r="D55">
            <v>4628782</v>
          </cell>
        </row>
        <row r="56">
          <cell r="B56">
            <v>44678</v>
          </cell>
          <cell r="C56">
            <v>24.131837455479999</v>
          </cell>
          <cell r="D56">
            <v>2792656</v>
          </cell>
        </row>
        <row r="57">
          <cell r="B57">
            <v>44679</v>
          </cell>
          <cell r="C57">
            <v>23.814055607599997</v>
          </cell>
          <cell r="D57">
            <v>2216727</v>
          </cell>
        </row>
        <row r="58">
          <cell r="B58">
            <v>44680</v>
          </cell>
          <cell r="C58">
            <v>24.565881178739996</v>
          </cell>
          <cell r="D58">
            <v>2008126</v>
          </cell>
        </row>
        <row r="59">
          <cell r="B59">
            <v>44681</v>
          </cell>
          <cell r="C59">
            <v>24.565881178739996</v>
          </cell>
          <cell r="D59">
            <v>2008126</v>
          </cell>
        </row>
        <row r="60">
          <cell r="B60">
            <v>44682</v>
          </cell>
          <cell r="C60">
            <v>24.565881178739996</v>
          </cell>
          <cell r="D60">
            <v>2008126</v>
          </cell>
        </row>
        <row r="61">
          <cell r="B61">
            <v>44683</v>
          </cell>
          <cell r="C61">
            <v>22.646236657780001</v>
          </cell>
          <cell r="D61">
            <v>5061408</v>
          </cell>
        </row>
        <row r="62">
          <cell r="B62">
            <v>44684</v>
          </cell>
          <cell r="C62">
            <v>23.434463932140002</v>
          </cell>
          <cell r="D62">
            <v>2493486</v>
          </cell>
        </row>
        <row r="63">
          <cell r="B63">
            <v>44685</v>
          </cell>
          <cell r="C63">
            <v>23.372452773759999</v>
          </cell>
          <cell r="D63">
            <v>2332719</v>
          </cell>
        </row>
        <row r="64">
          <cell r="B64">
            <v>44686</v>
          </cell>
          <cell r="C64">
            <v>23.274119992900001</v>
          </cell>
          <cell r="D64">
            <v>2397512</v>
          </cell>
        </row>
        <row r="65">
          <cell r="B65">
            <v>44687</v>
          </cell>
          <cell r="C65">
            <v>22.125148096940002</v>
          </cell>
          <cell r="D65">
            <v>3383979</v>
          </cell>
        </row>
        <row r="66">
          <cell r="B66">
            <v>44688</v>
          </cell>
          <cell r="C66">
            <v>22.125148096940002</v>
          </cell>
          <cell r="D66">
            <v>3383979</v>
          </cell>
        </row>
        <row r="67">
          <cell r="B67">
            <v>44689</v>
          </cell>
          <cell r="C67">
            <v>22.125148096940002</v>
          </cell>
          <cell r="D67">
            <v>3383979</v>
          </cell>
        </row>
        <row r="68">
          <cell r="B68">
            <v>44690</v>
          </cell>
          <cell r="C68">
            <v>20.657368997600003</v>
          </cell>
          <cell r="D68">
            <v>2963934</v>
          </cell>
        </row>
        <row r="69">
          <cell r="B69">
            <v>44691</v>
          </cell>
          <cell r="C69">
            <v>20.394463958199996</v>
          </cell>
          <cell r="D69">
            <v>3654099</v>
          </cell>
        </row>
        <row r="70">
          <cell r="B70">
            <v>44692</v>
          </cell>
          <cell r="C70">
            <v>20.82720479008</v>
          </cell>
          <cell r="D70">
            <v>2906565</v>
          </cell>
        </row>
        <row r="71">
          <cell r="B71">
            <v>44693</v>
          </cell>
          <cell r="C71">
            <v>19.911139493759997</v>
          </cell>
          <cell r="D71">
            <v>4409630</v>
          </cell>
        </row>
        <row r="72">
          <cell r="B72">
            <v>44694</v>
          </cell>
          <cell r="C72">
            <v>19.911139493759997</v>
          </cell>
          <cell r="D72">
            <v>4409630</v>
          </cell>
        </row>
        <row r="73">
          <cell r="B73">
            <v>44695</v>
          </cell>
          <cell r="C73">
            <v>19.911139493759997</v>
          </cell>
          <cell r="D73">
            <v>4409630</v>
          </cell>
        </row>
        <row r="74">
          <cell r="B74">
            <v>44696</v>
          </cell>
          <cell r="C74">
            <v>19.911139493759997</v>
          </cell>
          <cell r="D74">
            <v>4409630</v>
          </cell>
        </row>
        <row r="75">
          <cell r="B75">
            <v>44697</v>
          </cell>
          <cell r="C75">
            <v>20.103973217280004</v>
          </cell>
          <cell r="D75">
            <v>3007180</v>
          </cell>
        </row>
        <row r="76">
          <cell r="B76">
            <v>44698</v>
          </cell>
          <cell r="C76">
            <v>20.507867490159999</v>
          </cell>
          <cell r="D76">
            <v>2461414</v>
          </cell>
        </row>
        <row r="77">
          <cell r="B77">
            <v>44699</v>
          </cell>
          <cell r="C77">
            <v>21.066164713619997</v>
          </cell>
          <cell r="D77">
            <v>4218094</v>
          </cell>
        </row>
        <row r="78">
          <cell r="B78">
            <v>44700</v>
          </cell>
          <cell r="C78">
            <v>21.147588369600001</v>
          </cell>
          <cell r="D78">
            <v>2876411</v>
          </cell>
        </row>
        <row r="79">
          <cell r="B79">
            <v>44701</v>
          </cell>
          <cell r="C79">
            <v>21.051293226960002</v>
          </cell>
          <cell r="D79">
            <v>3527758</v>
          </cell>
        </row>
        <row r="80">
          <cell r="B80">
            <v>44702</v>
          </cell>
          <cell r="C80">
            <v>21.051293226960002</v>
          </cell>
          <cell r="D80">
            <v>3527758</v>
          </cell>
        </row>
        <row r="81">
          <cell r="B81">
            <v>44703</v>
          </cell>
          <cell r="C81">
            <v>21.051293226960002</v>
          </cell>
          <cell r="D81">
            <v>3527758</v>
          </cell>
        </row>
        <row r="82">
          <cell r="B82">
            <v>44704</v>
          </cell>
          <cell r="C82">
            <v>22.049553615600001</v>
          </cell>
          <cell r="D82">
            <v>3613029</v>
          </cell>
        </row>
        <row r="83">
          <cell r="B83">
            <v>44705</v>
          </cell>
          <cell r="C83">
            <v>22.873157335199998</v>
          </cell>
          <cell r="D83">
            <v>5622639</v>
          </cell>
        </row>
        <row r="84">
          <cell r="B84">
            <v>44706</v>
          </cell>
          <cell r="C84">
            <v>22.592904261660003</v>
          </cell>
          <cell r="D84">
            <v>4025753</v>
          </cell>
        </row>
        <row r="85">
          <cell r="B85">
            <v>44707</v>
          </cell>
          <cell r="C85">
            <v>22.592904261660003</v>
          </cell>
          <cell r="D85">
            <v>4025753</v>
          </cell>
        </row>
        <row r="86">
          <cell r="B86">
            <v>44708</v>
          </cell>
          <cell r="C86">
            <v>22.592904261660003</v>
          </cell>
          <cell r="D86">
            <v>4025753</v>
          </cell>
        </row>
        <row r="87">
          <cell r="B87">
            <v>44709</v>
          </cell>
          <cell r="C87">
            <v>22.592904261660003</v>
          </cell>
          <cell r="D87">
            <v>4025753</v>
          </cell>
        </row>
        <row r="88">
          <cell r="B88">
            <v>44710</v>
          </cell>
          <cell r="C88">
            <v>22.592904261660003</v>
          </cell>
          <cell r="D88">
            <v>4025753</v>
          </cell>
        </row>
        <row r="89">
          <cell r="B89">
            <v>44711</v>
          </cell>
          <cell r="C89">
            <v>24.148421370000001</v>
          </cell>
          <cell r="D89">
            <v>4107425</v>
          </cell>
        </row>
        <row r="90">
          <cell r="B90">
            <v>44712</v>
          </cell>
          <cell r="C90">
            <v>23.799302470319997</v>
          </cell>
          <cell r="D90">
            <v>8827798</v>
          </cell>
        </row>
        <row r="91">
          <cell r="B91">
            <v>44713</v>
          </cell>
          <cell r="C91">
            <v>23.673790390279997</v>
          </cell>
          <cell r="D91">
            <v>2787671</v>
          </cell>
        </row>
        <row r="92">
          <cell r="B92">
            <v>44714</v>
          </cell>
          <cell r="C92">
            <v>23.567652265380001</v>
          </cell>
          <cell r="D92">
            <v>1588089</v>
          </cell>
        </row>
        <row r="93">
          <cell r="B93">
            <v>44715</v>
          </cell>
          <cell r="C93">
            <v>23.459344971500002</v>
          </cell>
          <cell r="D93">
            <v>1386215</v>
          </cell>
        </row>
        <row r="94">
          <cell r="B94">
            <v>44716</v>
          </cell>
          <cell r="C94">
            <v>23.459344971500002</v>
          </cell>
          <cell r="D94">
            <v>1386215</v>
          </cell>
        </row>
        <row r="95">
          <cell r="B95">
            <v>44717</v>
          </cell>
          <cell r="C95">
            <v>23.459344971500002</v>
          </cell>
          <cell r="D95">
            <v>1386215</v>
          </cell>
        </row>
        <row r="96">
          <cell r="B96">
            <v>44718</v>
          </cell>
          <cell r="C96">
            <v>23.459344971500002</v>
          </cell>
          <cell r="D96">
            <v>1386215</v>
          </cell>
        </row>
        <row r="97">
          <cell r="B97">
            <v>44719</v>
          </cell>
          <cell r="C97">
            <v>24.430081818480001</v>
          </cell>
          <cell r="D97">
            <v>2636147</v>
          </cell>
        </row>
        <row r="98">
          <cell r="B98">
            <v>44720</v>
          </cell>
          <cell r="C98">
            <v>24.552412454879995</v>
          </cell>
          <cell r="D98">
            <v>1984670</v>
          </cell>
        </row>
        <row r="99">
          <cell r="B99">
            <v>44721</v>
          </cell>
          <cell r="C99">
            <v>24.166386671279998</v>
          </cell>
          <cell r="D99">
            <v>2113810</v>
          </cell>
        </row>
        <row r="100">
          <cell r="B100">
            <v>44722</v>
          </cell>
          <cell r="C100">
            <v>23.590935868500001</v>
          </cell>
          <cell r="D100">
            <v>1774225</v>
          </cell>
        </row>
        <row r="101">
          <cell r="B101">
            <v>44723</v>
          </cell>
          <cell r="C101">
            <v>23.590935868500001</v>
          </cell>
          <cell r="D101">
            <v>1774225</v>
          </cell>
        </row>
        <row r="102">
          <cell r="B102">
            <v>44724</v>
          </cell>
          <cell r="C102">
            <v>23.590935868500001</v>
          </cell>
          <cell r="D102">
            <v>1774225</v>
          </cell>
        </row>
        <row r="103">
          <cell r="B103">
            <v>44725</v>
          </cell>
          <cell r="C103">
            <v>21.945041746320001</v>
          </cell>
          <cell r="D103">
            <v>3171468</v>
          </cell>
        </row>
        <row r="104">
          <cell r="B104">
            <v>44726</v>
          </cell>
          <cell r="C104">
            <v>21.537624999999998</v>
          </cell>
          <cell r="D104">
            <v>2334180</v>
          </cell>
        </row>
        <row r="105">
          <cell r="B105">
            <v>44727</v>
          </cell>
          <cell r="C105">
            <v>21.786552131400001</v>
          </cell>
          <cell r="D105">
            <v>2861721</v>
          </cell>
        </row>
        <row r="106">
          <cell r="B106">
            <v>44728</v>
          </cell>
          <cell r="C106">
            <v>21.711749858160001</v>
          </cell>
          <cell r="D106">
            <v>2474962</v>
          </cell>
        </row>
        <row r="107">
          <cell r="B107">
            <v>44729</v>
          </cell>
          <cell r="C107">
            <v>21.822855285119999</v>
          </cell>
          <cell r="D107">
            <v>3084552</v>
          </cell>
        </row>
        <row r="108">
          <cell r="B108">
            <v>44730</v>
          </cell>
          <cell r="C108">
            <v>21.822855285119999</v>
          </cell>
          <cell r="D108">
            <v>3084552</v>
          </cell>
        </row>
        <row r="109">
          <cell r="B109">
            <v>44731</v>
          </cell>
          <cell r="C109">
            <v>21.822855285119999</v>
          </cell>
          <cell r="D109">
            <v>3084552</v>
          </cell>
        </row>
        <row r="110">
          <cell r="B110">
            <v>44732</v>
          </cell>
          <cell r="C110">
            <v>23.069366720399998</v>
          </cell>
          <cell r="D110">
            <v>2606043</v>
          </cell>
        </row>
        <row r="111">
          <cell r="B111">
            <v>44733</v>
          </cell>
          <cell r="C111">
            <v>23.421222665280002</v>
          </cell>
          <cell r="D111">
            <v>1812031</v>
          </cell>
        </row>
        <row r="112">
          <cell r="B112">
            <v>44734</v>
          </cell>
          <cell r="C112">
            <v>23.471610696000003</v>
          </cell>
          <cell r="D112">
            <v>2282283</v>
          </cell>
        </row>
        <row r="113">
          <cell r="B113">
            <v>44735</v>
          </cell>
          <cell r="C113">
            <v>22.605435513779998</v>
          </cell>
          <cell r="D113">
            <v>2258571</v>
          </cell>
        </row>
        <row r="114">
          <cell r="B114">
            <v>44736</v>
          </cell>
          <cell r="C114">
            <v>22.114499760499999</v>
          </cell>
          <cell r="D114">
            <v>3189927</v>
          </cell>
        </row>
        <row r="115">
          <cell r="B115">
            <v>44737</v>
          </cell>
          <cell r="C115">
            <v>22.114499760499999</v>
          </cell>
          <cell r="D115">
            <v>3189927</v>
          </cell>
        </row>
        <row r="116">
          <cell r="B116">
            <v>44738</v>
          </cell>
          <cell r="C116">
            <v>22.114499760499999</v>
          </cell>
          <cell r="D116">
            <v>3189927</v>
          </cell>
        </row>
        <row r="117">
          <cell r="B117">
            <v>44739</v>
          </cell>
          <cell r="C117">
            <v>22.588689214960002</v>
          </cell>
          <cell r="D117">
            <v>1890369</v>
          </cell>
        </row>
        <row r="118">
          <cell r="B118">
            <v>44740</v>
          </cell>
          <cell r="C118">
            <v>22.489441929920002</v>
          </cell>
          <cell r="D118">
            <v>1701223</v>
          </cell>
        </row>
        <row r="119">
          <cell r="B119">
            <v>44741</v>
          </cell>
          <cell r="C119">
            <v>21.32433232416</v>
          </cell>
          <cell r="D119">
            <v>3012359</v>
          </cell>
        </row>
        <row r="120">
          <cell r="B120">
            <v>44742</v>
          </cell>
          <cell r="C120">
            <v>20.1472170117</v>
          </cell>
          <cell r="D120">
            <v>3943194</v>
          </cell>
        </row>
        <row r="121">
          <cell r="B121">
            <v>44743</v>
          </cell>
          <cell r="C121">
            <v>20.704915926619996</v>
          </cell>
          <cell r="D121">
            <v>2503237</v>
          </cell>
        </row>
        <row r="122">
          <cell r="B122">
            <v>44744</v>
          </cell>
          <cell r="C122">
            <v>20.704915926619996</v>
          </cell>
          <cell r="D122">
            <v>2503237</v>
          </cell>
        </row>
        <row r="123">
          <cell r="B123">
            <v>44745</v>
          </cell>
          <cell r="C123">
            <v>20.704915926619996</v>
          </cell>
          <cell r="D123">
            <v>2503237</v>
          </cell>
        </row>
        <row r="124">
          <cell r="B124">
            <v>44746</v>
          </cell>
          <cell r="C124">
            <v>20.825233102080002</v>
          </cell>
          <cell r="D124">
            <v>1515803</v>
          </cell>
        </row>
        <row r="125">
          <cell r="B125">
            <v>44747</v>
          </cell>
          <cell r="C125">
            <v>21.092475319139997</v>
          </cell>
          <cell r="D125">
            <v>2463245</v>
          </cell>
        </row>
        <row r="126">
          <cell r="B126">
            <v>44748</v>
          </cell>
          <cell r="C126">
            <v>21.481515861120002</v>
          </cell>
          <cell r="D126">
            <v>2496722</v>
          </cell>
        </row>
        <row r="127">
          <cell r="B127">
            <v>44749</v>
          </cell>
          <cell r="C127">
            <v>22.4034134656</v>
          </cell>
          <cell r="D127">
            <v>3151287</v>
          </cell>
        </row>
        <row r="128">
          <cell r="B128">
            <v>44750</v>
          </cell>
          <cell r="C128">
            <v>22.963079279560002</v>
          </cell>
          <cell r="D128">
            <v>2064300</v>
          </cell>
        </row>
        <row r="129">
          <cell r="B129">
            <v>44751</v>
          </cell>
          <cell r="C129">
            <v>22.963079279560002</v>
          </cell>
          <cell r="D129">
            <v>2064300</v>
          </cell>
        </row>
        <row r="130">
          <cell r="B130">
            <v>44752</v>
          </cell>
          <cell r="C130">
            <v>22.963079279560002</v>
          </cell>
          <cell r="D130">
            <v>2064300</v>
          </cell>
        </row>
        <row r="131">
          <cell r="B131">
            <v>44753</v>
          </cell>
          <cell r="C131">
            <v>23.097741792299999</v>
          </cell>
          <cell r="D131">
            <v>3474053</v>
          </cell>
        </row>
        <row r="132">
          <cell r="B132">
            <v>44754</v>
          </cell>
          <cell r="C132">
            <v>23.604458817179999</v>
          </cell>
          <cell r="D132">
            <v>2593353</v>
          </cell>
        </row>
        <row r="133">
          <cell r="B133">
            <v>44755</v>
          </cell>
          <cell r="C133">
            <v>23.116282452</v>
          </cell>
          <cell r="D133">
            <v>3375769</v>
          </cell>
        </row>
        <row r="134">
          <cell r="B134">
            <v>44756</v>
          </cell>
          <cell r="C134">
            <v>22.466160393599996</v>
          </cell>
          <cell r="D134">
            <v>1886028</v>
          </cell>
        </row>
        <row r="135">
          <cell r="B135">
            <v>44757</v>
          </cell>
          <cell r="C135">
            <v>21.734321092799998</v>
          </cell>
          <cell r="D135">
            <v>6779246</v>
          </cell>
        </row>
        <row r="136">
          <cell r="B136">
            <v>44758</v>
          </cell>
          <cell r="C136">
            <v>21.734321092799998</v>
          </cell>
          <cell r="D136">
            <v>6779246</v>
          </cell>
        </row>
        <row r="137">
          <cell r="B137">
            <v>44759</v>
          </cell>
          <cell r="C137">
            <v>21.734321092799998</v>
          </cell>
          <cell r="D137">
            <v>6779246</v>
          </cell>
        </row>
        <row r="138">
          <cell r="B138">
            <v>44760</v>
          </cell>
          <cell r="C138">
            <v>22.384026883739999</v>
          </cell>
          <cell r="D138">
            <v>1648478</v>
          </cell>
        </row>
        <row r="139">
          <cell r="B139">
            <v>44761</v>
          </cell>
          <cell r="C139">
            <v>22.305055959480001</v>
          </cell>
          <cell r="D139">
            <v>2037246</v>
          </cell>
        </row>
        <row r="140">
          <cell r="B140">
            <v>44762</v>
          </cell>
          <cell r="C140">
            <v>22.917100274800003</v>
          </cell>
          <cell r="D140">
            <v>1370111</v>
          </cell>
        </row>
        <row r="141">
          <cell r="B141">
            <v>44763</v>
          </cell>
          <cell r="C141">
            <v>22.534117238159997</v>
          </cell>
          <cell r="D141">
            <v>1653063</v>
          </cell>
        </row>
        <row r="142">
          <cell r="B142">
            <v>44764</v>
          </cell>
          <cell r="C142">
            <v>23.491747455120002</v>
          </cell>
          <cell r="D142">
            <v>1829870</v>
          </cell>
        </row>
        <row r="143">
          <cell r="B143">
            <v>44765</v>
          </cell>
          <cell r="C143">
            <v>23.491747455120002</v>
          </cell>
          <cell r="D143">
            <v>1829870</v>
          </cell>
        </row>
        <row r="144">
          <cell r="B144">
            <v>44766</v>
          </cell>
          <cell r="C144">
            <v>23.491747455120002</v>
          </cell>
          <cell r="D144">
            <v>1829870</v>
          </cell>
        </row>
        <row r="145">
          <cell r="B145">
            <v>44767</v>
          </cell>
          <cell r="C145">
            <v>22.896871735199998</v>
          </cell>
          <cell r="D145">
            <v>1711415</v>
          </cell>
        </row>
        <row r="146">
          <cell r="B146">
            <v>44768</v>
          </cell>
          <cell r="C146">
            <v>21.656547379399999</v>
          </cell>
          <cell r="D146">
            <v>3713677</v>
          </cell>
        </row>
        <row r="147">
          <cell r="B147">
            <v>44769</v>
          </cell>
          <cell r="C147">
            <v>21.635015746080001</v>
          </cell>
          <cell r="D147">
            <v>1983736</v>
          </cell>
        </row>
        <row r="148">
          <cell r="B148">
            <v>44770</v>
          </cell>
          <cell r="C148">
            <v>25.062600059200001</v>
          </cell>
          <cell r="D148">
            <v>9625103</v>
          </cell>
        </row>
        <row r="149">
          <cell r="B149">
            <v>44771</v>
          </cell>
          <cell r="C149">
            <v>25.46404432884</v>
          </cell>
          <cell r="D149">
            <v>4229816</v>
          </cell>
        </row>
        <row r="150">
          <cell r="B150">
            <v>44772</v>
          </cell>
          <cell r="C150">
            <v>25.46404432884</v>
          </cell>
          <cell r="D150">
            <v>4229816</v>
          </cell>
        </row>
        <row r="151">
          <cell r="B151">
            <v>44773</v>
          </cell>
          <cell r="C151">
            <v>25.46404432884</v>
          </cell>
          <cell r="D151">
            <v>4229816</v>
          </cell>
        </row>
        <row r="152">
          <cell r="B152">
            <v>44774</v>
          </cell>
          <cell r="C152">
            <v>24.962898294040002</v>
          </cell>
          <cell r="D152">
            <v>2242906</v>
          </cell>
        </row>
        <row r="153">
          <cell r="B153">
            <v>44775</v>
          </cell>
          <cell r="C153">
            <v>25.238263412040002</v>
          </cell>
          <cell r="D153">
            <v>2319030</v>
          </cell>
        </row>
        <row r="154">
          <cell r="B154">
            <v>44776</v>
          </cell>
          <cell r="C154">
            <v>24.777422634840001</v>
          </cell>
          <cell r="D154">
            <v>1758727</v>
          </cell>
        </row>
        <row r="155">
          <cell r="B155">
            <v>44777</v>
          </cell>
          <cell r="C155">
            <v>25.462523135440001</v>
          </cell>
          <cell r="D155">
            <v>3089582</v>
          </cell>
        </row>
        <row r="156">
          <cell r="B156">
            <v>44778</v>
          </cell>
          <cell r="C156">
            <v>26.113327594320005</v>
          </cell>
          <cell r="D156">
            <v>3910114</v>
          </cell>
        </row>
        <row r="157">
          <cell r="B157">
            <v>44779</v>
          </cell>
          <cell r="C157">
            <v>26.113327594320005</v>
          </cell>
          <cell r="D157">
            <v>3910114</v>
          </cell>
        </row>
        <row r="158">
          <cell r="B158">
            <v>44780</v>
          </cell>
          <cell r="C158">
            <v>26.113327594320005</v>
          </cell>
          <cell r="D158">
            <v>3910114</v>
          </cell>
        </row>
        <row r="159">
          <cell r="B159">
            <v>44781</v>
          </cell>
          <cell r="C159">
            <v>24.98397353032</v>
          </cell>
          <cell r="D159">
            <v>3604509</v>
          </cell>
        </row>
        <row r="160">
          <cell r="B160">
            <v>44782</v>
          </cell>
          <cell r="C160">
            <v>24.457785351999998</v>
          </cell>
          <cell r="D160">
            <v>2160981</v>
          </cell>
        </row>
        <row r="161">
          <cell r="B161">
            <v>44783</v>
          </cell>
          <cell r="C161">
            <v>26.607599567999998</v>
          </cell>
          <cell r="D161">
            <v>5720078</v>
          </cell>
        </row>
        <row r="162">
          <cell r="B162">
            <v>44784</v>
          </cell>
          <cell r="C162">
            <v>26.892150555599997</v>
          </cell>
          <cell r="D162">
            <v>3286865</v>
          </cell>
        </row>
        <row r="163">
          <cell r="B163">
            <v>44785</v>
          </cell>
          <cell r="C163">
            <v>25.921745447160003</v>
          </cell>
          <cell r="D163">
            <v>3136640</v>
          </cell>
        </row>
        <row r="164">
          <cell r="B164">
            <v>44786</v>
          </cell>
          <cell r="C164">
            <v>25.921745447160003</v>
          </cell>
          <cell r="D164">
            <v>3136640</v>
          </cell>
        </row>
        <row r="165">
          <cell r="B165">
            <v>44787</v>
          </cell>
          <cell r="C165">
            <v>25.921745447160003</v>
          </cell>
          <cell r="D165">
            <v>3136640</v>
          </cell>
        </row>
        <row r="166">
          <cell r="B166">
            <v>44788</v>
          </cell>
          <cell r="C166">
            <v>25.63204021548</v>
          </cell>
          <cell r="D166">
            <v>2144463</v>
          </cell>
        </row>
        <row r="167">
          <cell r="B167">
            <v>44789</v>
          </cell>
          <cell r="C167">
            <v>25.490507638620002</v>
          </cell>
          <cell r="D167">
            <v>2057980</v>
          </cell>
        </row>
        <row r="168">
          <cell r="B168">
            <v>44790</v>
          </cell>
          <cell r="C168">
            <v>26.20045626912</v>
          </cell>
          <cell r="D168">
            <v>2071228</v>
          </cell>
        </row>
        <row r="169">
          <cell r="B169">
            <v>44791</v>
          </cell>
          <cell r="C169">
            <v>25.676674500419999</v>
          </cell>
          <cell r="D169">
            <v>1597451</v>
          </cell>
        </row>
        <row r="170">
          <cell r="B170">
            <v>44792</v>
          </cell>
          <cell r="C170">
            <v>25.756472964559997</v>
          </cell>
          <cell r="D170">
            <v>2098486</v>
          </cell>
        </row>
        <row r="171">
          <cell r="B171">
            <v>44793</v>
          </cell>
          <cell r="C171">
            <v>25.756472964559997</v>
          </cell>
          <cell r="D171">
            <v>2098486</v>
          </cell>
        </row>
        <row r="172">
          <cell r="B172">
            <v>44794</v>
          </cell>
          <cell r="C172">
            <v>25.756472964559997</v>
          </cell>
          <cell r="D172">
            <v>2098486</v>
          </cell>
        </row>
        <row r="173">
          <cell r="B173">
            <v>44795</v>
          </cell>
          <cell r="C173">
            <v>25.25913278562</v>
          </cell>
          <cell r="D173">
            <v>1490466</v>
          </cell>
        </row>
        <row r="174">
          <cell r="B174">
            <v>44796</v>
          </cell>
          <cell r="C174">
            <v>25.086902764199998</v>
          </cell>
          <cell r="D174">
            <v>1915501</v>
          </cell>
        </row>
        <row r="175">
          <cell r="B175">
            <v>44797</v>
          </cell>
          <cell r="C175">
            <v>25.389698164600006</v>
          </cell>
          <cell r="D175">
            <v>1856647</v>
          </cell>
        </row>
        <row r="176">
          <cell r="B176">
            <v>44798</v>
          </cell>
          <cell r="C176">
            <v>25.944183181620001</v>
          </cell>
          <cell r="D176">
            <v>1381873</v>
          </cell>
        </row>
        <row r="177">
          <cell r="B177">
            <v>44799</v>
          </cell>
          <cell r="C177">
            <v>25.577533624320001</v>
          </cell>
          <cell r="D177">
            <v>2095658</v>
          </cell>
        </row>
        <row r="178">
          <cell r="B178">
            <v>44800</v>
          </cell>
          <cell r="C178">
            <v>25.577533624320001</v>
          </cell>
          <cell r="D178">
            <v>2095658</v>
          </cell>
        </row>
        <row r="179">
          <cell r="B179">
            <v>44801</v>
          </cell>
          <cell r="C179">
            <v>25.577533624320001</v>
          </cell>
          <cell r="D179">
            <v>2095658</v>
          </cell>
        </row>
        <row r="180">
          <cell r="B180">
            <v>44802</v>
          </cell>
          <cell r="C180">
            <v>24.6595154036</v>
          </cell>
          <cell r="D180">
            <v>1407885</v>
          </cell>
        </row>
        <row r="181">
          <cell r="B181">
            <v>44803</v>
          </cell>
          <cell r="C181">
            <v>25.145686917999999</v>
          </cell>
          <cell r="D181">
            <v>1662845</v>
          </cell>
        </row>
        <row r="182">
          <cell r="B182">
            <v>44804</v>
          </cell>
          <cell r="C182">
            <v>25.0636134684</v>
          </cell>
          <cell r="D182">
            <v>2704782</v>
          </cell>
        </row>
        <row r="183">
          <cell r="B183">
            <v>44805</v>
          </cell>
          <cell r="C183">
            <v>23.496829597639998</v>
          </cell>
          <cell r="D183">
            <v>2970826</v>
          </cell>
        </row>
        <row r="184">
          <cell r="B184">
            <v>44806</v>
          </cell>
          <cell r="C184">
            <v>24.202111860000002</v>
          </cell>
          <cell r="D184">
            <v>2220191</v>
          </cell>
        </row>
        <row r="185">
          <cell r="B185">
            <v>44807</v>
          </cell>
          <cell r="C185">
            <v>24.202111860000002</v>
          </cell>
          <cell r="D185">
            <v>2220191</v>
          </cell>
        </row>
        <row r="186">
          <cell r="B186">
            <v>44808</v>
          </cell>
          <cell r="C186">
            <v>24.202111860000002</v>
          </cell>
          <cell r="D186">
            <v>2220191</v>
          </cell>
        </row>
        <row r="187">
          <cell r="B187">
            <v>44809</v>
          </cell>
          <cell r="C187">
            <v>24.734062681880001</v>
          </cell>
          <cell r="D187">
            <v>1826962</v>
          </cell>
        </row>
        <row r="188">
          <cell r="B188">
            <v>44810</v>
          </cell>
          <cell r="C188">
            <v>23.6122557644</v>
          </cell>
          <cell r="D188">
            <v>2488198</v>
          </cell>
        </row>
        <row r="189">
          <cell r="B189">
            <v>44811</v>
          </cell>
          <cell r="C189">
            <v>23.887127383440003</v>
          </cell>
          <cell r="D189">
            <v>2212547</v>
          </cell>
        </row>
        <row r="190">
          <cell r="B190">
            <v>44812</v>
          </cell>
          <cell r="C190">
            <v>24.492359789379996</v>
          </cell>
          <cell r="D190">
            <v>1972954</v>
          </cell>
        </row>
        <row r="191">
          <cell r="B191">
            <v>44813</v>
          </cell>
          <cell r="C191">
            <v>24.48824694012</v>
          </cell>
          <cell r="D191">
            <v>1559424</v>
          </cell>
        </row>
        <row r="192">
          <cell r="B192">
            <v>44814</v>
          </cell>
          <cell r="C192">
            <v>24.48824694012</v>
          </cell>
          <cell r="D192">
            <v>1559424</v>
          </cell>
        </row>
        <row r="193">
          <cell r="B193">
            <v>44815</v>
          </cell>
          <cell r="C193">
            <v>24.48824694012</v>
          </cell>
          <cell r="D193">
            <v>1559424</v>
          </cell>
        </row>
        <row r="194">
          <cell r="B194">
            <v>44816</v>
          </cell>
          <cell r="C194">
            <v>24.653756567640002</v>
          </cell>
          <cell r="D194">
            <v>1393404</v>
          </cell>
        </row>
        <row r="195">
          <cell r="B195">
            <v>44817</v>
          </cell>
          <cell r="C195">
            <v>23.598715608000003</v>
          </cell>
          <cell r="D195">
            <v>1777158</v>
          </cell>
        </row>
        <row r="196">
          <cell r="B196">
            <v>44818</v>
          </cell>
          <cell r="C196">
            <v>23.324537927880002</v>
          </cell>
          <cell r="D196">
            <v>2877834</v>
          </cell>
        </row>
        <row r="197">
          <cell r="B197">
            <v>44819</v>
          </cell>
          <cell r="C197">
            <v>22.653725103359996</v>
          </cell>
          <cell r="D197">
            <v>2245640</v>
          </cell>
        </row>
        <row r="198">
          <cell r="B198">
            <v>44820</v>
          </cell>
          <cell r="C198">
            <v>21.88858562898</v>
          </cell>
          <cell r="D198">
            <v>4156145</v>
          </cell>
        </row>
        <row r="199">
          <cell r="B199">
            <v>44821</v>
          </cell>
          <cell r="C199">
            <v>21.88858562898</v>
          </cell>
          <cell r="D199">
            <v>4156145</v>
          </cell>
        </row>
        <row r="200">
          <cell r="B200">
            <v>44822</v>
          </cell>
          <cell r="C200">
            <v>21.88858562898</v>
          </cell>
          <cell r="D200">
            <v>4156145</v>
          </cell>
        </row>
        <row r="201">
          <cell r="B201">
            <v>44823</v>
          </cell>
          <cell r="C201">
            <v>20.8004646696</v>
          </cell>
          <cell r="D201">
            <v>2152368</v>
          </cell>
        </row>
        <row r="202">
          <cell r="B202">
            <v>44824</v>
          </cell>
          <cell r="C202">
            <v>20.298538227199998</v>
          </cell>
          <cell r="D202">
            <v>2853891</v>
          </cell>
        </row>
        <row r="203">
          <cell r="B203">
            <v>44825</v>
          </cell>
          <cell r="C203">
            <v>21.114377651039998</v>
          </cell>
          <cell r="D203">
            <v>2448986</v>
          </cell>
        </row>
        <row r="204">
          <cell r="B204">
            <v>44826</v>
          </cell>
          <cell r="C204">
            <v>20.208171587239999</v>
          </cell>
          <cell r="D204">
            <v>2312215</v>
          </cell>
        </row>
        <row r="205">
          <cell r="B205">
            <v>44827</v>
          </cell>
          <cell r="C205">
            <v>20.151781200040002</v>
          </cell>
          <cell r="D205">
            <v>2172648</v>
          </cell>
        </row>
        <row r="206">
          <cell r="B206">
            <v>44828</v>
          </cell>
          <cell r="C206">
            <v>20.151781200040002</v>
          </cell>
          <cell r="D206">
            <v>2172648</v>
          </cell>
        </row>
        <row r="207">
          <cell r="B207">
            <v>44829</v>
          </cell>
          <cell r="C207">
            <v>20.151781200040002</v>
          </cell>
          <cell r="D207">
            <v>2172648</v>
          </cell>
        </row>
        <row r="208">
          <cell r="B208">
            <v>44830</v>
          </cell>
          <cell r="C208">
            <v>19.919825773119999</v>
          </cell>
          <cell r="D208">
            <v>2238762</v>
          </cell>
        </row>
        <row r="209">
          <cell r="B209">
            <v>44831</v>
          </cell>
          <cell r="C209">
            <v>20.02314932514</v>
          </cell>
          <cell r="D209">
            <v>3302872</v>
          </cell>
        </row>
        <row r="210">
          <cell r="B210">
            <v>44832</v>
          </cell>
          <cell r="C210">
            <v>19.775758769839999</v>
          </cell>
          <cell r="D210">
            <v>3113553</v>
          </cell>
        </row>
        <row r="211">
          <cell r="B211">
            <v>44833</v>
          </cell>
          <cell r="C211">
            <v>18.665612546559998</v>
          </cell>
          <cell r="D211">
            <v>2827136</v>
          </cell>
        </row>
        <row r="212">
          <cell r="B212">
            <v>44834</v>
          </cell>
          <cell r="C212">
            <v>19.04407985552</v>
          </cell>
          <cell r="D212">
            <v>3015612</v>
          </cell>
        </row>
        <row r="213">
          <cell r="B213">
            <v>44835</v>
          </cell>
          <cell r="C213">
            <v>19.04407985552</v>
          </cell>
          <cell r="D213">
            <v>3015612</v>
          </cell>
        </row>
        <row r="214">
          <cell r="B214">
            <v>44836</v>
          </cell>
          <cell r="C214">
            <v>19.04407985552</v>
          </cell>
          <cell r="D214">
            <v>3015612</v>
          </cell>
        </row>
        <row r="215">
          <cell r="B215">
            <v>44837</v>
          </cell>
          <cell r="C215">
            <v>18.9839349282</v>
          </cell>
          <cell r="D215">
            <v>3717186</v>
          </cell>
        </row>
        <row r="216">
          <cell r="B216">
            <v>44838</v>
          </cell>
          <cell r="C216">
            <v>20.048062488300001</v>
          </cell>
          <cell r="D216">
            <v>2879848</v>
          </cell>
        </row>
        <row r="217">
          <cell r="B217">
            <v>44839</v>
          </cell>
          <cell r="C217">
            <v>19.306267248799998</v>
          </cell>
          <cell r="D217">
            <v>2589236</v>
          </cell>
        </row>
        <row r="218">
          <cell r="B218">
            <v>44840</v>
          </cell>
          <cell r="C218">
            <v>18.980774978100001</v>
          </cell>
          <cell r="D218">
            <v>2200589</v>
          </cell>
        </row>
        <row r="219">
          <cell r="B219">
            <v>44841</v>
          </cell>
          <cell r="C219">
            <v>18.601133283259998</v>
          </cell>
          <cell r="D219">
            <v>2054126</v>
          </cell>
        </row>
        <row r="220">
          <cell r="B220">
            <v>44842</v>
          </cell>
          <cell r="C220">
            <v>18.601133283259998</v>
          </cell>
          <cell r="D220">
            <v>2054126</v>
          </cell>
        </row>
        <row r="221">
          <cell r="B221">
            <v>44843</v>
          </cell>
          <cell r="C221">
            <v>18.601133283259998</v>
          </cell>
          <cell r="D221">
            <v>2054126</v>
          </cell>
        </row>
        <row r="222">
          <cell r="B222">
            <v>44844</v>
          </cell>
          <cell r="C222">
            <v>18.438600811319997</v>
          </cell>
          <cell r="D222">
            <v>2060745</v>
          </cell>
        </row>
        <row r="223">
          <cell r="B223">
            <v>44845</v>
          </cell>
          <cell r="C223">
            <v>18.143339039999997</v>
          </cell>
          <cell r="D223">
            <v>2001158</v>
          </cell>
        </row>
        <row r="224">
          <cell r="B224">
            <v>44846</v>
          </cell>
          <cell r="C224">
            <v>18.148245750000001</v>
          </cell>
          <cell r="D224">
            <v>3143873</v>
          </cell>
        </row>
        <row r="225">
          <cell r="B225">
            <v>44847</v>
          </cell>
          <cell r="C225">
            <v>18.132084976800002</v>
          </cell>
          <cell r="D225">
            <v>2919316</v>
          </cell>
        </row>
        <row r="226">
          <cell r="B226">
            <v>44848</v>
          </cell>
          <cell r="C226">
            <v>18.92656441542</v>
          </cell>
          <cell r="D226">
            <v>2825674</v>
          </cell>
        </row>
        <row r="227">
          <cell r="B227">
            <v>44849</v>
          </cell>
          <cell r="C227">
            <v>18.92656441542</v>
          </cell>
          <cell r="D227">
            <v>2825674</v>
          </cell>
        </row>
        <row r="228">
          <cell r="B228">
            <v>44850</v>
          </cell>
          <cell r="C228">
            <v>18.92656441542</v>
          </cell>
          <cell r="D228">
            <v>2825674</v>
          </cell>
        </row>
        <row r="229">
          <cell r="B229">
            <v>44851</v>
          </cell>
          <cell r="C229">
            <v>19.037423060399998</v>
          </cell>
          <cell r="D229">
            <v>1877711</v>
          </cell>
        </row>
        <row r="230">
          <cell r="B230">
            <v>44852</v>
          </cell>
          <cell r="C230">
            <v>19.595209888799996</v>
          </cell>
          <cell r="D230">
            <v>1845773</v>
          </cell>
        </row>
        <row r="231">
          <cell r="B231">
            <v>44853</v>
          </cell>
          <cell r="C231">
            <v>19.406858635100001</v>
          </cell>
          <cell r="D231">
            <v>1517898</v>
          </cell>
        </row>
        <row r="232">
          <cell r="B232">
            <v>44854</v>
          </cell>
          <cell r="C232">
            <v>19.058648189099998</v>
          </cell>
          <cell r="D232">
            <v>1739926</v>
          </cell>
        </row>
        <row r="233">
          <cell r="B233">
            <v>44855</v>
          </cell>
          <cell r="C233">
            <v>18.847516273799997</v>
          </cell>
          <cell r="D233">
            <v>6235837</v>
          </cell>
        </row>
        <row r="234">
          <cell r="B234">
            <v>44856</v>
          </cell>
          <cell r="C234">
            <v>18.847516273799997</v>
          </cell>
          <cell r="D234">
            <v>6235837</v>
          </cell>
        </row>
        <row r="235">
          <cell r="B235">
            <v>44857</v>
          </cell>
          <cell r="C235">
            <v>18.847516273799997</v>
          </cell>
          <cell r="D235">
            <v>6235837</v>
          </cell>
        </row>
        <row r="236">
          <cell r="B236">
            <v>44858</v>
          </cell>
          <cell r="C236">
            <v>19.277939565</v>
          </cell>
          <cell r="D236">
            <v>1653790</v>
          </cell>
        </row>
        <row r="237">
          <cell r="B237">
            <v>44859</v>
          </cell>
          <cell r="C237">
            <v>19.222620559999999</v>
          </cell>
          <cell r="D237">
            <v>2904368</v>
          </cell>
        </row>
        <row r="238">
          <cell r="B238">
            <v>44860</v>
          </cell>
          <cell r="C238">
            <v>20.375764521000001</v>
          </cell>
          <cell r="D238">
            <v>2253919</v>
          </cell>
        </row>
        <row r="239">
          <cell r="B239">
            <v>44861</v>
          </cell>
          <cell r="C239">
            <v>20.367164140500002</v>
          </cell>
          <cell r="D239">
            <v>1833847</v>
          </cell>
        </row>
        <row r="240">
          <cell r="B240">
            <v>44862</v>
          </cell>
          <cell r="C240">
            <v>19.966570198199999</v>
          </cell>
          <cell r="D240">
            <v>1308511</v>
          </cell>
        </row>
        <row r="241">
          <cell r="B241">
            <v>44863</v>
          </cell>
          <cell r="C241">
            <v>19.966570198199999</v>
          </cell>
          <cell r="D241">
            <v>1308511</v>
          </cell>
        </row>
        <row r="242">
          <cell r="B242">
            <v>44864</v>
          </cell>
          <cell r="C242">
            <v>19.966570198199999</v>
          </cell>
          <cell r="D242">
            <v>1308511</v>
          </cell>
        </row>
        <row r="243">
          <cell r="B243">
            <v>44865</v>
          </cell>
          <cell r="C243">
            <v>19.938419269999997</v>
          </cell>
          <cell r="D243">
            <v>2397885</v>
          </cell>
        </row>
        <row r="244">
          <cell r="B244">
            <v>44866</v>
          </cell>
          <cell r="C244">
            <v>20.139358950000002</v>
          </cell>
          <cell r="D244">
            <v>2506377</v>
          </cell>
        </row>
        <row r="245">
          <cell r="B245">
            <v>44867</v>
          </cell>
          <cell r="C245">
            <v>21.10301839672</v>
          </cell>
          <cell r="D245">
            <v>7144693</v>
          </cell>
        </row>
        <row r="246">
          <cell r="B246">
            <v>44868</v>
          </cell>
          <cell r="C246">
            <v>21.453948634859998</v>
          </cell>
          <cell r="D246">
            <v>3795153</v>
          </cell>
        </row>
        <row r="247">
          <cell r="B247">
            <v>44869</v>
          </cell>
          <cell r="C247">
            <v>20.743183600880002</v>
          </cell>
          <cell r="D247">
            <v>2492992</v>
          </cell>
        </row>
        <row r="248">
          <cell r="B248">
            <v>44870</v>
          </cell>
          <cell r="C248">
            <v>20.743183600880002</v>
          </cell>
          <cell r="D248">
            <v>2492992</v>
          </cell>
        </row>
        <row r="249">
          <cell r="B249">
            <v>44871</v>
          </cell>
          <cell r="C249">
            <v>20.743183600880002</v>
          </cell>
          <cell r="D249">
            <v>2492992</v>
          </cell>
        </row>
        <row r="250">
          <cell r="B250">
            <v>44872</v>
          </cell>
          <cell r="C250">
            <v>21.665872784880001</v>
          </cell>
          <cell r="D250">
            <v>2324819</v>
          </cell>
        </row>
        <row r="251">
          <cell r="B251">
            <v>44873</v>
          </cell>
          <cell r="C251">
            <v>22.606204327199997</v>
          </cell>
          <cell r="D251">
            <v>3264811</v>
          </cell>
        </row>
        <row r="252">
          <cell r="B252">
            <v>44874</v>
          </cell>
          <cell r="C252">
            <v>22.510556820000001</v>
          </cell>
          <cell r="D252">
            <v>2509701</v>
          </cell>
        </row>
        <row r="253">
          <cell r="B253">
            <v>44875</v>
          </cell>
          <cell r="C253">
            <v>25.174144172279995</v>
          </cell>
          <cell r="D253">
            <v>4983615</v>
          </cell>
        </row>
        <row r="254">
          <cell r="B254">
            <v>44876</v>
          </cell>
          <cell r="C254">
            <v>24.557603508899998</v>
          </cell>
          <cell r="D254">
            <v>3133369</v>
          </cell>
        </row>
        <row r="255">
          <cell r="B255">
            <v>44877</v>
          </cell>
          <cell r="C255">
            <v>24.557603508899998</v>
          </cell>
          <cell r="D255">
            <v>3133369</v>
          </cell>
        </row>
        <row r="256">
          <cell r="B256">
            <v>44878</v>
          </cell>
          <cell r="C256">
            <v>24.557603508899998</v>
          </cell>
          <cell r="D256">
            <v>3133369</v>
          </cell>
        </row>
        <row r="257">
          <cell r="B257">
            <v>44879</v>
          </cell>
          <cell r="C257">
            <v>23.662919718620003</v>
          </cell>
          <cell r="D257">
            <v>3024088</v>
          </cell>
        </row>
        <row r="258">
          <cell r="B258">
            <v>44880</v>
          </cell>
          <cell r="C258">
            <v>24.314115699999999</v>
          </cell>
          <cell r="D258">
            <v>2525238</v>
          </cell>
        </row>
        <row r="259">
          <cell r="B259">
            <v>44881</v>
          </cell>
          <cell r="C259">
            <v>23.423072012960002</v>
          </cell>
          <cell r="D259">
            <v>1625258</v>
          </cell>
        </row>
        <row r="260">
          <cell r="B260">
            <v>44882</v>
          </cell>
          <cell r="C260">
            <v>23.491985198400002</v>
          </cell>
          <cell r="D260">
            <v>2197756</v>
          </cell>
        </row>
        <row r="261">
          <cell r="B261">
            <v>44883</v>
          </cell>
          <cell r="C261">
            <v>23.289642777120001</v>
          </cell>
          <cell r="D261">
            <v>2470984</v>
          </cell>
        </row>
        <row r="262">
          <cell r="B262">
            <v>44884</v>
          </cell>
          <cell r="C262">
            <v>23.289642777120001</v>
          </cell>
          <cell r="D262">
            <v>2470984</v>
          </cell>
        </row>
        <row r="263">
          <cell r="B263">
            <v>44885</v>
          </cell>
          <cell r="C263">
            <v>23.289642777120001</v>
          </cell>
          <cell r="D263">
            <v>2470984</v>
          </cell>
        </row>
        <row r="264">
          <cell r="B264">
            <v>44886</v>
          </cell>
          <cell r="C264">
            <v>22.79539507658</v>
          </cell>
          <cell r="D264">
            <v>1973895</v>
          </cell>
        </row>
        <row r="265">
          <cell r="B265">
            <v>44887</v>
          </cell>
          <cell r="C265">
            <v>23.401000454940004</v>
          </cell>
          <cell r="D265">
            <v>1396496</v>
          </cell>
        </row>
        <row r="266">
          <cell r="B266">
            <v>44888</v>
          </cell>
          <cell r="C266">
            <v>23.861571192500001</v>
          </cell>
          <cell r="D266">
            <v>1415935</v>
          </cell>
        </row>
        <row r="267">
          <cell r="B267">
            <v>44889</v>
          </cell>
          <cell r="C267">
            <v>24.545661672160001</v>
          </cell>
          <cell r="D267">
            <v>1672175</v>
          </cell>
        </row>
        <row r="268">
          <cell r="B268">
            <v>44890</v>
          </cell>
          <cell r="C268">
            <v>24.0024246525</v>
          </cell>
          <cell r="D268">
            <v>1301643</v>
          </cell>
        </row>
        <row r="269">
          <cell r="B269">
            <v>44891</v>
          </cell>
          <cell r="C269">
            <v>24.0024246525</v>
          </cell>
          <cell r="D269">
            <v>1301643</v>
          </cell>
        </row>
        <row r="270">
          <cell r="B270">
            <v>44892</v>
          </cell>
          <cell r="C270">
            <v>24.0024246525</v>
          </cell>
          <cell r="D270">
            <v>1301643</v>
          </cell>
        </row>
        <row r="271">
          <cell r="B271">
            <v>44893</v>
          </cell>
          <cell r="C271">
            <v>23.521151306</v>
          </cell>
          <cell r="D271">
            <v>1544042</v>
          </cell>
        </row>
        <row r="272">
          <cell r="B272">
            <v>44894</v>
          </cell>
          <cell r="C272">
            <v>23.677828175280005</v>
          </cell>
          <cell r="D272">
            <v>1745225</v>
          </cell>
        </row>
        <row r="273">
          <cell r="B273">
            <v>44895</v>
          </cell>
          <cell r="C273">
            <v>24.130716879420003</v>
          </cell>
          <cell r="D273">
            <v>6111532</v>
          </cell>
        </row>
        <row r="274">
          <cell r="B274">
            <v>44896</v>
          </cell>
          <cell r="C274">
            <v>24.36524682644</v>
          </cell>
          <cell r="D274">
            <v>2454408</v>
          </cell>
        </row>
        <row r="275">
          <cell r="B275">
            <v>44897</v>
          </cell>
          <cell r="C275">
            <v>24.755402401280001</v>
          </cell>
          <cell r="D275">
            <v>2013681</v>
          </cell>
        </row>
        <row r="276">
          <cell r="B276">
            <v>44898</v>
          </cell>
          <cell r="C276">
            <v>24.755402401280001</v>
          </cell>
          <cell r="D276">
            <v>2013681</v>
          </cell>
        </row>
        <row r="277">
          <cell r="B277">
            <v>44899</v>
          </cell>
          <cell r="C277">
            <v>24.755402401280001</v>
          </cell>
          <cell r="D277">
            <v>2013681</v>
          </cell>
        </row>
        <row r="278">
          <cell r="B278">
            <v>44900</v>
          </cell>
          <cell r="C278">
            <v>25.413262055999997</v>
          </cell>
          <cell r="D278">
            <v>2000412</v>
          </cell>
        </row>
        <row r="279">
          <cell r="B279">
            <v>44901</v>
          </cell>
          <cell r="C279">
            <v>25.135578821279999</v>
          </cell>
          <cell r="D279">
            <v>1340636</v>
          </cell>
        </row>
        <row r="280">
          <cell r="B280">
            <v>44902</v>
          </cell>
          <cell r="C280">
            <v>24.964117660239999</v>
          </cell>
          <cell r="D280">
            <v>1587132</v>
          </cell>
        </row>
        <row r="281">
          <cell r="B281">
            <v>44903</v>
          </cell>
          <cell r="C281">
            <v>25.677562308999999</v>
          </cell>
          <cell r="D281">
            <v>1951679</v>
          </cell>
        </row>
        <row r="282">
          <cell r="B282">
            <v>44904</v>
          </cell>
          <cell r="C282">
            <v>27.332155167500002</v>
          </cell>
          <cell r="D282">
            <v>3616554</v>
          </cell>
        </row>
        <row r="283">
          <cell r="B283">
            <v>44905</v>
          </cell>
          <cell r="C283">
            <v>27.332155167500002</v>
          </cell>
          <cell r="D283">
            <v>3616554</v>
          </cell>
        </row>
        <row r="284">
          <cell r="B284">
            <v>44906</v>
          </cell>
          <cell r="C284">
            <v>27.332155167500002</v>
          </cell>
          <cell r="D284">
            <v>3616554</v>
          </cell>
        </row>
        <row r="285">
          <cell r="B285">
            <v>44907</v>
          </cell>
          <cell r="C285">
            <v>27.252685246750001</v>
          </cell>
          <cell r="D285">
            <v>1617543</v>
          </cell>
        </row>
        <row r="286">
          <cell r="B286">
            <v>44908</v>
          </cell>
          <cell r="C286">
            <v>27.626101129550001</v>
          </cell>
          <cell r="D286">
            <v>2429029</v>
          </cell>
        </row>
        <row r="287">
          <cell r="B287">
            <v>44909</v>
          </cell>
          <cell r="C287">
            <v>27.685030786949998</v>
          </cell>
          <cell r="D287">
            <v>1826620</v>
          </cell>
        </row>
        <row r="288">
          <cell r="B288">
            <v>44910</v>
          </cell>
          <cell r="C288">
            <v>27.108631022099999</v>
          </cell>
          <cell r="D288">
            <v>1891757</v>
          </cell>
        </row>
        <row r="289">
          <cell r="B289">
            <v>44911</v>
          </cell>
          <cell r="C289">
            <v>26.03190811452</v>
          </cell>
          <cell r="D289">
            <v>3711356</v>
          </cell>
        </row>
        <row r="290">
          <cell r="B290">
            <v>44912</v>
          </cell>
          <cell r="C290">
            <v>26.03190811452</v>
          </cell>
          <cell r="D290">
            <v>3711356</v>
          </cell>
        </row>
        <row r="291">
          <cell r="B291">
            <v>44913</v>
          </cell>
          <cell r="C291">
            <v>26.03190811452</v>
          </cell>
          <cell r="D291">
            <v>3711356</v>
          </cell>
        </row>
        <row r="292">
          <cell r="B292">
            <v>44914</v>
          </cell>
          <cell r="C292">
            <v>26.45345475864</v>
          </cell>
          <cell r="D292">
            <v>1172158</v>
          </cell>
        </row>
        <row r="293">
          <cell r="B293">
            <v>44915</v>
          </cell>
          <cell r="C293">
            <v>25.676578277000001</v>
          </cell>
          <cell r="D293">
            <v>2206281</v>
          </cell>
        </row>
        <row r="294">
          <cell r="B294">
            <v>44916</v>
          </cell>
          <cell r="C294">
            <v>26.043979329759999</v>
          </cell>
          <cell r="D294">
            <v>1343059</v>
          </cell>
        </row>
        <row r="295">
          <cell r="B295">
            <v>44917</v>
          </cell>
          <cell r="C295">
            <v>26.388902631520001</v>
          </cell>
          <cell r="D295">
            <v>1501185</v>
          </cell>
        </row>
        <row r="296">
          <cell r="B296">
            <v>44918</v>
          </cell>
          <cell r="C296">
            <v>26.655321456959999</v>
          </cell>
          <cell r="D296">
            <v>1026423</v>
          </cell>
        </row>
        <row r="297">
          <cell r="B297">
            <v>44919</v>
          </cell>
          <cell r="C297">
            <v>26.655321456959999</v>
          </cell>
          <cell r="D297">
            <v>1026423</v>
          </cell>
        </row>
        <row r="298">
          <cell r="B298">
            <v>44920</v>
          </cell>
          <cell r="C298">
            <v>26.655321456959999</v>
          </cell>
          <cell r="D298">
            <v>1026423</v>
          </cell>
        </row>
        <row r="299">
          <cell r="B299">
            <v>44921</v>
          </cell>
          <cell r="C299">
            <v>26.655321456959999</v>
          </cell>
          <cell r="D299">
            <v>1026423</v>
          </cell>
        </row>
        <row r="300">
          <cell r="B300">
            <v>44922</v>
          </cell>
          <cell r="C300">
            <v>27.035494896399999</v>
          </cell>
          <cell r="D300">
            <v>1037385</v>
          </cell>
        </row>
        <row r="301">
          <cell r="B301">
            <v>44923</v>
          </cell>
          <cell r="C301">
            <v>26.854030242299999</v>
          </cell>
          <cell r="D301">
            <v>1194200</v>
          </cell>
        </row>
        <row r="302">
          <cell r="B302">
            <v>44924</v>
          </cell>
          <cell r="C302">
            <v>27.399720331249998</v>
          </cell>
          <cell r="D302">
            <v>1388083</v>
          </cell>
        </row>
        <row r="303">
          <cell r="B303">
            <v>44925</v>
          </cell>
          <cell r="C303">
            <v>27.181443137799999</v>
          </cell>
          <cell r="D303">
            <v>1393174</v>
          </cell>
        </row>
        <row r="304">
          <cell r="B304">
            <v>44926</v>
          </cell>
          <cell r="C304">
            <v>27.181443137799999</v>
          </cell>
          <cell r="D304">
            <v>1393174</v>
          </cell>
        </row>
        <row r="305">
          <cell r="B305">
            <v>44927</v>
          </cell>
          <cell r="C305">
            <v>27.181443137799999</v>
          </cell>
          <cell r="D305">
            <v>1393174</v>
          </cell>
        </row>
        <row r="306">
          <cell r="B306">
            <v>44928</v>
          </cell>
          <cell r="C306">
            <v>27.1108233506</v>
          </cell>
          <cell r="D306">
            <v>1497966</v>
          </cell>
        </row>
        <row r="307">
          <cell r="B307">
            <v>44929</v>
          </cell>
          <cell r="C307">
            <v>26.983028726500002</v>
          </cell>
          <cell r="D307">
            <v>2033979</v>
          </cell>
        </row>
        <row r="308">
          <cell r="B308">
            <v>44930</v>
          </cell>
          <cell r="C308">
            <v>25.756123942240002</v>
          </cell>
          <cell r="D308">
            <v>3522487</v>
          </cell>
        </row>
        <row r="309">
          <cell r="B309">
            <v>44931</v>
          </cell>
          <cell r="C309">
            <v>26.166678831999995</v>
          </cell>
          <cell r="D309">
            <v>2156222</v>
          </cell>
        </row>
        <row r="310">
          <cell r="B310">
            <v>44932</v>
          </cell>
          <cell r="C310">
            <v>26.898746605899998</v>
          </cell>
          <cell r="D310">
            <v>1788979</v>
          </cell>
        </row>
        <row r="311">
          <cell r="B311">
            <v>44933</v>
          </cell>
          <cell r="C311">
            <v>26.898746605899998</v>
          </cell>
          <cell r="D311">
            <v>1788979</v>
          </cell>
        </row>
        <row r="312">
          <cell r="B312">
            <v>44934</v>
          </cell>
          <cell r="C312">
            <v>26.898746605899998</v>
          </cell>
          <cell r="D312">
            <v>1788979</v>
          </cell>
        </row>
        <row r="313">
          <cell r="B313">
            <v>44935</v>
          </cell>
          <cell r="C313">
            <v>27.27356122095</v>
          </cell>
          <cell r="D313">
            <v>1845235</v>
          </cell>
        </row>
        <row r="314">
          <cell r="B314">
            <v>44936</v>
          </cell>
          <cell r="C314">
            <v>26.7166241804</v>
          </cell>
          <cell r="D314">
            <v>1901926</v>
          </cell>
        </row>
        <row r="315">
          <cell r="B315">
            <v>44937</v>
          </cell>
          <cell r="C315">
            <v>28.328805894200002</v>
          </cell>
          <cell r="D315">
            <v>3069455</v>
          </cell>
        </row>
        <row r="316">
          <cell r="B316">
            <v>44938</v>
          </cell>
          <cell r="C316">
            <v>28.755896976900001</v>
          </cell>
          <cell r="D316">
            <v>2203570</v>
          </cell>
        </row>
        <row r="317">
          <cell r="B317">
            <v>44939</v>
          </cell>
          <cell r="C317">
            <v>28.809859172100001</v>
          </cell>
          <cell r="D317">
            <v>1659760</v>
          </cell>
        </row>
        <row r="318">
          <cell r="B318">
            <v>44940</v>
          </cell>
          <cell r="C318">
            <v>28.809859172100001</v>
          </cell>
          <cell r="D318">
            <v>1659760</v>
          </cell>
        </row>
        <row r="319">
          <cell r="B319">
            <v>44941</v>
          </cell>
          <cell r="C319">
            <v>28.809859172100001</v>
          </cell>
          <cell r="D319">
            <v>1659760</v>
          </cell>
        </row>
        <row r="320">
          <cell r="B320">
            <v>44942</v>
          </cell>
          <cell r="C320">
            <v>29.062341241999999</v>
          </cell>
          <cell r="D320">
            <v>1752920</v>
          </cell>
        </row>
        <row r="321">
          <cell r="B321">
            <v>44943</v>
          </cell>
          <cell r="C321">
            <v>28.7561545125</v>
          </cell>
          <cell r="D321">
            <v>2628689</v>
          </cell>
        </row>
        <row r="322">
          <cell r="B322">
            <v>44944</v>
          </cell>
          <cell r="C322">
            <v>28.310350208399996</v>
          </cell>
          <cell r="D322">
            <v>2084874</v>
          </cell>
        </row>
        <row r="323">
          <cell r="B323">
            <v>44945</v>
          </cell>
          <cell r="C323">
            <v>27.035690865300001</v>
          </cell>
          <cell r="D323">
            <v>3039082</v>
          </cell>
        </row>
        <row r="324">
          <cell r="B324">
            <v>44946</v>
          </cell>
          <cell r="C324">
            <v>27.161266302000005</v>
          </cell>
          <cell r="D324">
            <v>15295202</v>
          </cell>
        </row>
        <row r="325">
          <cell r="B325">
            <v>44947</v>
          </cell>
          <cell r="C325">
            <v>27.161266302000005</v>
          </cell>
          <cell r="D325">
            <v>15295202</v>
          </cell>
        </row>
        <row r="326">
          <cell r="B326">
            <v>44948</v>
          </cell>
          <cell r="C326">
            <v>27.161266302000005</v>
          </cell>
          <cell r="D326">
            <v>15295202</v>
          </cell>
        </row>
        <row r="327">
          <cell r="B327">
            <v>44949</v>
          </cell>
          <cell r="C327">
            <v>27.278217860849999</v>
          </cell>
          <cell r="D327">
            <v>1269830</v>
          </cell>
        </row>
        <row r="328">
          <cell r="B328">
            <v>44950</v>
          </cell>
          <cell r="C328">
            <v>27.120438640500002</v>
          </cell>
          <cell r="D328">
            <v>2076963</v>
          </cell>
        </row>
        <row r="329">
          <cell r="B329">
            <v>44951</v>
          </cell>
          <cell r="C329">
            <v>26.43908682228</v>
          </cell>
          <cell r="D329">
            <v>1772404</v>
          </cell>
        </row>
        <row r="330">
          <cell r="B330">
            <v>44952</v>
          </cell>
          <cell r="C330">
            <v>26.5527450447</v>
          </cell>
          <cell r="D330">
            <v>1569877</v>
          </cell>
        </row>
        <row r="331">
          <cell r="B331">
            <v>44953</v>
          </cell>
          <cell r="C331">
            <v>25.853200469660003</v>
          </cell>
          <cell r="D331">
            <v>4159800</v>
          </cell>
        </row>
        <row r="332">
          <cell r="B332">
            <v>44954</v>
          </cell>
          <cell r="C332">
            <v>25.853200469660003</v>
          </cell>
          <cell r="D332">
            <v>4159800</v>
          </cell>
        </row>
        <row r="333">
          <cell r="B333">
            <v>44955</v>
          </cell>
          <cell r="C333">
            <v>25.853200469660003</v>
          </cell>
          <cell r="D333">
            <v>4159800</v>
          </cell>
        </row>
        <row r="334">
          <cell r="B334">
            <v>44956</v>
          </cell>
          <cell r="C334">
            <v>26.073932244419996</v>
          </cell>
          <cell r="D334">
            <v>2466080</v>
          </cell>
        </row>
        <row r="335">
          <cell r="B335">
            <v>44957</v>
          </cell>
          <cell r="C335">
            <v>26.722497915839998</v>
          </cell>
          <cell r="D335">
            <v>2647271</v>
          </cell>
        </row>
        <row r="336">
          <cell r="B336">
            <v>44958</v>
          </cell>
          <cell r="C336">
            <v>26.5931473437</v>
          </cell>
          <cell r="D336">
            <v>1647276</v>
          </cell>
        </row>
        <row r="337">
          <cell r="B337">
            <v>44959</v>
          </cell>
          <cell r="C337">
            <v>27.5257212928</v>
          </cell>
          <cell r="D337">
            <v>1525969</v>
          </cell>
        </row>
        <row r="338">
          <cell r="B338">
            <v>44960</v>
          </cell>
          <cell r="C338">
            <v>27.105247757499995</v>
          </cell>
          <cell r="D338">
            <v>1570350</v>
          </cell>
        </row>
        <row r="339">
          <cell r="B339">
            <v>44961</v>
          </cell>
          <cell r="C339">
            <v>27.105247757499995</v>
          </cell>
          <cell r="D339">
            <v>1570350</v>
          </cell>
        </row>
        <row r="340">
          <cell r="B340">
            <v>44962</v>
          </cell>
          <cell r="C340">
            <v>27.105247757499995</v>
          </cell>
          <cell r="D340">
            <v>1570350</v>
          </cell>
        </row>
        <row r="341">
          <cell r="B341">
            <v>44963</v>
          </cell>
          <cell r="C341">
            <v>27.0290289675</v>
          </cell>
          <cell r="D341">
            <v>1436146</v>
          </cell>
        </row>
        <row r="342">
          <cell r="B342">
            <v>44964</v>
          </cell>
          <cell r="C342">
            <v>26.818301848520001</v>
          </cell>
          <cell r="D342">
            <v>1568697</v>
          </cell>
        </row>
        <row r="343">
          <cell r="B343">
            <v>44965</v>
          </cell>
          <cell r="C343">
            <v>28.019627366999998</v>
          </cell>
          <cell r="D343">
            <v>3891929</v>
          </cell>
        </row>
        <row r="344">
          <cell r="B344">
            <v>44966</v>
          </cell>
          <cell r="C344">
            <v>29.019425793900002</v>
          </cell>
          <cell r="D344">
            <v>2315106</v>
          </cell>
        </row>
        <row r="345">
          <cell r="B345">
            <v>44967</v>
          </cell>
          <cell r="C345">
            <v>28.629585863700001</v>
          </cell>
          <cell r="D345">
            <v>1661731</v>
          </cell>
        </row>
        <row r="346">
          <cell r="B346">
            <v>44968</v>
          </cell>
          <cell r="C346">
            <v>28.629585863700001</v>
          </cell>
          <cell r="D346">
            <v>1661731</v>
          </cell>
        </row>
        <row r="347">
          <cell r="B347">
            <v>44969</v>
          </cell>
          <cell r="C347">
            <v>28.629585863700001</v>
          </cell>
          <cell r="D347">
            <v>1661731</v>
          </cell>
        </row>
        <row r="348">
          <cell r="B348">
            <v>44970</v>
          </cell>
          <cell r="C348">
            <v>28.428522718749999</v>
          </cell>
          <cell r="D348">
            <v>1380749</v>
          </cell>
        </row>
        <row r="349">
          <cell r="B349">
            <v>44971</v>
          </cell>
          <cell r="C349">
            <v>27.948453826199994</v>
          </cell>
          <cell r="D349">
            <v>1203806</v>
          </cell>
        </row>
        <row r="350">
          <cell r="B350">
            <v>44972</v>
          </cell>
          <cell r="C350">
            <v>27.8860435056</v>
          </cell>
          <cell r="D350">
            <v>1355320</v>
          </cell>
        </row>
        <row r="351">
          <cell r="B351">
            <v>44973</v>
          </cell>
          <cell r="C351">
            <v>27.72107901135</v>
          </cell>
          <cell r="D351">
            <v>1885914</v>
          </cell>
        </row>
        <row r="352">
          <cell r="B352">
            <v>44974</v>
          </cell>
          <cell r="C352">
            <v>27.52181375</v>
          </cell>
          <cell r="D352">
            <v>1419417</v>
          </cell>
        </row>
        <row r="353">
          <cell r="B353">
            <v>44975</v>
          </cell>
          <cell r="C353">
            <v>27.52181375</v>
          </cell>
          <cell r="D353">
            <v>1419417</v>
          </cell>
        </row>
        <row r="354">
          <cell r="B354">
            <v>44976</v>
          </cell>
          <cell r="C354">
            <v>27.52181375</v>
          </cell>
          <cell r="D354">
            <v>1419417</v>
          </cell>
        </row>
        <row r="355">
          <cell r="B355">
            <v>44977</v>
          </cell>
          <cell r="C355">
            <v>27.542524587199996</v>
          </cell>
          <cell r="D355">
            <v>832996</v>
          </cell>
        </row>
        <row r="356">
          <cell r="B356">
            <v>44978</v>
          </cell>
          <cell r="C356">
            <v>27.300915606</v>
          </cell>
          <cell r="D356">
            <v>1475470</v>
          </cell>
        </row>
        <row r="357">
          <cell r="B357">
            <v>44979</v>
          </cell>
          <cell r="C357">
            <v>26.520733531619999</v>
          </cell>
          <cell r="D357">
            <v>1960292</v>
          </cell>
        </row>
        <row r="358">
          <cell r="B358">
            <v>44980</v>
          </cell>
          <cell r="C358">
            <v>26.999440173</v>
          </cell>
          <cell r="D358">
            <v>1604019</v>
          </cell>
        </row>
        <row r="359">
          <cell r="B359">
            <v>44981</v>
          </cell>
          <cell r="C359">
            <v>26.649622336679997</v>
          </cell>
          <cell r="D359">
            <v>1987120</v>
          </cell>
        </row>
        <row r="360">
          <cell r="B360">
            <v>44982</v>
          </cell>
          <cell r="C360">
            <v>26.649622336679997</v>
          </cell>
          <cell r="D360">
            <v>1987120</v>
          </cell>
        </row>
        <row r="361">
          <cell r="B361">
            <v>44983</v>
          </cell>
          <cell r="C361">
            <v>26.649622336679997</v>
          </cell>
          <cell r="D361">
            <v>1987120</v>
          </cell>
        </row>
        <row r="362">
          <cell r="B362">
            <v>44984</v>
          </cell>
          <cell r="C362">
            <v>26.615443595560002</v>
          </cell>
          <cell r="D362">
            <v>1111039</v>
          </cell>
        </row>
        <row r="363">
          <cell r="B363">
            <v>44985</v>
          </cell>
          <cell r="C363">
            <v>26.949712314999999</v>
          </cell>
          <cell r="D363">
            <v>2984273</v>
          </cell>
        </row>
        <row r="364">
          <cell r="B364">
            <v>44986</v>
          </cell>
          <cell r="C364">
            <v>28.0266603484</v>
          </cell>
          <cell r="D364">
            <v>2488488</v>
          </cell>
        </row>
        <row r="365">
          <cell r="B365">
            <v>44987</v>
          </cell>
          <cell r="C365">
            <v>27.4197215292</v>
          </cell>
          <cell r="D365">
            <v>1380781</v>
          </cell>
        </row>
        <row r="366">
          <cell r="B366">
            <v>44988</v>
          </cell>
          <cell r="C366">
            <v>27.405520805849999</v>
          </cell>
          <cell r="D366">
            <v>1256909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 &amp; Contents"/>
      <sheetName val="PB_CACHE"/>
      <sheetName val="Market Value"/>
      <sheetName val="Financials"/>
      <sheetName val="Ratios (Summary)"/>
      <sheetName val="Ratios (Detailed)"/>
      <sheetName val="Capital Structure"/>
      <sheetName val="Equity Research"/>
      <sheetName val="Dropdowns"/>
      <sheetName val="PB_CACHE_J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0">
          <cell r="E10" t="str">
            <v>USD</v>
          </cell>
        </row>
      </sheetData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uraj Udasi" id="{1BDCC888-B5B5-40FA-8774-A8D9A52352E2}" userId="ca502d1f2ffd342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8" dT="2023-02-28T04:38:10.68" personId="{1BDCC888-B5B5-40FA-8774-A8D9A52352E2}" id="{DCC9FB8E-1406-4A0B-B747-63E7FF1A08CC}">
    <text>Reduced to 100 from 424, based on historical trends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2" Type="http://schemas.openxmlformats.org/officeDocument/2006/relationships/hyperlink" Target="https://finance.yahoo.com/quote/VWS.CO?p=VWS.CO" TargetMode="External"/><Relationship Id="rId1" Type="http://schemas.openxmlformats.org/officeDocument/2006/relationships/hyperlink" Target="https://pages.stern.nyu.edu/~adamodar/New_Home_Page/datafile/ctryprem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2" Type="http://schemas.openxmlformats.org/officeDocument/2006/relationships/hyperlink" Target="https://finance.yahoo.com/quote/NVVE?p=NVVE&amp;.tsrc=fin-srch" TargetMode="External"/><Relationship Id="rId1" Type="http://schemas.openxmlformats.org/officeDocument/2006/relationships/hyperlink" Target="https://pages.stern.nyu.edu/~adamodar/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finance.yahoo.com/quote/NVVE?p=NVVE&amp;.tsrc=fin-src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valueinvesting.io/SIE.DE/valuation/wa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FD0A-A872-40E4-9263-9FD2F5F80F64}">
  <dimension ref="A1:AO62"/>
  <sheetViews>
    <sheetView showGridLines="0" zoomScale="70" zoomScaleNormal="70" workbookViewId="0">
      <pane xSplit="3" ySplit="9" topLeftCell="D10" activePane="bottomRight" state="frozen"/>
      <selection activeCell="I34" sqref="I34"/>
      <selection pane="topRight" activeCell="I34" sqref="I34"/>
      <selection pane="bottomLeft" activeCell="I34" sqref="I34"/>
      <selection pane="bottomRight" activeCell="C32" sqref="C32"/>
    </sheetView>
  </sheetViews>
  <sheetFormatPr defaultColWidth="11.265625" defaultRowHeight="15.75" outlineLevelRow="1" outlineLevelCol="1" x14ac:dyDescent="0.55000000000000004"/>
  <cols>
    <col min="1" max="1" width="3.796875" style="435" customWidth="1"/>
    <col min="2" max="2" width="23.06640625" style="436" bestFit="1" customWidth="1"/>
    <col min="3" max="3" width="41.86328125" style="436" bestFit="1" customWidth="1"/>
    <col min="4" max="4" width="12" style="436" bestFit="1" customWidth="1"/>
    <col min="5" max="5" width="8.59765625" style="436" hidden="1" customWidth="1" outlineLevel="1"/>
    <col min="6" max="6" width="6.265625" style="436" hidden="1" customWidth="1" outlineLevel="1"/>
    <col min="7" max="7" width="23.53125" style="436" hidden="1" customWidth="1" outlineLevel="1"/>
    <col min="8" max="9" width="12" style="436" hidden="1" customWidth="1" outlineLevel="1"/>
    <col min="10" max="10" width="12" style="436" bestFit="1" customWidth="1" collapsed="1"/>
    <col min="11" max="11" width="8.59765625" style="436" hidden="1" customWidth="1" outlineLevel="1"/>
    <col min="12" max="12" width="13.19921875" style="436" hidden="1" customWidth="1" outlineLevel="1"/>
    <col min="13" max="15" width="7.59765625" style="436" hidden="1" customWidth="1" outlineLevel="1"/>
    <col min="16" max="16" width="8.06640625" style="436" hidden="1" customWidth="1" outlineLevel="1"/>
    <col min="17" max="17" width="5.3984375" style="436" hidden="1" customWidth="1" outlineLevel="1"/>
    <col min="18" max="18" width="10.06640625" style="436" hidden="1" customWidth="1" outlineLevel="1"/>
    <col min="19" max="19" width="8.59765625" style="436" hidden="1" customWidth="1" outlineLevel="1"/>
    <col min="20" max="20" width="13.19921875" style="436" hidden="1" customWidth="1" outlineLevel="1"/>
    <col min="21" max="21" width="9.6640625" style="436" customWidth="1" collapsed="1"/>
    <col min="22" max="22" width="9.6640625" style="436" customWidth="1"/>
    <col min="23" max="23" width="11.1328125" style="436" customWidth="1"/>
    <col min="24" max="24" width="11" style="436" bestFit="1" customWidth="1"/>
    <col min="25" max="26" width="9.6640625" style="436" customWidth="1"/>
    <col min="27" max="27" width="1.265625" style="436" customWidth="1"/>
    <col min="28" max="28" width="11.1328125" style="436" bestFit="1" customWidth="1"/>
    <col min="29" max="31" width="9.6640625" style="436" customWidth="1"/>
    <col min="32" max="35" width="11.265625" style="436"/>
    <col min="36" max="36" width="21.6640625" style="436" bestFit="1" customWidth="1"/>
    <col min="37" max="16384" width="11.265625" style="436"/>
  </cols>
  <sheetData>
    <row r="1" spans="1:37" x14ac:dyDescent="0.55000000000000004">
      <c r="J1" s="436">
        <v>1</v>
      </c>
    </row>
    <row r="2" spans="1:37" s="439" customFormat="1" x14ac:dyDescent="0.55000000000000004">
      <c r="A2" s="437"/>
      <c r="B2" s="438" t="s">
        <v>78</v>
      </c>
      <c r="I2" s="440"/>
      <c r="T2" s="440"/>
      <c r="W2" s="440"/>
      <c r="AA2" s="436"/>
    </row>
    <row r="4" spans="1:37" x14ac:dyDescent="0.55000000000000004">
      <c r="B4" s="42" t="s">
        <v>10</v>
      </c>
      <c r="C4" s="43">
        <v>44981</v>
      </c>
      <c r="I4" s="441"/>
    </row>
    <row r="5" spans="1:37" x14ac:dyDescent="0.55000000000000004">
      <c r="B5" s="42" t="s">
        <v>79</v>
      </c>
      <c r="C5" s="442" t="s">
        <v>597</v>
      </c>
    </row>
    <row r="7" spans="1:37" ht="16.899999999999999" x14ac:dyDescent="0.55000000000000004">
      <c r="B7" s="443"/>
      <c r="C7" s="444"/>
      <c r="D7" s="445" t="s">
        <v>1323</v>
      </c>
      <c r="E7" s="445"/>
      <c r="F7" s="445"/>
      <c r="G7" s="445"/>
      <c r="H7" s="445"/>
      <c r="I7" s="445"/>
      <c r="J7" s="445" t="s">
        <v>1324</v>
      </c>
      <c r="K7" s="445"/>
      <c r="L7" s="445"/>
      <c r="M7" s="445"/>
      <c r="N7" s="445"/>
      <c r="O7" s="445"/>
      <c r="P7" s="445"/>
      <c r="Q7" s="445"/>
      <c r="R7" s="445"/>
      <c r="S7" s="445"/>
      <c r="T7" s="445"/>
      <c r="U7" s="445"/>
      <c r="V7" s="445"/>
      <c r="W7" s="445"/>
      <c r="X7" s="445"/>
      <c r="Y7" s="445"/>
      <c r="Z7" s="445"/>
      <c r="AA7" s="446"/>
      <c r="AB7" s="447" t="s">
        <v>81</v>
      </c>
      <c r="AC7" s="447"/>
      <c r="AD7" s="447"/>
      <c r="AE7" s="447"/>
      <c r="AF7" s="447"/>
      <c r="AG7" s="447"/>
      <c r="AI7" s="436" t="s">
        <v>1293</v>
      </c>
      <c r="AJ7" s="436">
        <v>0.94</v>
      </c>
      <c r="AK7" s="436" t="s">
        <v>1294</v>
      </c>
    </row>
    <row r="8" spans="1:37" ht="16.899999999999999" x14ac:dyDescent="0.55000000000000004">
      <c r="B8" s="443"/>
      <c r="C8" s="443"/>
      <c r="D8" s="445" t="s">
        <v>82</v>
      </c>
      <c r="E8" s="445" t="s">
        <v>83</v>
      </c>
      <c r="F8" s="445" t="s">
        <v>84</v>
      </c>
      <c r="G8" s="445" t="s">
        <v>85</v>
      </c>
      <c r="H8" s="445" t="s">
        <v>85</v>
      </c>
      <c r="I8" s="445" t="s">
        <v>86</v>
      </c>
      <c r="J8" s="445" t="s">
        <v>87</v>
      </c>
      <c r="K8" s="447"/>
      <c r="L8" s="447" t="s">
        <v>1</v>
      </c>
      <c r="M8" s="447"/>
      <c r="N8" s="447"/>
      <c r="O8" s="447"/>
      <c r="P8" s="447" t="s">
        <v>88</v>
      </c>
      <c r="Q8" s="447"/>
      <c r="R8" s="447" t="s">
        <v>89</v>
      </c>
      <c r="S8" s="447"/>
      <c r="T8" s="445"/>
      <c r="U8" s="447" t="s">
        <v>90</v>
      </c>
      <c r="V8" s="447"/>
      <c r="W8" s="447" t="s">
        <v>91</v>
      </c>
      <c r="X8" s="447"/>
      <c r="Y8" s="447" t="s">
        <v>92</v>
      </c>
      <c r="Z8" s="447"/>
      <c r="AA8" s="446"/>
      <c r="AB8" s="447" t="s">
        <v>93</v>
      </c>
      <c r="AC8" s="447"/>
      <c r="AD8" s="447" t="s">
        <v>94</v>
      </c>
      <c r="AE8" s="447"/>
      <c r="AF8" s="447" t="s">
        <v>95</v>
      </c>
      <c r="AG8" s="447"/>
    </row>
    <row r="9" spans="1:37" ht="15.7" customHeight="1" x14ac:dyDescent="0.55000000000000004">
      <c r="B9" s="448" t="s">
        <v>7</v>
      </c>
      <c r="C9" s="448" t="s">
        <v>96</v>
      </c>
      <c r="D9" s="449" t="s">
        <v>97</v>
      </c>
      <c r="E9" s="449" t="s">
        <v>98</v>
      </c>
      <c r="F9" s="449" t="s">
        <v>99</v>
      </c>
      <c r="G9" s="449" t="s">
        <v>100</v>
      </c>
      <c r="H9" s="449" t="s">
        <v>101</v>
      </c>
      <c r="I9" s="449" t="s">
        <v>102</v>
      </c>
      <c r="J9" s="449" t="s">
        <v>103</v>
      </c>
      <c r="K9" s="450"/>
      <c r="L9" s="450" t="s">
        <v>104</v>
      </c>
      <c r="M9" s="450" t="s">
        <v>105</v>
      </c>
      <c r="N9" s="450" t="s">
        <v>106</v>
      </c>
      <c r="O9" s="450" t="s">
        <v>107</v>
      </c>
      <c r="P9" s="450" t="s">
        <v>105</v>
      </c>
      <c r="Q9" s="450" t="s">
        <v>107</v>
      </c>
      <c r="R9" s="450" t="str">
        <f>P9</f>
        <v>'22</v>
      </c>
      <c r="S9" s="450" t="s">
        <v>107</v>
      </c>
      <c r="T9" s="449"/>
      <c r="U9" s="450" t="s">
        <v>108</v>
      </c>
      <c r="V9" s="450" t="s">
        <v>109</v>
      </c>
      <c r="W9" s="450" t="s">
        <v>105</v>
      </c>
      <c r="X9" s="450" t="s">
        <v>107</v>
      </c>
      <c r="Y9" s="450" t="str">
        <f>W9</f>
        <v>'22</v>
      </c>
      <c r="Z9" s="450" t="s">
        <v>107</v>
      </c>
      <c r="AA9" s="446"/>
      <c r="AB9" s="450" t="s">
        <v>105</v>
      </c>
      <c r="AC9" s="450" t="s">
        <v>107</v>
      </c>
      <c r="AD9" s="450" t="s">
        <v>105</v>
      </c>
      <c r="AE9" s="450" t="s">
        <v>107</v>
      </c>
      <c r="AF9" s="450" t="s">
        <v>105</v>
      </c>
      <c r="AG9" s="450" t="s">
        <v>107</v>
      </c>
    </row>
    <row r="10" spans="1:37" ht="5.2" customHeight="1" x14ac:dyDescent="0.55000000000000004">
      <c r="B10" s="451"/>
      <c r="C10" s="451"/>
      <c r="D10" s="452"/>
      <c r="E10" s="452"/>
      <c r="F10" s="452"/>
      <c r="G10" s="452"/>
      <c r="H10" s="452"/>
      <c r="I10" s="452"/>
      <c r="J10" s="452"/>
      <c r="K10" s="452"/>
      <c r="L10" s="452"/>
      <c r="M10" s="452"/>
      <c r="N10" s="452"/>
      <c r="O10" s="452"/>
      <c r="P10" s="452"/>
      <c r="Q10" s="452"/>
      <c r="R10" s="452"/>
      <c r="S10" s="452"/>
      <c r="T10" s="452"/>
      <c r="U10" s="453"/>
      <c r="V10" s="453"/>
      <c r="W10" s="453"/>
      <c r="X10" s="453"/>
      <c r="Y10" s="453"/>
      <c r="Z10" s="453"/>
    </row>
    <row r="11" spans="1:37" x14ac:dyDescent="0.55000000000000004">
      <c r="B11" s="454" t="s">
        <v>110</v>
      </c>
      <c r="C11" s="455" t="s">
        <v>111</v>
      </c>
      <c r="D11" s="414">
        <f>'Football feild chart_Vestas'!D2</f>
        <v>27.405520805849999</v>
      </c>
      <c r="E11" s="456">
        <f>1006177558/10^6</f>
        <v>1006.177558</v>
      </c>
      <c r="F11" s="456">
        <v>17.158360943999998</v>
      </c>
      <c r="G11" s="456">
        <v>2602.7088756929998</v>
      </c>
      <c r="H11" s="456">
        <v>2522.2790587679997</v>
      </c>
      <c r="I11" s="456">
        <f>D11*E11</f>
        <v>27574.820000148342</v>
      </c>
      <c r="J11" s="456">
        <f>Vestas_Pitchbooksum!E39</f>
        <v>27680.108448999999</v>
      </c>
      <c r="K11" s="457"/>
      <c r="L11" s="456">
        <v>15587</v>
      </c>
      <c r="M11" s="456">
        <v>14486</v>
      </c>
      <c r="N11" s="456">
        <f ca="1">'DCF-Vestas'!J43</f>
        <v>15302.771878592828</v>
      </c>
      <c r="O11" s="456">
        <v>14486</v>
      </c>
      <c r="P11" s="456">
        <v>-63</v>
      </c>
      <c r="Q11" s="456">
        <v>-63</v>
      </c>
      <c r="R11" s="456">
        <v>-1572</v>
      </c>
      <c r="S11" s="456">
        <v>-1572</v>
      </c>
      <c r="T11" s="457"/>
      <c r="U11" s="457">
        <f>M11/L11-1</f>
        <v>-7.0635786232116526E-2</v>
      </c>
      <c r="V11" s="457">
        <f ca="1">N11/M11-1</f>
        <v>5.6383534349912168E-2</v>
      </c>
      <c r="W11" s="457">
        <f>P11/M11</f>
        <v>-4.3490266464172303E-3</v>
      </c>
      <c r="X11" s="457">
        <f>Q11/O11</f>
        <v>-4.3490266464172303E-3</v>
      </c>
      <c r="Y11" s="457">
        <f>R11/M11</f>
        <v>-0.1085185696534585</v>
      </c>
      <c r="Z11" s="458">
        <f>S11/O11</f>
        <v>-0.1085185696534585</v>
      </c>
      <c r="AB11" s="459">
        <f>$J11/M11</f>
        <v>1.9108179241336463</v>
      </c>
      <c r="AC11" s="460">
        <f>$J11/O11</f>
        <v>1.9108179241336463</v>
      </c>
      <c r="AD11" s="460">
        <f>$J11/P11</f>
        <v>-439.36680077777777</v>
      </c>
      <c r="AE11" s="460">
        <f>$J11/Q11</f>
        <v>-439.36680077777777</v>
      </c>
      <c r="AF11" s="460">
        <f>I11/R11</f>
        <v>-17.541234096786479</v>
      </c>
      <c r="AG11" s="461">
        <f>I11/S11</f>
        <v>-17.541234096786479</v>
      </c>
    </row>
    <row r="12" spans="1:37" ht="5" customHeight="1" x14ac:dyDescent="0.55000000000000004">
      <c r="B12" s="462"/>
      <c r="D12" s="463"/>
      <c r="E12" s="464"/>
      <c r="F12" s="464"/>
      <c r="G12" s="464"/>
      <c r="H12" s="464"/>
      <c r="I12" s="464"/>
      <c r="J12" s="464"/>
      <c r="K12" s="465"/>
      <c r="L12" s="464"/>
      <c r="M12" s="464"/>
      <c r="N12" s="464"/>
      <c r="O12" s="464"/>
      <c r="P12" s="464"/>
      <c r="Q12" s="464"/>
      <c r="R12" s="464"/>
      <c r="S12" s="464"/>
      <c r="T12" s="465"/>
      <c r="U12" s="465"/>
      <c r="V12" s="465"/>
      <c r="W12" s="465"/>
      <c r="X12" s="465"/>
      <c r="Y12" s="465"/>
      <c r="Z12" s="465"/>
    </row>
    <row r="13" spans="1:37" x14ac:dyDescent="0.55000000000000004">
      <c r="A13" s="435">
        <v>1</v>
      </c>
      <c r="B13" s="462" t="s">
        <v>112</v>
      </c>
      <c r="C13" s="436" t="s">
        <v>113</v>
      </c>
      <c r="D13" s="466"/>
      <c r="E13" s="464"/>
      <c r="F13" s="464"/>
      <c r="G13" s="464"/>
      <c r="H13" s="464"/>
      <c r="I13" s="464">
        <v>13120.704</v>
      </c>
      <c r="J13" s="464">
        <f>14921.259*AJ7</f>
        <v>14025.983459999999</v>
      </c>
      <c r="L13" s="464">
        <v>10197.817999999999</v>
      </c>
      <c r="M13" s="464">
        <v>9813.5259999999998</v>
      </c>
      <c r="N13" s="464">
        <v>10016.17309</v>
      </c>
      <c r="O13" s="464">
        <v>9992.4470000000001</v>
      </c>
      <c r="P13" s="464">
        <v>-0.10199999999999999</v>
      </c>
      <c r="Q13" s="464">
        <v>-483.10199999999998</v>
      </c>
      <c r="R13" s="464">
        <v>-940.45899999999995</v>
      </c>
      <c r="S13" s="464">
        <v>-1421.8869999999999</v>
      </c>
      <c r="T13" s="467"/>
      <c r="U13" s="467">
        <f t="shared" ref="U13:U18" si="0">IFERROR(M13/L13-1,0)</f>
        <v>-3.7683747640916865E-2</v>
      </c>
      <c r="V13" s="467">
        <f>N13/M13-1</f>
        <v>2.0649773588004905E-2</v>
      </c>
      <c r="W13" s="467">
        <f t="shared" ref="W13:W18" si="1">P13/M13</f>
        <v>-1.0393817675726339E-5</v>
      </c>
      <c r="X13" s="467">
        <f t="shared" ref="X13:X18" si="2">Q13/O13</f>
        <v>-4.8346716274802352E-2</v>
      </c>
      <c r="Y13" s="467">
        <f t="shared" ref="Y13:Y18" si="3">R13/M13</f>
        <v>-9.5832935073489375E-2</v>
      </c>
      <c r="Z13" s="467">
        <f t="shared" ref="Z13:Z18" si="4">S13/O13</f>
        <v>-0.14229617630196087</v>
      </c>
      <c r="AB13" s="468">
        <f t="shared" ref="AB13:AB18" si="5">$J13/M13</f>
        <v>1.4292501451567967</v>
      </c>
      <c r="AC13" s="468">
        <f t="shared" ref="AC13:AC18" si="6">$J13/O13</f>
        <v>1.4036585292871706</v>
      </c>
      <c r="AD13" s="468"/>
      <c r="AE13" s="468">
        <f t="shared" ref="AE13" si="7">$J13/Q13</f>
        <v>-29.0331720009439</v>
      </c>
      <c r="AF13" s="468">
        <f t="shared" ref="AF13:AF18" si="8">I13/R13</f>
        <v>-13.951383313892473</v>
      </c>
      <c r="AG13" s="468">
        <f t="shared" ref="AG13:AG18" si="9">I13/S13</f>
        <v>-9.2276699906532667</v>
      </c>
    </row>
    <row r="14" spans="1:37" x14ac:dyDescent="0.55000000000000004">
      <c r="A14" s="435">
        <f>A13+1</f>
        <v>2</v>
      </c>
      <c r="B14" s="462" t="s">
        <v>114</v>
      </c>
      <c r="C14" s="436" t="s">
        <v>115</v>
      </c>
      <c r="D14" s="469">
        <f>1.64206935824*AJ7</f>
        <v>1.5435451967456</v>
      </c>
      <c r="E14" s="464">
        <f>4225067647/10^6</f>
        <v>4225.0676469999999</v>
      </c>
      <c r="F14" s="464">
        <v>147.01551787561866</v>
      </c>
      <c r="G14" s="464">
        <v>5406.3508236426078</v>
      </c>
      <c r="H14" s="464">
        <v>719.7681773012107</v>
      </c>
      <c r="I14" s="464">
        <f>D14*E14</f>
        <v>6521.5828724520843</v>
      </c>
      <c r="J14" s="464">
        <f>(I14+F14+G14-H14)*AJ7</f>
        <v>10673.870174468953</v>
      </c>
      <c r="L14" s="464">
        <v>7144.5814055848232</v>
      </c>
      <c r="M14" s="464">
        <v>6624.236153678984</v>
      </c>
      <c r="N14" s="464">
        <v>6265.3709129474373</v>
      </c>
      <c r="O14" s="464">
        <v>6050.7779471864706</v>
      </c>
      <c r="P14" s="464">
        <v>1195.8739930742065</v>
      </c>
      <c r="Q14" s="464">
        <v>778.426970612633</v>
      </c>
      <c r="R14" s="464">
        <v>452.82455955586005</v>
      </c>
      <c r="S14" s="464">
        <v>363.71427190227905</v>
      </c>
      <c r="T14" s="467"/>
      <c r="U14" s="467">
        <f t="shared" si="0"/>
        <v>-7.2830754157142352E-2</v>
      </c>
      <c r="V14" s="467">
        <f>N14/M14-1</f>
        <v>-5.4174584420913052E-2</v>
      </c>
      <c r="W14" s="467">
        <f t="shared" si="1"/>
        <v>0.1805300966527347</v>
      </c>
      <c r="X14" s="467">
        <f t="shared" si="2"/>
        <v>0.12864907246754789</v>
      </c>
      <c r="Y14" s="467">
        <f t="shared" si="3"/>
        <v>6.8358758512008858E-2</v>
      </c>
      <c r="Z14" s="467">
        <f t="shared" si="4"/>
        <v>6.0110332105543757E-2</v>
      </c>
      <c r="AB14" s="468">
        <f t="shared" si="5"/>
        <v>1.6113359981197037</v>
      </c>
      <c r="AC14" s="468">
        <f t="shared" si="6"/>
        <v>1.7640492293114405</v>
      </c>
      <c r="AD14" s="468">
        <f t="shared" ref="AD14:AE18" si="10">$J14/P14</f>
        <v>8.9255809861956052</v>
      </c>
      <c r="AE14" s="468">
        <f t="shared" si="10"/>
        <v>13.712102197677538</v>
      </c>
      <c r="AF14" s="468">
        <f t="shared" si="8"/>
        <v>14.402007874415185</v>
      </c>
      <c r="AG14" s="468">
        <f t="shared" si="9"/>
        <v>17.930511327870772</v>
      </c>
    </row>
    <row r="15" spans="1:37" x14ac:dyDescent="0.55000000000000004">
      <c r="A15" s="435">
        <f>A14+1</f>
        <v>3</v>
      </c>
      <c r="B15" s="462" t="s">
        <v>116</v>
      </c>
      <c r="C15" s="436" t="s">
        <v>117</v>
      </c>
      <c r="D15" s="469">
        <f>3.6859831545*AJ7</f>
        <v>3.46482416523</v>
      </c>
      <c r="E15" s="464">
        <f>2272085706/10^6</f>
        <v>2272.0857059999998</v>
      </c>
      <c r="F15" s="464">
        <v>14.214941557254969</v>
      </c>
      <c r="G15" s="464">
        <v>1084.9997927139166</v>
      </c>
      <c r="H15" s="464">
        <v>1740.0676563466161</v>
      </c>
      <c r="I15" s="464">
        <f>D15*E15</f>
        <v>7872.3774596224648</v>
      </c>
      <c r="J15" s="464">
        <f>(I15+F15+G15-H15)*AJ7</f>
        <v>6797.6330652941997</v>
      </c>
      <c r="L15" s="464">
        <v>2851.6035483462674</v>
      </c>
      <c r="M15" s="464">
        <v>3557.4205065799756</v>
      </c>
      <c r="N15" s="464">
        <v>4082.9844335840003</v>
      </c>
      <c r="O15" s="464">
        <v>4277.1299567877813</v>
      </c>
      <c r="P15" s="464">
        <v>636.64426562618883</v>
      </c>
      <c r="Q15" s="464">
        <v>747.91307052723812</v>
      </c>
      <c r="R15" s="464">
        <v>406.21480684437483</v>
      </c>
      <c r="S15" s="464">
        <v>627.05932702382029</v>
      </c>
      <c r="T15" s="467"/>
      <c r="U15" s="467">
        <f t="shared" si="0"/>
        <v>0.24751580865546097</v>
      </c>
      <c r="V15" s="467">
        <f>N15/M15-1</f>
        <v>0.14773736364085055</v>
      </c>
      <c r="W15" s="467">
        <f t="shared" si="1"/>
        <v>0.17896233083736404</v>
      </c>
      <c r="X15" s="467">
        <f t="shared" si="2"/>
        <v>0.17486330274821421</v>
      </c>
      <c r="Y15" s="467">
        <f t="shared" si="3"/>
        <v>0.11418802081255799</v>
      </c>
      <c r="Z15" s="467">
        <f t="shared" si="4"/>
        <v>0.14660749927148709</v>
      </c>
      <c r="AB15" s="468">
        <f t="shared" si="5"/>
        <v>1.9108320348187602</v>
      </c>
      <c r="AC15" s="468">
        <f t="shared" si="6"/>
        <v>1.5892977613426018</v>
      </c>
      <c r="AD15" s="468">
        <f t="shared" si="10"/>
        <v>10.677286252799595</v>
      </c>
      <c r="AE15" s="468">
        <f t="shared" si="10"/>
        <v>9.0888010026382311</v>
      </c>
      <c r="AF15" s="468">
        <f t="shared" si="8"/>
        <v>19.379838762594527</v>
      </c>
      <c r="AG15" s="468">
        <f t="shared" si="9"/>
        <v>12.554438025803282</v>
      </c>
    </row>
    <row r="16" spans="1:37" x14ac:dyDescent="0.55000000000000004">
      <c r="A16" s="435">
        <f>A15+1</f>
        <v>4</v>
      </c>
      <c r="B16" s="462" t="s">
        <v>118</v>
      </c>
      <c r="C16" s="436" t="s">
        <v>119</v>
      </c>
      <c r="D16" s="469">
        <f>14.905048538855*AJ7</f>
        <v>14.0107456265237</v>
      </c>
      <c r="E16" s="464">
        <f>211946227/10^6</f>
        <v>211.94622699999999</v>
      </c>
      <c r="F16" s="464">
        <v>0</v>
      </c>
      <c r="G16" s="464">
        <v>495.44628011431206</v>
      </c>
      <c r="H16" s="464">
        <v>652.65133997489409</v>
      </c>
      <c r="I16" s="464">
        <f>D16*E16</f>
        <v>2969.5246729984492</v>
      </c>
      <c r="J16" s="464">
        <f>(I16+F16+G16-H16)*AJ7</f>
        <v>2643.5804363495949</v>
      </c>
      <c r="L16" s="464">
        <v>4650.74</v>
      </c>
      <c r="M16" s="464">
        <v>5443.95</v>
      </c>
      <c r="N16" s="464">
        <v>5484.3158649999996</v>
      </c>
      <c r="O16" s="464">
        <v>5361.1769999999997</v>
      </c>
      <c r="P16" s="464">
        <v>53.774000000000001</v>
      </c>
      <c r="Q16" s="464">
        <v>-242.15899999999999</v>
      </c>
      <c r="R16" s="464">
        <v>-230.15600000000001</v>
      </c>
      <c r="S16" s="464">
        <v>-498.06299999999999</v>
      </c>
      <c r="T16" s="467"/>
      <c r="U16" s="467">
        <f t="shared" si="0"/>
        <v>0.17055565350890389</v>
      </c>
      <c r="V16" s="467">
        <f>N16/M16-1</f>
        <v>7.4148118553623021E-3</v>
      </c>
      <c r="W16" s="467">
        <f t="shared" si="1"/>
        <v>9.877754204208342E-3</v>
      </c>
      <c r="X16" s="467">
        <f t="shared" si="2"/>
        <v>-4.516899927012296E-2</v>
      </c>
      <c r="Y16" s="467">
        <f t="shared" si="3"/>
        <v>-4.227739049770847E-2</v>
      </c>
      <c r="Z16" s="467">
        <f t="shared" si="4"/>
        <v>-9.2901801227603567E-2</v>
      </c>
      <c r="AB16" s="468">
        <f t="shared" si="5"/>
        <v>0.48559969073000214</v>
      </c>
      <c r="AC16" s="468">
        <f t="shared" si="6"/>
        <v>0.49309702633388064</v>
      </c>
      <c r="AD16" s="468">
        <f t="shared" si="10"/>
        <v>49.160940907308273</v>
      </c>
      <c r="AE16" s="468">
        <f t="shared" si="10"/>
        <v>-10.916713549154048</v>
      </c>
      <c r="AF16" s="468">
        <f t="shared" si="8"/>
        <v>-12.9022257642575</v>
      </c>
      <c r="AG16" s="468">
        <f t="shared" si="9"/>
        <v>-5.962146702321693</v>
      </c>
    </row>
    <row r="17" spans="1:41" x14ac:dyDescent="0.55000000000000004">
      <c r="A17" s="435">
        <f>A16+1</f>
        <v>5</v>
      </c>
      <c r="B17" s="462" t="s">
        <v>120</v>
      </c>
      <c r="C17" s="436" t="s">
        <v>121</v>
      </c>
      <c r="D17" s="469">
        <f>0.10203537963*AJ7</f>
        <v>9.5913256852199993E-2</v>
      </c>
      <c r="E17" s="464">
        <f>12473087083/10^6</f>
        <v>12473.087083</v>
      </c>
      <c r="F17" s="464">
        <v>0</v>
      </c>
      <c r="G17" s="464">
        <v>852.61310676580001</v>
      </c>
      <c r="H17" s="464">
        <v>57.680314148200004</v>
      </c>
      <c r="I17" s="464">
        <f>D17*E17</f>
        <v>1196.3344051316369</v>
      </c>
      <c r="J17" s="464">
        <f>(I17+F17+G17-H17)*AJ7</f>
        <v>1871.7911658842825</v>
      </c>
      <c r="L17" s="464">
        <v>380.10297978399996</v>
      </c>
      <c r="M17" s="464">
        <v>753.4024555295</v>
      </c>
      <c r="N17" s="464"/>
      <c r="O17" s="464">
        <v>810.77946423360004</v>
      </c>
      <c r="P17" s="464">
        <v>109.3112147918</v>
      </c>
      <c r="Q17" s="464">
        <v>101.03031001080006</v>
      </c>
      <c r="R17" s="464">
        <v>-23.063305101899999</v>
      </c>
      <c r="S17" s="464">
        <v>286.23741511560002</v>
      </c>
      <c r="T17" s="467"/>
      <c r="U17" s="467">
        <f t="shared" si="0"/>
        <v>0.98210089265186462</v>
      </c>
      <c r="V17" s="467"/>
      <c r="W17" s="467">
        <f t="shared" si="1"/>
        <v>0.14509006970912353</v>
      </c>
      <c r="X17" s="467">
        <f t="shared" si="2"/>
        <v>0.12460886648911403</v>
      </c>
      <c r="Y17" s="467">
        <f t="shared" si="3"/>
        <v>-3.0612197946303269E-2</v>
      </c>
      <c r="Z17" s="467">
        <f t="shared" si="4"/>
        <v>0.35303979410254266</v>
      </c>
      <c r="AB17" s="468">
        <f t="shared" si="5"/>
        <v>2.484450577704536</v>
      </c>
      <c r="AC17" s="468">
        <f t="shared" si="6"/>
        <v>2.3086316914225469</v>
      </c>
      <c r="AD17" s="468">
        <f t="shared" si="10"/>
        <v>17.123505300434143</v>
      </c>
      <c r="AE17" s="468">
        <f t="shared" si="10"/>
        <v>18.527025856737342</v>
      </c>
      <c r="AF17" s="468">
        <f t="shared" si="8"/>
        <v>-51.871767721317646</v>
      </c>
      <c r="AG17" s="468">
        <f t="shared" si="9"/>
        <v>4.1795179174898731</v>
      </c>
    </row>
    <row r="18" spans="1:41" x14ac:dyDescent="0.55000000000000004">
      <c r="A18" s="435">
        <f>A17+1</f>
        <v>6</v>
      </c>
      <c r="B18" s="462" t="s">
        <v>122</v>
      </c>
      <c r="C18" s="436" t="s">
        <v>123</v>
      </c>
      <c r="D18" s="469">
        <f>1.3060044439*AJ7</f>
        <v>1.2276441772660001</v>
      </c>
      <c r="E18" s="464">
        <f>282775366/10^6</f>
        <v>282.77536600000002</v>
      </c>
      <c r="F18" s="464"/>
      <c r="G18" s="464">
        <v>231.31541473300604</v>
      </c>
      <c r="H18" s="464">
        <v>8.8119082882880004</v>
      </c>
      <c r="I18" s="464">
        <f>D18*E18</f>
        <v>347.14753154416206</v>
      </c>
      <c r="J18" s="464">
        <f>(I18+F18+G18-H18)*AJ7</f>
        <v>535.47197570954734</v>
      </c>
      <c r="L18" s="464">
        <v>81.996334193663998</v>
      </c>
      <c r="M18" s="464">
        <v>72.177329169770999</v>
      </c>
      <c r="N18" s="470">
        <v>100</v>
      </c>
      <c r="O18" s="464">
        <v>82.481409442691998</v>
      </c>
      <c r="P18" s="464">
        <v>-34.672678876416015</v>
      </c>
      <c r="Q18" s="464">
        <v>-57.696066846971995</v>
      </c>
      <c r="R18" s="464">
        <v>-49.385424361938</v>
      </c>
      <c r="S18" s="464">
        <v>-97.439291257175995</v>
      </c>
      <c r="T18" s="467"/>
      <c r="U18" s="467">
        <f t="shared" si="0"/>
        <v>-0.11974931709388215</v>
      </c>
      <c r="V18" s="467">
        <f>N18/M18-1</f>
        <v>0.38547659147633806</v>
      </c>
      <c r="W18" s="467">
        <f t="shared" si="1"/>
        <v>-0.48038184947050488</v>
      </c>
      <c r="X18" s="467">
        <f t="shared" si="2"/>
        <v>-0.69950389108056121</v>
      </c>
      <c r="Y18" s="467">
        <f t="shared" si="3"/>
        <v>-0.68422349413590378</v>
      </c>
      <c r="Z18" s="467">
        <f t="shared" si="4"/>
        <v>-1.1813485234497201</v>
      </c>
      <c r="AB18" s="468">
        <f t="shared" si="5"/>
        <v>7.418838877371642</v>
      </c>
      <c r="AC18" s="468">
        <f t="shared" si="6"/>
        <v>6.4920323176775092</v>
      </c>
      <c r="AD18" s="468">
        <f t="shared" si="10"/>
        <v>-15.443628616586924</v>
      </c>
      <c r="AE18" s="468">
        <f t="shared" si="10"/>
        <v>-9.2809095138111655</v>
      </c>
      <c r="AF18" s="468">
        <f t="shared" si="8"/>
        <v>-7.029352000703132</v>
      </c>
      <c r="AG18" s="468">
        <f t="shared" si="9"/>
        <v>-3.5627058352458625</v>
      </c>
    </row>
    <row r="19" spans="1:41" ht="5.2" customHeight="1" x14ac:dyDescent="0.55000000000000004">
      <c r="B19" s="462"/>
      <c r="D19" s="435"/>
      <c r="E19" s="435"/>
      <c r="F19" s="435"/>
      <c r="G19" s="435"/>
      <c r="H19" s="435"/>
      <c r="I19" s="464"/>
      <c r="J19" s="464"/>
      <c r="L19" s="467"/>
      <c r="M19" s="467"/>
      <c r="N19" s="467"/>
      <c r="O19" s="467"/>
      <c r="P19" s="467"/>
      <c r="Q19" s="467"/>
      <c r="R19" s="467"/>
      <c r="S19" s="467"/>
      <c r="T19" s="467"/>
      <c r="U19" s="467"/>
      <c r="V19" s="467"/>
      <c r="W19" s="467"/>
      <c r="X19" s="467"/>
      <c r="Y19" s="467"/>
      <c r="Z19" s="467"/>
    </row>
    <row r="20" spans="1:41" x14ac:dyDescent="0.55000000000000004">
      <c r="B20" s="471" t="s">
        <v>124</v>
      </c>
      <c r="C20" s="472"/>
      <c r="D20" s="472"/>
      <c r="E20" s="472"/>
      <c r="F20" s="472"/>
      <c r="G20" s="472"/>
      <c r="H20" s="472"/>
      <c r="I20" s="472"/>
      <c r="J20" s="472"/>
      <c r="K20" s="473"/>
      <c r="L20" s="473"/>
      <c r="M20" s="473"/>
      <c r="N20" s="473"/>
      <c r="O20" s="473"/>
      <c r="P20" s="473"/>
      <c r="Q20" s="473"/>
      <c r="R20" s="473"/>
      <c r="S20" s="473"/>
      <c r="T20" s="473"/>
      <c r="U20" s="473">
        <f t="shared" ref="U20:Z20" si="11">MIN(U13:U18)</f>
        <v>-0.11974931709388215</v>
      </c>
      <c r="V20" s="473">
        <f t="shared" si="11"/>
        <v>-5.4174584420913052E-2</v>
      </c>
      <c r="W20" s="473">
        <f t="shared" si="11"/>
        <v>-0.48038184947050488</v>
      </c>
      <c r="X20" s="473">
        <f t="shared" si="11"/>
        <v>-0.69950389108056121</v>
      </c>
      <c r="Y20" s="473">
        <f t="shared" si="11"/>
        <v>-0.68422349413590378</v>
      </c>
      <c r="Z20" s="474">
        <f t="shared" si="11"/>
        <v>-1.1813485234497201</v>
      </c>
      <c r="AB20" s="475">
        <f t="shared" ref="AB20:AG20" si="12">MIN(AB13:AB18)</f>
        <v>0.48559969073000214</v>
      </c>
      <c r="AC20" s="476">
        <f t="shared" si="12"/>
        <v>0.49309702633388064</v>
      </c>
      <c r="AD20" s="476">
        <f t="shared" si="12"/>
        <v>-15.443628616586924</v>
      </c>
      <c r="AE20" s="476">
        <f t="shared" si="12"/>
        <v>-29.0331720009439</v>
      </c>
      <c r="AF20" s="476">
        <f t="shared" si="12"/>
        <v>-51.871767721317646</v>
      </c>
      <c r="AG20" s="477">
        <f t="shared" si="12"/>
        <v>-9.2276699906532667</v>
      </c>
    </row>
    <row r="21" spans="1:41" x14ac:dyDescent="0.55000000000000004">
      <c r="B21" s="478" t="s">
        <v>125</v>
      </c>
      <c r="C21" s="479"/>
      <c r="D21" s="479"/>
      <c r="E21" s="479"/>
      <c r="F21" s="479"/>
      <c r="G21" s="479"/>
      <c r="H21" s="479"/>
      <c r="I21" s="479"/>
      <c r="J21" s="479"/>
      <c r="K21" s="480"/>
      <c r="L21" s="480"/>
      <c r="M21" s="480"/>
      <c r="N21" s="480"/>
      <c r="O21" s="480"/>
      <c r="P21" s="480"/>
      <c r="Q21" s="480"/>
      <c r="R21" s="480"/>
      <c r="S21" s="480"/>
      <c r="T21" s="480"/>
      <c r="U21" s="480">
        <f t="shared" ref="U21:Z21" si="13">AVERAGE(U13:U18)</f>
        <v>0.19498475598738138</v>
      </c>
      <c r="V21" s="480">
        <f t="shared" si="13"/>
        <v>0.10142079122792855</v>
      </c>
      <c r="W21" s="480">
        <f t="shared" si="13"/>
        <v>5.6780013525416688E-3</v>
      </c>
      <c r="X21" s="480">
        <f t="shared" si="13"/>
        <v>-6.0816394153435066E-2</v>
      </c>
      <c r="Y21" s="480">
        <f t="shared" si="13"/>
        <v>-0.11173320638813967</v>
      </c>
      <c r="Z21" s="481">
        <f t="shared" si="13"/>
        <v>-0.14279814591661852</v>
      </c>
      <c r="AB21" s="482">
        <f t="shared" ref="AB21:AG21" si="14">AVERAGE(AB13:AB18)</f>
        <v>2.556717887316907</v>
      </c>
      <c r="AC21" s="483">
        <f t="shared" si="14"/>
        <v>2.3417944258958583</v>
      </c>
      <c r="AD21" s="483">
        <f t="shared" si="14"/>
        <v>14.08873696603014</v>
      </c>
      <c r="AE21" s="483">
        <f t="shared" si="14"/>
        <v>-1.3171443344760005</v>
      </c>
      <c r="AF21" s="483">
        <f t="shared" si="14"/>
        <v>-8.662147027193507</v>
      </c>
      <c r="AG21" s="484">
        <f t="shared" si="14"/>
        <v>2.6519907904905167</v>
      </c>
    </row>
    <row r="22" spans="1:41" x14ac:dyDescent="0.55000000000000004">
      <c r="B22" s="485" t="s">
        <v>126</v>
      </c>
      <c r="C22" s="479"/>
      <c r="D22" s="479"/>
      <c r="E22" s="479"/>
      <c r="F22" s="479"/>
      <c r="G22" s="479"/>
      <c r="H22" s="479"/>
      <c r="I22" s="479"/>
      <c r="J22" s="479"/>
      <c r="K22" s="486"/>
      <c r="L22" s="486"/>
      <c r="M22" s="486"/>
      <c r="N22" s="486"/>
      <c r="O22" s="486"/>
      <c r="P22" s="486"/>
      <c r="Q22" s="486"/>
      <c r="R22" s="486"/>
      <c r="S22" s="486"/>
      <c r="T22" s="486"/>
      <c r="U22" s="486">
        <f t="shared" ref="U22:Z22" si="15">MEDIAN(U13:U18)</f>
        <v>6.6435952933993514E-2</v>
      </c>
      <c r="V22" s="486">
        <f t="shared" si="15"/>
        <v>2.0649773588004905E-2</v>
      </c>
      <c r="W22" s="486">
        <f t="shared" si="15"/>
        <v>7.7483911956665943E-2</v>
      </c>
      <c r="X22" s="486">
        <f t="shared" si="15"/>
        <v>3.9719933609495529E-2</v>
      </c>
      <c r="Y22" s="486">
        <f t="shared" si="15"/>
        <v>-3.6444794222005868E-2</v>
      </c>
      <c r="Z22" s="487">
        <f t="shared" si="15"/>
        <v>-1.6395734561029898E-2</v>
      </c>
      <c r="AB22" s="488">
        <f t="shared" ref="AB22:AG22" si="16">MEDIAN(AB13:AB18)</f>
        <v>1.7610840164692321</v>
      </c>
      <c r="AC22" s="489">
        <f t="shared" si="16"/>
        <v>1.6766734953270213</v>
      </c>
      <c r="AD22" s="489">
        <f t="shared" si="16"/>
        <v>10.677286252799595</v>
      </c>
      <c r="AE22" s="489">
        <f t="shared" si="16"/>
        <v>-9.6054255586468074E-2</v>
      </c>
      <c r="AF22" s="489">
        <f t="shared" si="16"/>
        <v>-9.9657888824803162</v>
      </c>
      <c r="AG22" s="490">
        <f t="shared" si="16"/>
        <v>0.30840604112200554</v>
      </c>
    </row>
    <row r="23" spans="1:41" x14ac:dyDescent="0.55000000000000004">
      <c r="B23" s="491" t="s">
        <v>127</v>
      </c>
      <c r="C23" s="492"/>
      <c r="D23" s="492"/>
      <c r="E23" s="492"/>
      <c r="F23" s="492"/>
      <c r="G23" s="492"/>
      <c r="H23" s="492"/>
      <c r="I23" s="492"/>
      <c r="J23" s="492"/>
      <c r="K23" s="493"/>
      <c r="L23" s="493"/>
      <c r="M23" s="493"/>
      <c r="N23" s="493"/>
      <c r="O23" s="493"/>
      <c r="P23" s="493"/>
      <c r="Q23" s="493"/>
      <c r="R23" s="493"/>
      <c r="S23" s="493"/>
      <c r="T23" s="493"/>
      <c r="U23" s="493">
        <f t="shared" ref="U23:Z23" si="17">MAX(U13:U18)</f>
        <v>0.98210089265186462</v>
      </c>
      <c r="V23" s="493">
        <f t="shared" si="17"/>
        <v>0.38547659147633806</v>
      </c>
      <c r="W23" s="493">
        <f t="shared" si="17"/>
        <v>0.1805300966527347</v>
      </c>
      <c r="X23" s="493">
        <f t="shared" si="17"/>
        <v>0.17486330274821421</v>
      </c>
      <c r="Y23" s="493">
        <f t="shared" si="17"/>
        <v>0.11418802081255799</v>
      </c>
      <c r="Z23" s="494">
        <f t="shared" si="17"/>
        <v>0.35303979410254266</v>
      </c>
      <c r="AB23" s="495">
        <f t="shared" ref="AB23:AG23" si="18">MAX(AB13:AB18)</f>
        <v>7.418838877371642</v>
      </c>
      <c r="AC23" s="496">
        <f t="shared" si="18"/>
        <v>6.4920323176775092</v>
      </c>
      <c r="AD23" s="496">
        <f t="shared" si="18"/>
        <v>49.160940907308273</v>
      </c>
      <c r="AE23" s="496">
        <f t="shared" si="18"/>
        <v>18.527025856737342</v>
      </c>
      <c r="AF23" s="496">
        <f t="shared" si="18"/>
        <v>19.379838762594527</v>
      </c>
      <c r="AG23" s="497">
        <f t="shared" si="18"/>
        <v>17.930511327870772</v>
      </c>
    </row>
    <row r="24" spans="1:41" ht="15.7" customHeight="1" x14ac:dyDescent="0.55000000000000004">
      <c r="B24" s="451"/>
      <c r="C24" s="451"/>
      <c r="D24" s="452"/>
      <c r="E24" s="452"/>
      <c r="F24" s="452"/>
      <c r="G24" s="452"/>
      <c r="H24" s="452"/>
      <c r="I24" s="452"/>
      <c r="K24" s="452"/>
      <c r="L24" s="452"/>
      <c r="M24" s="452"/>
      <c r="N24" s="452"/>
      <c r="O24" s="452"/>
      <c r="P24" s="452"/>
      <c r="Q24" s="452"/>
      <c r="R24" s="452"/>
      <c r="S24" s="453"/>
      <c r="T24" s="453"/>
      <c r="U24" s="453"/>
      <c r="V24" s="453"/>
      <c r="W24" s="453"/>
      <c r="X24" s="453"/>
      <c r="Y24" s="453"/>
      <c r="Z24" s="453"/>
      <c r="AB24" s="453"/>
      <c r="AC24" s="453"/>
      <c r="AD24" s="453"/>
      <c r="AE24" s="453"/>
    </row>
    <row r="25" spans="1:41" ht="15.7" customHeight="1" x14ac:dyDescent="0.55000000000000004">
      <c r="B25" s="498" t="s">
        <v>128</v>
      </c>
      <c r="C25" s="499">
        <f>O11</f>
        <v>14486</v>
      </c>
      <c r="D25" s="452"/>
      <c r="E25" s="452"/>
      <c r="F25" s="452"/>
      <c r="G25" s="452"/>
      <c r="H25" s="452"/>
      <c r="I25" s="452"/>
      <c r="K25" s="452"/>
      <c r="L25" s="452"/>
      <c r="M25" s="452"/>
      <c r="N25" s="452"/>
      <c r="O25" s="452"/>
      <c r="P25" s="452"/>
      <c r="Q25" s="452"/>
      <c r="R25" s="452"/>
      <c r="S25" s="453"/>
      <c r="T25" s="453"/>
      <c r="U25" s="453"/>
      <c r="V25" s="453"/>
      <c r="W25" s="453"/>
      <c r="X25" s="453"/>
      <c r="Y25" s="453"/>
      <c r="Z25" s="453"/>
      <c r="AB25" s="453"/>
      <c r="AC25" s="453"/>
      <c r="AD25" s="453"/>
      <c r="AE25" s="453"/>
      <c r="AJ25" s="500" t="s">
        <v>129</v>
      </c>
      <c r="AK25" s="500"/>
      <c r="AL25" s="500"/>
      <c r="AM25" s="500"/>
      <c r="AN25" s="500"/>
      <c r="AO25" s="500"/>
    </row>
    <row r="26" spans="1:41" ht="15.7" customHeight="1" x14ac:dyDescent="0.55000000000000004">
      <c r="B26" s="501" t="s">
        <v>130</v>
      </c>
      <c r="C26" s="502">
        <f>AC22</f>
        <v>1.6766734953270213</v>
      </c>
      <c r="D26" s="452"/>
      <c r="E26" s="452"/>
      <c r="F26" s="452"/>
      <c r="G26" s="452"/>
      <c r="H26" s="452"/>
      <c r="I26" s="452"/>
      <c r="K26" s="452"/>
      <c r="L26" s="452"/>
      <c r="M26" s="452"/>
      <c r="N26" s="452"/>
      <c r="O26" s="452"/>
      <c r="P26" s="452"/>
      <c r="Q26" s="452"/>
      <c r="R26" s="452"/>
      <c r="S26" s="453"/>
      <c r="T26" s="453"/>
      <c r="U26" s="453"/>
      <c r="V26" s="453"/>
      <c r="W26" s="453"/>
      <c r="X26" s="453"/>
      <c r="Y26" s="453"/>
      <c r="Z26" s="453"/>
      <c r="AB26" s="453"/>
      <c r="AC26" s="453"/>
      <c r="AD26" s="453"/>
      <c r="AE26" s="453"/>
      <c r="AJ26" s="503" t="s">
        <v>93</v>
      </c>
      <c r="AK26" s="504"/>
      <c r="AL26" s="504"/>
      <c r="AM26" s="505"/>
      <c r="AN26" s="505"/>
      <c r="AO26" s="505"/>
    </row>
    <row r="27" spans="1:41" ht="15.7" customHeight="1" x14ac:dyDescent="0.55000000000000004">
      <c r="B27" s="506" t="s">
        <v>45</v>
      </c>
      <c r="C27" s="507">
        <f>C25*C26</f>
        <v>24288.292253307231</v>
      </c>
      <c r="D27" s="452"/>
      <c r="E27" s="452">
        <f>228.8*12.7</f>
        <v>2905.7599999999998</v>
      </c>
      <c r="F27" s="452"/>
      <c r="G27" s="452"/>
      <c r="H27" s="452"/>
      <c r="I27" s="452"/>
      <c r="K27" s="452"/>
      <c r="L27" s="452"/>
      <c r="M27" s="452"/>
      <c r="N27" s="452"/>
      <c r="O27" s="452"/>
      <c r="P27" s="452"/>
      <c r="Q27" s="452"/>
      <c r="R27" s="452"/>
      <c r="S27" s="453"/>
      <c r="T27" s="453"/>
      <c r="U27" s="453"/>
      <c r="V27" s="453"/>
      <c r="W27" s="453"/>
      <c r="X27" s="453"/>
      <c r="Y27" s="453"/>
      <c r="Z27" s="453"/>
      <c r="AB27" s="453"/>
      <c r="AC27" s="453"/>
      <c r="AD27" s="453"/>
      <c r="AE27" s="453"/>
      <c r="AJ27" s="508"/>
      <c r="AK27" s="509">
        <v>0.5</v>
      </c>
      <c r="AL27" s="509">
        <f>(AM27-AK27)</f>
        <v>1.1766734953270213</v>
      </c>
      <c r="AM27" s="509">
        <f>AC22</f>
        <v>1.6766734953270213</v>
      </c>
      <c r="AN27" s="509">
        <f>AM27+0.5</f>
        <v>2.1766734953270213</v>
      </c>
      <c r="AO27" s="509">
        <f>AN27+0.5</f>
        <v>2.6766734953270213</v>
      </c>
    </row>
    <row r="28" spans="1:41" ht="15.7" customHeight="1" x14ac:dyDescent="0.55000000000000004">
      <c r="B28" s="510" t="s">
        <v>46</v>
      </c>
      <c r="C28" s="511">
        <f>'Vestas Input_morningstar'!P129</f>
        <v>2378</v>
      </c>
      <c r="D28" s="452"/>
      <c r="E28" s="452"/>
      <c r="F28" s="452"/>
      <c r="G28" s="452"/>
      <c r="H28" s="452"/>
      <c r="I28" s="452"/>
      <c r="K28" s="452"/>
      <c r="L28" s="452"/>
      <c r="M28" s="452"/>
      <c r="N28" s="452"/>
      <c r="O28" s="452"/>
      <c r="P28" s="452"/>
      <c r="Q28" s="452"/>
      <c r="R28" s="452"/>
      <c r="S28" s="453"/>
      <c r="T28" s="453"/>
      <c r="U28" s="453"/>
      <c r="V28" s="453"/>
      <c r="W28" s="453"/>
      <c r="X28" s="453"/>
      <c r="Y28" s="453"/>
      <c r="Z28" s="453"/>
      <c r="AB28" s="453"/>
      <c r="AC28" s="453"/>
      <c r="AD28" s="453"/>
      <c r="AE28" s="453"/>
      <c r="AI28" s="736"/>
      <c r="AJ28" s="512" t="s">
        <v>45</v>
      </c>
      <c r="AK28" s="513">
        <f>AK27*$C$25</f>
        <v>7243</v>
      </c>
      <c r="AL28" s="514">
        <f>AL27*$C$25</f>
        <v>17045.292253307231</v>
      </c>
      <c r="AM28" s="515">
        <f>AM27*$C$25</f>
        <v>24288.292253307231</v>
      </c>
      <c r="AN28" s="514">
        <f>AN27*$C$25</f>
        <v>31531.292253307231</v>
      </c>
      <c r="AO28" s="514">
        <f>AO27*$C$25</f>
        <v>38774.292253307227</v>
      </c>
    </row>
    <row r="29" spans="1:41" ht="15.7" customHeight="1" x14ac:dyDescent="0.55000000000000004">
      <c r="B29" s="510" t="s">
        <v>47</v>
      </c>
      <c r="C29" s="516">
        <f>'Vestas Input_morningstar'!P154+'Vestas Input_morningstar'!P149</f>
        <v>2427</v>
      </c>
      <c r="D29" s="452"/>
      <c r="E29" s="452"/>
      <c r="F29" s="452"/>
      <c r="G29" s="452"/>
      <c r="H29" s="452"/>
      <c r="I29" s="452"/>
      <c r="K29" s="452"/>
      <c r="L29" s="452"/>
      <c r="M29" s="452"/>
      <c r="N29" s="452"/>
      <c r="O29" s="452"/>
      <c r="P29" s="452"/>
      <c r="Q29" s="452"/>
      <c r="R29" s="452"/>
      <c r="S29" s="453"/>
      <c r="T29" s="453"/>
      <c r="U29" s="453"/>
      <c r="V29" s="453"/>
      <c r="W29" s="453"/>
      <c r="X29" s="453"/>
      <c r="Y29" s="453"/>
      <c r="Z29" s="453"/>
      <c r="AB29" s="453"/>
      <c r="AC29" s="453"/>
      <c r="AD29" s="453"/>
      <c r="AE29" s="453"/>
      <c r="AI29" s="736"/>
      <c r="AJ29" s="512" t="s">
        <v>48</v>
      </c>
      <c r="AK29" s="517">
        <f>AK28+$C$28-$C$29</f>
        <v>7194</v>
      </c>
      <c r="AL29" s="514">
        <f>AL28+$C$28-$C$29</f>
        <v>16996.292253307231</v>
      </c>
      <c r="AM29" s="515">
        <f>AM28+$C$28-$C$29</f>
        <v>24239.292253307231</v>
      </c>
      <c r="AN29" s="514">
        <f>AN28+$C$28-$C$29</f>
        <v>31482.292253307227</v>
      </c>
      <c r="AO29" s="514">
        <f>AO28+$C$28-$C$29</f>
        <v>38725.292253307227</v>
      </c>
    </row>
    <row r="30" spans="1:41" ht="15.7" customHeight="1" x14ac:dyDescent="0.55000000000000004">
      <c r="B30" s="506" t="s">
        <v>48</v>
      </c>
      <c r="C30" s="507">
        <f>C27+C28-C29</f>
        <v>24239.292253307231</v>
      </c>
      <c r="D30" s="452"/>
      <c r="E30" s="452"/>
      <c r="F30" s="452"/>
      <c r="G30" s="452"/>
      <c r="H30" s="452"/>
      <c r="I30" s="452"/>
      <c r="K30" s="452"/>
      <c r="L30" s="452"/>
      <c r="M30" s="452"/>
      <c r="N30" s="452"/>
      <c r="O30" s="452"/>
      <c r="P30" s="452"/>
      <c r="Q30" s="452"/>
      <c r="R30" s="452"/>
      <c r="S30" s="453"/>
      <c r="T30" s="453"/>
      <c r="U30" s="453"/>
      <c r="V30" s="453"/>
      <c r="W30" s="453"/>
      <c r="X30" s="453"/>
      <c r="Y30" s="453"/>
      <c r="Z30" s="453"/>
      <c r="AB30" s="453"/>
      <c r="AC30" s="453"/>
      <c r="AD30" s="453"/>
      <c r="AE30" s="453"/>
      <c r="AI30" s="736"/>
      <c r="AJ30" s="512" t="s">
        <v>9</v>
      </c>
      <c r="AK30" s="518">
        <f>AK29/$C$31</f>
        <v>7.1498315012110423</v>
      </c>
      <c r="AL30" s="519">
        <f>AL29/$C$31</f>
        <v>16.891941306155857</v>
      </c>
      <c r="AM30" s="520">
        <f>AM29/$C$31</f>
        <v>24.090471965493023</v>
      </c>
      <c r="AN30" s="519">
        <f>AN29/$C$31</f>
        <v>31.289002624830186</v>
      </c>
      <c r="AO30" s="519">
        <f>AO29/$C$31</f>
        <v>38.487533284167355</v>
      </c>
    </row>
    <row r="31" spans="1:41" ht="15.7" customHeight="1" x14ac:dyDescent="0.55000000000000004">
      <c r="B31" s="501" t="s">
        <v>49</v>
      </c>
      <c r="C31" s="516">
        <v>1006.177558</v>
      </c>
      <c r="D31" s="452"/>
      <c r="E31" s="452"/>
      <c r="F31" s="452"/>
      <c r="G31" s="452"/>
      <c r="H31" s="452"/>
      <c r="I31" s="452"/>
      <c r="K31" s="452"/>
      <c r="L31" s="452"/>
      <c r="M31" s="452"/>
      <c r="N31" s="452"/>
      <c r="O31" s="452"/>
      <c r="P31" s="452"/>
      <c r="Q31" s="452"/>
      <c r="R31" s="452"/>
      <c r="S31" s="453"/>
      <c r="T31" s="453"/>
      <c r="U31" s="453"/>
      <c r="V31" s="453"/>
      <c r="W31" s="453"/>
      <c r="X31" s="453"/>
      <c r="Y31" s="453"/>
      <c r="Z31" s="453"/>
      <c r="AB31" s="453"/>
      <c r="AC31" s="453"/>
      <c r="AD31" s="453"/>
      <c r="AE31" s="453"/>
      <c r="AI31" s="736"/>
      <c r="AJ31" s="521"/>
      <c r="AK31" s="521"/>
      <c r="AL31" s="521"/>
      <c r="AM31" s="521"/>
      <c r="AN31" s="521"/>
      <c r="AO31" s="521"/>
    </row>
    <row r="32" spans="1:41" ht="15.7" customHeight="1" thickBot="1" x14ac:dyDescent="0.6">
      <c r="B32" s="522" t="s">
        <v>9</v>
      </c>
      <c r="C32" s="523">
        <f>C30/C31</f>
        <v>24.090471965493023</v>
      </c>
      <c r="D32" s="524"/>
      <c r="E32" s="452"/>
      <c r="F32" s="452"/>
      <c r="G32" s="452"/>
      <c r="H32" s="452"/>
      <c r="I32" s="452"/>
      <c r="K32" s="452"/>
      <c r="L32" s="452"/>
      <c r="M32" s="452"/>
      <c r="N32" s="452"/>
      <c r="O32" s="452"/>
      <c r="P32" s="452"/>
      <c r="Q32" s="452"/>
      <c r="R32" s="452"/>
      <c r="S32" s="453"/>
      <c r="T32" s="453"/>
      <c r="U32" s="453"/>
      <c r="V32" s="453"/>
      <c r="W32" s="453"/>
      <c r="X32" s="453"/>
      <c r="Y32" s="453"/>
      <c r="Z32" s="453"/>
      <c r="AB32" s="453"/>
      <c r="AC32" s="453"/>
      <c r="AD32" s="453"/>
      <c r="AE32" s="453"/>
      <c r="AI32" s="736"/>
      <c r="AJ32" s="521"/>
      <c r="AK32" s="521"/>
      <c r="AL32" s="521"/>
      <c r="AM32" s="521"/>
      <c r="AN32" s="521"/>
      <c r="AO32" s="521"/>
    </row>
    <row r="33" spans="1:34" ht="15.7" customHeight="1" thickTop="1" x14ac:dyDescent="0.55000000000000004">
      <c r="B33" s="451"/>
      <c r="C33" s="525">
        <f>C32-D11</f>
        <v>-3.315048840356976</v>
      </c>
      <c r="D33" s="452"/>
      <c r="E33" s="452"/>
      <c r="F33" s="452"/>
      <c r="G33" s="452"/>
      <c r="H33" s="452"/>
      <c r="I33" s="452"/>
      <c r="K33" s="452"/>
      <c r="L33" s="452"/>
      <c r="M33" s="452"/>
      <c r="N33" s="452"/>
      <c r="O33" s="452"/>
      <c r="P33" s="452"/>
      <c r="Q33" s="452"/>
      <c r="R33" s="452"/>
      <c r="S33" s="453"/>
      <c r="T33" s="453"/>
      <c r="U33" s="453"/>
      <c r="V33" s="453"/>
      <c r="W33" s="453"/>
      <c r="X33" s="453"/>
      <c r="Y33" s="453"/>
      <c r="Z33" s="453"/>
      <c r="AB33" s="453"/>
      <c r="AC33" s="453"/>
      <c r="AD33" s="453"/>
      <c r="AE33" s="453"/>
    </row>
    <row r="34" spans="1:34" ht="15.7" hidden="1" customHeight="1" outlineLevel="1" x14ac:dyDescent="0.55000000000000004">
      <c r="B34" s="451"/>
      <c r="C34" s="451"/>
      <c r="D34" s="452"/>
      <c r="E34" s="452"/>
      <c r="F34" s="452"/>
      <c r="G34" s="452"/>
      <c r="H34" s="452"/>
      <c r="I34" s="452"/>
      <c r="K34" s="452"/>
      <c r="L34" s="452"/>
      <c r="M34" s="452"/>
      <c r="N34" s="452"/>
      <c r="O34" s="452"/>
      <c r="P34" s="452"/>
      <c r="Q34" s="452"/>
      <c r="R34" s="452"/>
      <c r="S34" s="453"/>
      <c r="T34" s="453"/>
      <c r="U34" s="453"/>
      <c r="V34" s="453"/>
      <c r="W34" s="453"/>
      <c r="X34" s="453"/>
      <c r="Y34" s="453"/>
      <c r="Z34" s="453"/>
      <c r="AB34" s="453"/>
      <c r="AC34" s="453"/>
      <c r="AD34" s="453"/>
      <c r="AE34" s="453"/>
    </row>
    <row r="35" spans="1:34" ht="15.7" hidden="1" customHeight="1" outlineLevel="1" x14ac:dyDescent="0.55000000000000004">
      <c r="B35" s="451"/>
      <c r="C35" s="451"/>
      <c r="D35" s="452"/>
      <c r="E35" s="452"/>
      <c r="F35" s="452"/>
      <c r="G35" s="452"/>
      <c r="H35" s="452"/>
      <c r="I35" s="452"/>
      <c r="K35" s="452"/>
      <c r="L35" s="452"/>
      <c r="M35" s="452"/>
      <c r="N35" s="452"/>
      <c r="O35" s="452"/>
      <c r="P35" s="452"/>
      <c r="Q35" s="452"/>
      <c r="R35" s="452"/>
      <c r="S35" s="453"/>
      <c r="T35" s="453"/>
      <c r="U35" s="453"/>
      <c r="V35" s="453"/>
      <c r="W35" s="453"/>
      <c r="X35" s="453"/>
      <c r="Y35" s="453"/>
      <c r="Z35" s="453"/>
      <c r="AB35" s="453"/>
      <c r="AC35" s="453"/>
      <c r="AD35" s="453"/>
      <c r="AE35" s="453"/>
    </row>
    <row r="36" spans="1:34" ht="15.7" hidden="1" customHeight="1" outlineLevel="1" x14ac:dyDescent="0.55000000000000004">
      <c r="B36" s="451"/>
      <c r="C36" s="451"/>
      <c r="D36" s="452"/>
      <c r="E36" s="452"/>
      <c r="F36" s="452"/>
      <c r="G36" s="452"/>
      <c r="H36" s="452"/>
      <c r="I36" s="452"/>
      <c r="K36" s="452"/>
      <c r="L36" s="452"/>
      <c r="M36" s="452"/>
      <c r="N36" s="452"/>
      <c r="O36" s="452"/>
      <c r="P36" s="452"/>
      <c r="Q36" s="452"/>
      <c r="R36" s="452"/>
      <c r="S36" s="453"/>
      <c r="T36" s="453"/>
      <c r="U36" s="453"/>
      <c r="V36" s="453"/>
      <c r="W36" s="453"/>
      <c r="X36" s="453"/>
      <c r="Y36" s="453"/>
      <c r="Z36" s="453"/>
      <c r="AB36" s="453"/>
      <c r="AC36" s="453"/>
      <c r="AD36" s="453"/>
      <c r="AE36" s="453"/>
    </row>
    <row r="37" spans="1:34" ht="15.7" hidden="1" customHeight="1" outlineLevel="1" x14ac:dyDescent="0.55000000000000004">
      <c r="B37" s="451"/>
      <c r="C37" s="451"/>
      <c r="D37" s="452"/>
      <c r="E37" s="452"/>
      <c r="F37" s="452"/>
      <c r="G37" s="452"/>
      <c r="H37" s="452"/>
      <c r="I37" s="452"/>
      <c r="K37" s="452"/>
      <c r="L37" s="452"/>
      <c r="M37" s="452"/>
      <c r="N37" s="452"/>
      <c r="O37" s="452"/>
      <c r="P37" s="452"/>
      <c r="Q37" s="452"/>
      <c r="R37" s="452"/>
      <c r="S37" s="453"/>
      <c r="T37" s="453"/>
      <c r="U37" s="453"/>
      <c r="V37" s="453"/>
      <c r="W37" s="453"/>
      <c r="X37" s="453"/>
      <c r="Y37" s="453"/>
      <c r="Z37" s="453"/>
      <c r="AB37" s="453"/>
      <c r="AC37" s="453"/>
      <c r="AD37" s="453"/>
      <c r="AE37" s="453"/>
    </row>
    <row r="38" spans="1:34" ht="15.7" hidden="1" customHeight="1" outlineLevel="1" x14ac:dyDescent="0.55000000000000004">
      <c r="B38" s="451"/>
      <c r="C38" s="451"/>
      <c r="D38" s="452"/>
      <c r="E38" s="452"/>
      <c r="F38" s="452"/>
      <c r="G38" s="452"/>
      <c r="H38" s="452"/>
      <c r="I38" s="452"/>
      <c r="K38" s="452"/>
      <c r="L38" s="452"/>
      <c r="M38" s="452"/>
      <c r="N38" s="452"/>
      <c r="O38" s="452"/>
      <c r="P38" s="452"/>
      <c r="Q38" s="452"/>
      <c r="R38" s="452"/>
      <c r="S38" s="453"/>
      <c r="T38" s="453"/>
      <c r="U38" s="453"/>
      <c r="V38" s="453"/>
      <c r="W38" s="453"/>
      <c r="X38" s="453"/>
      <c r="Y38" s="453"/>
      <c r="Z38" s="453"/>
      <c r="AB38" s="453"/>
      <c r="AC38" s="453"/>
      <c r="AD38" s="453"/>
      <c r="AE38" s="453"/>
    </row>
    <row r="39" spans="1:34" ht="15.75" hidden="1" customHeight="1" outlineLevel="1" x14ac:dyDescent="0.55000000000000004">
      <c r="A39" s="526"/>
      <c r="B39" s="527"/>
      <c r="C39" s="527"/>
      <c r="D39" s="528" t="s">
        <v>131</v>
      </c>
      <c r="E39" s="528"/>
      <c r="F39" s="528"/>
      <c r="G39" s="528" t="s">
        <v>132</v>
      </c>
      <c r="H39" s="528"/>
      <c r="I39" s="528"/>
      <c r="J39" s="528" t="s">
        <v>45</v>
      </c>
      <c r="K39" s="528"/>
      <c r="L39" s="528"/>
      <c r="M39" s="529"/>
      <c r="N39" s="529"/>
      <c r="O39" s="528"/>
      <c r="P39" s="528"/>
      <c r="Q39" s="528"/>
      <c r="R39" s="528" t="s">
        <v>48</v>
      </c>
      <c r="S39" s="528"/>
      <c r="T39" s="528"/>
      <c r="U39" s="529"/>
      <c r="V39" s="528" t="s">
        <v>9</v>
      </c>
      <c r="W39" s="528"/>
      <c r="X39" s="528"/>
    </row>
    <row r="40" spans="1:34" ht="15.7" hidden="1" customHeight="1" outlineLevel="1" x14ac:dyDescent="0.55000000000000004">
      <c r="B40" s="530" t="s">
        <v>133</v>
      </c>
      <c r="C40" s="530"/>
      <c r="D40" s="531" t="s">
        <v>1</v>
      </c>
      <c r="E40" s="531" t="s">
        <v>88</v>
      </c>
      <c r="F40" s="531" t="s">
        <v>134</v>
      </c>
      <c r="G40" s="531" t="s">
        <v>1</v>
      </c>
      <c r="H40" s="531" t="s">
        <v>88</v>
      </c>
      <c r="I40" s="531" t="s">
        <v>135</v>
      </c>
      <c r="J40" s="531" t="s">
        <v>1</v>
      </c>
      <c r="K40" s="531" t="s">
        <v>88</v>
      </c>
      <c r="L40" s="531" t="s">
        <v>89</v>
      </c>
      <c r="M40" s="531"/>
      <c r="N40" s="531" t="s">
        <v>101</v>
      </c>
      <c r="O40" s="531" t="s">
        <v>100</v>
      </c>
      <c r="P40" s="531" t="s">
        <v>49</v>
      </c>
      <c r="Q40" s="531"/>
      <c r="R40" s="531" t="s">
        <v>1</v>
      </c>
      <c r="S40" s="531" t="s">
        <v>88</v>
      </c>
      <c r="T40" s="531" t="s">
        <v>89</v>
      </c>
      <c r="U40" s="531"/>
      <c r="V40" s="531" t="s">
        <v>1</v>
      </c>
      <c r="W40" s="531" t="s">
        <v>88</v>
      </c>
      <c r="X40" s="531" t="s">
        <v>89</v>
      </c>
    </row>
    <row r="41" spans="1:34" ht="15.7" hidden="1" customHeight="1" outlineLevel="1" x14ac:dyDescent="0.55000000000000004">
      <c r="B41" s="451" t="s">
        <v>136</v>
      </c>
      <c r="C41" s="451"/>
      <c r="D41" s="532">
        <f>MIN(AC13:AC18)</f>
        <v>0.49309702633388064</v>
      </c>
      <c r="E41" s="532">
        <f>MIN(AE13:AE18)</f>
        <v>-29.0331720009439</v>
      </c>
      <c r="F41" s="532">
        <f>MIN(AG13:AG18)</f>
        <v>-9.2276699906532667</v>
      </c>
      <c r="G41" s="464">
        <v>15303</v>
      </c>
      <c r="H41" s="464">
        <v>464.0507019755031</v>
      </c>
      <c r="I41" s="533">
        <v>0.66</v>
      </c>
      <c r="J41" s="464">
        <f>D41*G41</f>
        <v>7545.8637939873752</v>
      </c>
      <c r="K41" s="464">
        <f>H41*E41</f>
        <v>-13472.863847613538</v>
      </c>
      <c r="L41" s="464" t="s">
        <v>137</v>
      </c>
      <c r="N41" s="534">
        <f>$H$11</f>
        <v>2522.2790587679997</v>
      </c>
      <c r="O41" s="534">
        <f>$G$11</f>
        <v>2602.7088756929998</v>
      </c>
      <c r="P41" s="535">
        <f>$E$11</f>
        <v>1006.177558</v>
      </c>
      <c r="Q41" s="536"/>
      <c r="R41" s="537">
        <f>J41+N41-O41</f>
        <v>7465.4339770623747</v>
      </c>
      <c r="S41" s="537">
        <f>K41+N41-O41</f>
        <v>-13553.293664538538</v>
      </c>
      <c r="T41" s="537">
        <f>I41*P41*F41</f>
        <v>-6127.8851417687547</v>
      </c>
      <c r="U41" s="453"/>
      <c r="V41" s="538">
        <f t="shared" ref="V41:X44" si="19">R41/$P41</f>
        <v>7.4195989740633577</v>
      </c>
      <c r="W41" s="538">
        <f t="shared" si="19"/>
        <v>-13.470081455085026</v>
      </c>
      <c r="X41" s="538">
        <f t="shared" si="19"/>
        <v>-6.0902621938311556</v>
      </c>
      <c r="Z41" s="539"/>
      <c r="AB41" s="539"/>
      <c r="AG41" s="540"/>
      <c r="AH41" s="540"/>
    </row>
    <row r="42" spans="1:34" ht="15.7" hidden="1" customHeight="1" outlineLevel="1" x14ac:dyDescent="0.55000000000000004">
      <c r="B42" s="451" t="s">
        <v>125</v>
      </c>
      <c r="C42" s="451"/>
      <c r="D42" s="532">
        <f>AC21</f>
        <v>2.3417944258958583</v>
      </c>
      <c r="E42" s="532">
        <f>AE21</f>
        <v>-1.3171443344760005</v>
      </c>
      <c r="F42" s="532">
        <f>AG21</f>
        <v>2.6519907904905167</v>
      </c>
      <c r="G42" s="541">
        <v>15303</v>
      </c>
      <c r="H42" s="541">
        <v>464.0507019755031</v>
      </c>
      <c r="I42" s="533">
        <v>0.66</v>
      </c>
      <c r="J42" s="464">
        <f>D42*G42</f>
        <v>35836.480099484317</v>
      </c>
      <c r="K42" s="464">
        <f>H42*E42</f>
        <v>-611.22175301664493</v>
      </c>
      <c r="L42" s="464" t="s">
        <v>137</v>
      </c>
      <c r="N42" s="534">
        <f>$H$11</f>
        <v>2522.2790587679997</v>
      </c>
      <c r="O42" s="534">
        <f>$G$11</f>
        <v>2602.7088756929998</v>
      </c>
      <c r="P42" s="535">
        <f>$E$11</f>
        <v>1006.177558</v>
      </c>
      <c r="R42" s="537">
        <f>J42+N42-O42</f>
        <v>35756.050282559314</v>
      </c>
      <c r="S42" s="537">
        <f>K42+N42-O42</f>
        <v>-691.65156994164499</v>
      </c>
      <c r="T42" s="537">
        <f>I42*P42*F42</f>
        <v>1761.1265874933968</v>
      </c>
      <c r="U42" s="453"/>
      <c r="V42" s="538">
        <f t="shared" si="19"/>
        <v>35.536521360735136</v>
      </c>
      <c r="W42" s="538">
        <f t="shared" si="19"/>
        <v>-0.6874050851585829</v>
      </c>
      <c r="X42" s="538">
        <f t="shared" si="19"/>
        <v>1.7503139217237409</v>
      </c>
      <c r="Y42" s="453"/>
      <c r="Z42" s="539"/>
      <c r="AF42" s="540"/>
      <c r="AG42" s="540"/>
      <c r="AH42" s="540"/>
    </row>
    <row r="43" spans="1:34" ht="15.7" hidden="1" customHeight="1" outlineLevel="1" x14ac:dyDescent="0.55000000000000004">
      <c r="B43" s="451" t="s">
        <v>126</v>
      </c>
      <c r="C43" s="451"/>
      <c r="D43" s="532">
        <f>AC22</f>
        <v>1.6766734953270213</v>
      </c>
      <c r="E43" s="532">
        <f>AE22</f>
        <v>-9.6054255586468074E-2</v>
      </c>
      <c r="F43" s="532">
        <f>AG22</f>
        <v>0.30840604112200554</v>
      </c>
      <c r="G43" s="541">
        <v>15303</v>
      </c>
      <c r="H43" s="541">
        <v>464.0507019755031</v>
      </c>
      <c r="I43" s="533">
        <v>0.66</v>
      </c>
      <c r="J43" s="464">
        <f>D43*G43</f>
        <v>25658.134498989406</v>
      </c>
      <c r="K43" s="464">
        <f>H43*E43</f>
        <v>-44.574044732634903</v>
      </c>
      <c r="L43" s="464" t="s">
        <v>137</v>
      </c>
      <c r="N43" s="534">
        <f>$H$11</f>
        <v>2522.2790587679997</v>
      </c>
      <c r="O43" s="534">
        <f>$G$11</f>
        <v>2602.7088756929998</v>
      </c>
      <c r="P43" s="535">
        <f>$E$11</f>
        <v>1006.177558</v>
      </c>
      <c r="R43" s="537">
        <f>J43+N43-O43</f>
        <v>25577.704682064406</v>
      </c>
      <c r="S43" s="537">
        <f>K43+N43-O43</f>
        <v>-125.00386165763484</v>
      </c>
      <c r="T43" s="537">
        <f>I43*P43*F43</f>
        <v>204.80541663686748</v>
      </c>
      <c r="U43" s="453"/>
      <c r="V43" s="538">
        <f t="shared" si="19"/>
        <v>25.420667037044378</v>
      </c>
      <c r="W43" s="538">
        <f t="shared" si="19"/>
        <v>-0.12423638418859949</v>
      </c>
      <c r="X43" s="538">
        <f t="shared" si="19"/>
        <v>0.20354798714052363</v>
      </c>
      <c r="Y43" s="453"/>
      <c r="Z43" s="453"/>
      <c r="AF43" s="540"/>
      <c r="AG43" s="540"/>
      <c r="AH43" s="540"/>
    </row>
    <row r="44" spans="1:34" ht="15.7" hidden="1" customHeight="1" outlineLevel="1" x14ac:dyDescent="0.55000000000000004">
      <c r="B44" s="451" t="s">
        <v>127</v>
      </c>
      <c r="C44" s="451"/>
      <c r="D44" s="532">
        <f>MAX(AC13:AC18)</f>
        <v>6.4920323176775092</v>
      </c>
      <c r="E44" s="532">
        <f>MAX(AE13:AE18)</f>
        <v>18.527025856737342</v>
      </c>
      <c r="F44" s="532">
        <f>MAX(AG13:AG18)</f>
        <v>17.930511327870772</v>
      </c>
      <c r="G44" s="541">
        <v>15303</v>
      </c>
      <c r="H44" s="541">
        <v>464.0507019755031</v>
      </c>
      <c r="I44" s="533">
        <v>0.66</v>
      </c>
      <c r="J44" s="464">
        <f>D44*G44</f>
        <v>99347.57055741892</v>
      </c>
      <c r="K44" s="464">
        <f>H44*E44</f>
        <v>8597.4793543372598</v>
      </c>
      <c r="L44" s="464" t="s">
        <v>137</v>
      </c>
      <c r="N44" s="534">
        <f>$H$11</f>
        <v>2522.2790587679997</v>
      </c>
      <c r="O44" s="534">
        <f>$G$11</f>
        <v>2602.7088756929998</v>
      </c>
      <c r="P44" s="535">
        <f>$E$11</f>
        <v>1006.177558</v>
      </c>
      <c r="R44" s="537">
        <f>J44+N44-O44</f>
        <v>99267.140740493924</v>
      </c>
      <c r="S44" s="537">
        <f>K44+N44-O44</f>
        <v>8517.0495374122584</v>
      </c>
      <c r="T44" s="537">
        <f>I44*P44*F44</f>
        <v>11907.24354703511</v>
      </c>
      <c r="U44" s="453"/>
      <c r="V44" s="538">
        <f t="shared" si="19"/>
        <v>98.657677217338545</v>
      </c>
      <c r="W44" s="538">
        <f t="shared" si="19"/>
        <v>8.4647580038872814</v>
      </c>
      <c r="X44" s="538">
        <f t="shared" si="19"/>
        <v>11.834137476394709</v>
      </c>
      <c r="Y44" s="453"/>
      <c r="Z44" s="453"/>
      <c r="AF44" s="540"/>
      <c r="AG44" s="540"/>
      <c r="AH44" s="540"/>
    </row>
    <row r="45" spans="1:34" ht="15.7" customHeight="1" collapsed="1" x14ac:dyDescent="0.55000000000000004">
      <c r="B45" s="451"/>
      <c r="C45" s="451"/>
      <c r="D45" s="532"/>
      <c r="E45" s="532"/>
      <c r="F45" s="532"/>
      <c r="G45" s="532"/>
      <c r="H45" s="452"/>
      <c r="I45" s="532"/>
      <c r="J45" s="435"/>
      <c r="K45" s="464"/>
      <c r="L45" s="464"/>
      <c r="M45" s="464"/>
      <c r="N45" s="464"/>
      <c r="O45" s="464"/>
      <c r="P45" s="464"/>
      <c r="R45" s="464"/>
      <c r="S45" s="464"/>
      <c r="T45" s="542"/>
      <c r="W45" s="453"/>
      <c r="X45" s="453"/>
      <c r="Y45" s="453"/>
      <c r="Z45" s="453"/>
      <c r="AB45" s="453"/>
      <c r="AC45" s="453"/>
      <c r="AD45" s="453"/>
      <c r="AE45" s="453"/>
    </row>
    <row r="46" spans="1:34" ht="5.2" customHeight="1" x14ac:dyDescent="0.55000000000000004">
      <c r="B46" s="462"/>
      <c r="D46" s="435"/>
      <c r="E46" s="435"/>
      <c r="F46" s="435"/>
      <c r="G46" s="435"/>
      <c r="H46" s="464"/>
      <c r="I46" s="464"/>
      <c r="K46" s="467"/>
      <c r="L46" s="467"/>
      <c r="M46" s="467"/>
      <c r="N46" s="467"/>
      <c r="O46" s="467"/>
      <c r="P46" s="467"/>
      <c r="Q46" s="467"/>
      <c r="R46" s="467"/>
      <c r="S46" s="467"/>
      <c r="T46" s="467"/>
      <c r="U46" s="467"/>
      <c r="V46" s="467"/>
      <c r="W46" s="467"/>
      <c r="X46" s="467"/>
      <c r="Y46" s="467"/>
      <c r="Z46" s="468"/>
      <c r="AB46" s="468"/>
      <c r="AC46" s="468"/>
      <c r="AD46" s="468"/>
      <c r="AE46" s="468"/>
    </row>
    <row r="47" spans="1:34" x14ac:dyDescent="0.55000000000000004">
      <c r="C47" s="42" t="s">
        <v>138</v>
      </c>
      <c r="D47" s="436" t="s">
        <v>1245</v>
      </c>
    </row>
    <row r="48" spans="1:34" x14ac:dyDescent="0.55000000000000004">
      <c r="C48" s="42" t="s">
        <v>139</v>
      </c>
      <c r="D48" s="436" t="s">
        <v>140</v>
      </c>
    </row>
    <row r="49" spans="3:26" s="436" customFormat="1" x14ac:dyDescent="0.55000000000000004">
      <c r="C49" s="42" t="s">
        <v>141</v>
      </c>
      <c r="D49" s="436" t="s">
        <v>142</v>
      </c>
    </row>
    <row r="56" spans="3:26" s="436" customFormat="1" x14ac:dyDescent="0.55000000000000004">
      <c r="Z56" s="543"/>
    </row>
    <row r="57" spans="3:26" s="436" customFormat="1" x14ac:dyDescent="0.55000000000000004">
      <c r="Z57" s="543"/>
    </row>
    <row r="58" spans="3:26" s="436" customFormat="1" x14ac:dyDescent="0.55000000000000004">
      <c r="Z58" s="543"/>
    </row>
    <row r="59" spans="3:26" s="436" customFormat="1" x14ac:dyDescent="0.55000000000000004">
      <c r="Z59" s="543"/>
    </row>
    <row r="60" spans="3:26" s="436" customFormat="1" x14ac:dyDescent="0.55000000000000004">
      <c r="Z60" s="543"/>
    </row>
    <row r="61" spans="3:26" s="436" customFormat="1" x14ac:dyDescent="0.55000000000000004">
      <c r="Z61" s="543"/>
    </row>
    <row r="62" spans="3:26" s="436" customFormat="1" x14ac:dyDescent="0.55000000000000004">
      <c r="Z62" s="544"/>
    </row>
  </sheetData>
  <mergeCells count="1">
    <mergeCell ref="AI28:AI32"/>
  </mergeCells>
  <conditionalFormatting sqref="K11:K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6:R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3:T18 L19:T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1:U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1:W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2:X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1:Y1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1:Z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3:AB18 AB1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3:AC1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3:AD18 AD1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3:AE1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3:AF18 AF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3:AG18 AG1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48F9-B688-40F9-8BBD-FC709F75CEE1}">
  <dimension ref="A1:BP838"/>
  <sheetViews>
    <sheetView zoomScale="77" zoomScaleNormal="85" workbookViewId="0">
      <pane xSplit="5" ySplit="4" topLeftCell="I5" activePane="bottomRight" state="frozen"/>
      <selection activeCell="I34" sqref="I34"/>
      <selection pane="topRight" activeCell="I34" sqref="I34"/>
      <selection pane="bottomLeft" activeCell="I34" sqref="I34"/>
      <selection pane="bottomRight" activeCell="Y16" sqref="Y16"/>
    </sheetView>
  </sheetViews>
  <sheetFormatPr defaultRowHeight="15.75" x14ac:dyDescent="0.55000000000000004"/>
  <cols>
    <col min="1" max="1" width="2.265625" style="45" customWidth="1"/>
    <col min="2" max="4" width="9.06640625" style="45" hidden="1" customWidth="1"/>
    <col min="5" max="5" width="74.73046875" style="45" bestFit="1" customWidth="1"/>
    <col min="6" max="9" width="9.1328125" style="45" bestFit="1" customWidth="1"/>
    <col min="10" max="10" width="9.265625" style="45" bestFit="1" customWidth="1"/>
    <col min="11" max="11" width="9.1328125" style="45" bestFit="1" customWidth="1"/>
    <col min="12" max="13" width="9.265625" style="45" bestFit="1" customWidth="1"/>
    <col min="14" max="15" width="9.1328125" style="45" bestFit="1" customWidth="1"/>
    <col min="16" max="16" width="9.265625" style="45" bestFit="1" customWidth="1"/>
    <col min="17" max="17" width="11.3984375" style="45" bestFit="1" customWidth="1"/>
    <col min="18" max="19" width="9.1328125" style="45" bestFit="1" customWidth="1"/>
    <col min="20" max="20" width="9.265625" style="45" bestFit="1" customWidth="1"/>
    <col min="21" max="50" width="9.1328125" style="45" bestFit="1" customWidth="1"/>
    <col min="51" max="51" width="9.265625" style="45" bestFit="1" customWidth="1"/>
    <col min="52" max="66" width="9.1328125" style="45" bestFit="1" customWidth="1"/>
    <col min="67" max="16384" width="9.06640625" style="45"/>
  </cols>
  <sheetData>
    <row r="1" spans="1:30" x14ac:dyDescent="0.55000000000000004">
      <c r="A1" s="132"/>
      <c r="B1" s="132"/>
      <c r="C1" s="132"/>
      <c r="D1" s="132"/>
      <c r="E1" s="763" t="s">
        <v>143</v>
      </c>
      <c r="F1" s="133"/>
      <c r="G1" s="133"/>
      <c r="H1" s="133"/>
      <c r="I1" s="141"/>
      <c r="J1" s="133"/>
      <c r="K1" s="133"/>
      <c r="L1" s="134" t="s">
        <v>144</v>
      </c>
      <c r="M1" s="133"/>
      <c r="N1" s="765" t="s">
        <v>145</v>
      </c>
      <c r="O1" s="765"/>
      <c r="P1" s="183">
        <v>1</v>
      </c>
      <c r="Q1" s="757" t="s">
        <v>146</v>
      </c>
      <c r="R1" s="758"/>
      <c r="S1" s="758"/>
      <c r="T1" s="759"/>
      <c r="U1" s="766">
        <v>182.41147566148516</v>
      </c>
      <c r="V1" s="766"/>
      <c r="W1" s="766"/>
      <c r="X1" s="133"/>
      <c r="Y1" s="133"/>
      <c r="Z1" s="133"/>
      <c r="AA1" s="133"/>
      <c r="AB1" s="135"/>
      <c r="AC1" s="136"/>
      <c r="AD1" s="133"/>
    </row>
    <row r="2" spans="1:30" x14ac:dyDescent="0.55000000000000004">
      <c r="A2" s="137"/>
      <c r="B2" s="137"/>
      <c r="C2" s="137"/>
      <c r="D2" s="137"/>
      <c r="E2" s="764"/>
      <c r="F2" s="329"/>
      <c r="G2" s="329" t="s">
        <v>147</v>
      </c>
      <c r="H2" s="138" t="s">
        <v>148</v>
      </c>
      <c r="I2" s="138" t="s">
        <v>149</v>
      </c>
      <c r="J2" s="138" t="s">
        <v>0</v>
      </c>
      <c r="K2" s="138" t="s">
        <v>150</v>
      </c>
      <c r="L2" s="138" t="s">
        <v>151</v>
      </c>
      <c r="M2" s="138" t="s">
        <v>152</v>
      </c>
      <c r="N2" s="138" t="s">
        <v>153</v>
      </c>
      <c r="O2" s="138" t="s">
        <v>154</v>
      </c>
      <c r="P2" s="138" t="s">
        <v>155</v>
      </c>
      <c r="Q2" s="760"/>
      <c r="R2" s="761"/>
      <c r="S2" s="761"/>
      <c r="T2" s="762"/>
      <c r="U2" s="767"/>
      <c r="V2" s="767"/>
      <c r="W2" s="767"/>
      <c r="X2" s="139"/>
      <c r="Y2" s="139"/>
      <c r="Z2" s="139"/>
      <c r="AA2" s="139"/>
      <c r="AB2" s="330"/>
      <c r="AC2" s="140"/>
      <c r="AD2" s="139"/>
    </row>
    <row r="3" spans="1:30" x14ac:dyDescent="0.55000000000000004">
      <c r="A3" s="133"/>
      <c r="B3" s="133"/>
      <c r="C3" s="133"/>
      <c r="D3" s="133"/>
      <c r="E3" s="141" t="s">
        <v>156</v>
      </c>
      <c r="F3" s="142">
        <v>-10</v>
      </c>
      <c r="G3" s="142">
        <v>-9</v>
      </c>
      <c r="H3" s="142">
        <v>-8</v>
      </c>
      <c r="I3" s="142">
        <v>-7</v>
      </c>
      <c r="J3" s="142">
        <v>-6</v>
      </c>
      <c r="K3" s="142">
        <v>-5</v>
      </c>
      <c r="L3" s="142">
        <v>-4</v>
      </c>
      <c r="M3" s="142">
        <v>-3</v>
      </c>
      <c r="N3" s="142">
        <v>-2</v>
      </c>
      <c r="O3" s="142">
        <v>-1</v>
      </c>
      <c r="P3" s="143">
        <v>0</v>
      </c>
      <c r="Q3" s="144">
        <v>1</v>
      </c>
      <c r="R3" s="144">
        <v>2</v>
      </c>
      <c r="S3" s="144">
        <v>3</v>
      </c>
      <c r="T3" s="144">
        <v>4</v>
      </c>
      <c r="U3" s="144">
        <v>5</v>
      </c>
      <c r="V3" s="144">
        <v>6</v>
      </c>
      <c r="W3" s="144">
        <v>7</v>
      </c>
      <c r="X3" s="144">
        <v>8</v>
      </c>
      <c r="Y3" s="144">
        <v>9</v>
      </c>
      <c r="Z3" s="144">
        <v>10</v>
      </c>
      <c r="AA3" s="133"/>
      <c r="AB3" s="141" t="s">
        <v>157</v>
      </c>
      <c r="AC3" s="133"/>
      <c r="AD3" s="141" t="s">
        <v>158</v>
      </c>
    </row>
    <row r="4" spans="1:30" x14ac:dyDescent="0.55000000000000004">
      <c r="A4" s="176"/>
      <c r="B4" s="176"/>
      <c r="C4" s="176"/>
      <c r="D4" s="176"/>
      <c r="E4" s="141" t="s">
        <v>159</v>
      </c>
      <c r="F4" s="331">
        <v>2012</v>
      </c>
      <c r="G4" s="331">
        <v>2013</v>
      </c>
      <c r="H4" s="331">
        <v>2014</v>
      </c>
      <c r="I4" s="331">
        <v>2015</v>
      </c>
      <c r="J4" s="331">
        <v>2016</v>
      </c>
      <c r="K4" s="331">
        <v>2017</v>
      </c>
      <c r="L4" s="331">
        <v>2018</v>
      </c>
      <c r="M4" s="331">
        <v>2019</v>
      </c>
      <c r="N4" s="331">
        <v>2020</v>
      </c>
      <c r="O4" s="331">
        <v>2021</v>
      </c>
      <c r="P4" s="332">
        <v>2022</v>
      </c>
      <c r="Q4" s="333">
        <v>2023</v>
      </c>
      <c r="R4" s="331">
        <v>2024</v>
      </c>
      <c r="S4" s="331">
        <v>2025</v>
      </c>
      <c r="T4" s="331">
        <v>2026</v>
      </c>
      <c r="U4" s="331">
        <v>2027</v>
      </c>
      <c r="V4" s="331">
        <v>2028</v>
      </c>
      <c r="W4" s="331">
        <v>2029</v>
      </c>
      <c r="X4" s="331">
        <v>2030</v>
      </c>
      <c r="Y4" s="331">
        <v>2031</v>
      </c>
      <c r="Z4" s="331">
        <v>2032</v>
      </c>
      <c r="AA4" s="176"/>
      <c r="AB4" s="141" t="s">
        <v>160</v>
      </c>
      <c r="AC4" s="176"/>
      <c r="AD4" s="141" t="s">
        <v>160</v>
      </c>
    </row>
    <row r="5" spans="1:30" x14ac:dyDescent="0.55000000000000004">
      <c r="A5" s="142"/>
      <c r="B5" s="142"/>
      <c r="C5" s="142"/>
      <c r="D5" s="142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44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</row>
    <row r="6" spans="1:30" x14ac:dyDescent="0.55000000000000004">
      <c r="A6" s="144"/>
      <c r="B6" s="144"/>
      <c r="C6" s="144"/>
      <c r="D6" s="144"/>
      <c r="E6" s="145" t="s">
        <v>161</v>
      </c>
      <c r="F6" s="144"/>
      <c r="G6" s="144"/>
      <c r="H6" s="144"/>
      <c r="I6" s="334" t="s">
        <v>162</v>
      </c>
      <c r="J6" s="237"/>
      <c r="K6" s="335">
        <v>205</v>
      </c>
      <c r="L6" s="237" t="s">
        <v>163</v>
      </c>
      <c r="M6" s="237"/>
      <c r="N6" s="278"/>
      <c r="O6" s="144"/>
      <c r="P6" s="334" t="s">
        <v>164</v>
      </c>
      <c r="Q6" s="237"/>
      <c r="R6" s="237"/>
      <c r="S6" s="146" t="s">
        <v>165</v>
      </c>
      <c r="T6" s="237" t="s">
        <v>166</v>
      </c>
      <c r="U6" s="237"/>
      <c r="V6" s="237"/>
      <c r="W6" s="237"/>
      <c r="X6" s="278"/>
      <c r="Y6" s="144"/>
      <c r="Z6" s="144"/>
      <c r="AA6" s="144"/>
      <c r="AB6" s="144"/>
      <c r="AC6" s="144"/>
      <c r="AD6" s="144"/>
    </row>
    <row r="7" spans="1:30" ht="16.149999999999999" thickBot="1" x14ac:dyDescent="0.6">
      <c r="A7" s="158"/>
      <c r="B7" s="158"/>
      <c r="C7" s="158"/>
      <c r="D7" s="158"/>
      <c r="E7" s="739" t="s">
        <v>167</v>
      </c>
      <c r="F7" s="144"/>
      <c r="G7" s="144"/>
      <c r="H7" s="144"/>
      <c r="I7" s="285" t="s">
        <v>168</v>
      </c>
      <c r="J7" s="253"/>
      <c r="K7" s="336" t="s">
        <v>169</v>
      </c>
      <c r="L7" s="253" t="s">
        <v>170</v>
      </c>
      <c r="M7" s="253"/>
      <c r="N7" s="254"/>
      <c r="O7" s="144"/>
      <c r="P7" s="220"/>
      <c r="Q7" s="144"/>
      <c r="R7" s="144"/>
      <c r="S7" s="144"/>
      <c r="T7" s="317"/>
      <c r="U7" s="144"/>
      <c r="V7" s="144"/>
      <c r="W7" s="144"/>
      <c r="X7" s="251"/>
      <c r="Y7" s="144"/>
      <c r="Z7" s="144"/>
      <c r="AA7" s="144"/>
      <c r="AB7" s="144"/>
      <c r="AC7" s="144"/>
      <c r="AD7" s="144"/>
    </row>
    <row r="8" spans="1:30" x14ac:dyDescent="0.55000000000000004">
      <c r="A8" s="158"/>
      <c r="B8" s="158"/>
      <c r="C8" s="158"/>
      <c r="D8" s="158"/>
      <c r="E8" s="739"/>
      <c r="F8" s="144"/>
      <c r="G8" s="144"/>
      <c r="H8" s="144"/>
      <c r="I8" s="174"/>
      <c r="J8" s="174"/>
      <c r="K8" s="174"/>
      <c r="L8" s="174"/>
      <c r="M8" s="174"/>
      <c r="N8" s="174"/>
      <c r="O8" s="144"/>
      <c r="P8" s="235" t="s">
        <v>171</v>
      </c>
      <c r="Q8" s="144"/>
      <c r="R8" s="144"/>
      <c r="S8" s="144"/>
      <c r="T8" s="144"/>
      <c r="U8" s="221" t="s">
        <v>172</v>
      </c>
      <c r="V8" s="144"/>
      <c r="W8" s="221" t="s">
        <v>173</v>
      </c>
      <c r="X8" s="251"/>
      <c r="Y8" s="144"/>
      <c r="Z8" s="144"/>
      <c r="AA8" s="144"/>
      <c r="AB8" s="144"/>
      <c r="AC8" s="144"/>
      <c r="AD8" s="144"/>
    </row>
    <row r="9" spans="1:30" x14ac:dyDescent="0.55000000000000004">
      <c r="A9" s="144"/>
      <c r="B9" s="158"/>
      <c r="C9" s="158"/>
      <c r="D9" s="158"/>
      <c r="E9" s="147"/>
      <c r="F9" s="144"/>
      <c r="G9" s="144"/>
      <c r="H9" s="144"/>
      <c r="I9" s="334" t="s">
        <v>174</v>
      </c>
      <c r="J9" s="237"/>
      <c r="K9" s="237"/>
      <c r="L9" s="237"/>
      <c r="M9" s="237"/>
      <c r="N9" s="278"/>
      <c r="O9" s="144"/>
      <c r="P9" s="220" t="s">
        <v>175</v>
      </c>
      <c r="Q9" s="144"/>
      <c r="R9" s="144"/>
      <c r="S9" s="315">
        <v>0.2</v>
      </c>
      <c r="T9" s="144"/>
      <c r="U9" s="337">
        <v>0.44028128971974007</v>
      </c>
      <c r="V9" s="144"/>
      <c r="W9" s="337">
        <v>0.13162668723917026</v>
      </c>
      <c r="X9" s="251"/>
      <c r="Y9" s="144"/>
      <c r="Z9" s="144"/>
      <c r="AA9" s="144"/>
      <c r="AB9" s="144"/>
      <c r="AC9" s="144"/>
      <c r="AD9" s="144"/>
    </row>
    <row r="10" spans="1:30" x14ac:dyDescent="0.55000000000000004">
      <c r="A10" s="158"/>
      <c r="B10" s="158"/>
      <c r="C10" s="158"/>
      <c r="D10" s="158"/>
      <c r="E10" s="739" t="s">
        <v>176</v>
      </c>
      <c r="F10" s="144"/>
      <c r="G10" s="144"/>
      <c r="H10" s="144"/>
      <c r="I10" s="220" t="s">
        <v>177</v>
      </c>
      <c r="J10" s="144"/>
      <c r="K10" s="144"/>
      <c r="L10" s="144"/>
      <c r="M10" s="177">
        <v>0.13427700000000001</v>
      </c>
      <c r="N10" s="251"/>
      <c r="O10" s="144"/>
      <c r="P10" s="220" t="s">
        <v>178</v>
      </c>
      <c r="Q10" s="144"/>
      <c r="R10" s="144"/>
      <c r="S10" s="315">
        <v>6.7500000000000004E-2</v>
      </c>
      <c r="T10" s="144"/>
      <c r="U10" s="337">
        <v>-1.8274397383468277</v>
      </c>
      <c r="V10" s="144"/>
      <c r="W10" s="337" t="e">
        <v>#NUM!</v>
      </c>
      <c r="X10" s="251"/>
      <c r="Y10" s="144"/>
      <c r="Z10" s="144"/>
      <c r="AA10" s="144"/>
      <c r="AB10" s="144"/>
      <c r="AC10" s="144"/>
      <c r="AD10" s="144"/>
    </row>
    <row r="11" spans="1:30" x14ac:dyDescent="0.55000000000000004">
      <c r="A11" s="158"/>
      <c r="B11" s="158"/>
      <c r="C11" s="158"/>
      <c r="D11" s="158"/>
      <c r="E11" s="739"/>
      <c r="F11" s="144"/>
      <c r="G11" s="144"/>
      <c r="H11" s="144"/>
      <c r="I11" s="338" t="s">
        <v>179</v>
      </c>
      <c r="J11" s="144"/>
      <c r="K11" s="144"/>
      <c r="L11" s="144"/>
      <c r="M11" s="144"/>
      <c r="N11" s="251"/>
      <c r="O11" s="144"/>
      <c r="P11" s="339" t="s">
        <v>180</v>
      </c>
      <c r="Q11" s="144"/>
      <c r="R11" s="144"/>
      <c r="S11" s="178">
        <v>0.33750000000000002</v>
      </c>
      <c r="T11" s="144"/>
      <c r="U11" s="243">
        <v>0.37523484898104398</v>
      </c>
      <c r="V11" s="149"/>
      <c r="W11" s="243">
        <v>-2.8524635768254248E-2</v>
      </c>
      <c r="X11" s="251"/>
      <c r="Y11" s="144"/>
      <c r="Z11" s="144"/>
      <c r="AA11" s="144"/>
      <c r="AB11" s="144"/>
      <c r="AC11" s="144"/>
      <c r="AD11" s="144"/>
    </row>
    <row r="12" spans="1:30" ht="16.149999999999999" thickBot="1" x14ac:dyDescent="0.6">
      <c r="A12" s="144"/>
      <c r="B12" s="158"/>
      <c r="C12" s="158"/>
      <c r="D12" s="158"/>
      <c r="E12" s="147"/>
      <c r="F12" s="144"/>
      <c r="G12" s="144"/>
      <c r="H12" s="144"/>
      <c r="I12" s="220" t="s">
        <v>181</v>
      </c>
      <c r="J12" s="144"/>
      <c r="K12" s="144"/>
      <c r="L12" s="144"/>
      <c r="M12" s="177">
        <v>1</v>
      </c>
      <c r="N12" s="251"/>
      <c r="O12" s="144"/>
      <c r="P12" s="220" t="s">
        <v>182</v>
      </c>
      <c r="Q12" s="144"/>
      <c r="R12" s="144"/>
      <c r="S12" s="340">
        <v>1</v>
      </c>
      <c r="T12" s="144"/>
      <c r="U12" s="144"/>
      <c r="V12" s="144"/>
      <c r="W12" s="144"/>
      <c r="X12" s="251"/>
      <c r="Y12" s="144"/>
      <c r="Z12" s="144"/>
      <c r="AA12" s="144"/>
      <c r="AB12" s="144"/>
      <c r="AC12" s="144"/>
      <c r="AD12" s="144"/>
    </row>
    <row r="13" spans="1:30" x14ac:dyDescent="0.55000000000000004">
      <c r="A13" s="158"/>
      <c r="B13" s="158"/>
      <c r="C13" s="158"/>
      <c r="D13" s="158"/>
      <c r="E13" s="739" t="s">
        <v>183</v>
      </c>
      <c r="F13" s="176"/>
      <c r="G13" s="144"/>
      <c r="H13" s="144"/>
      <c r="I13" s="341"/>
      <c r="J13" s="174"/>
      <c r="K13" s="174"/>
      <c r="L13" s="174"/>
      <c r="M13" s="342"/>
      <c r="N13" s="343"/>
      <c r="O13" s="144"/>
      <c r="P13" s="295" t="s">
        <v>184</v>
      </c>
      <c r="Q13" s="144"/>
      <c r="R13" s="144"/>
      <c r="S13" s="144"/>
      <c r="T13" s="144"/>
      <c r="U13" s="144"/>
      <c r="V13" s="144"/>
      <c r="W13" s="144"/>
      <c r="X13" s="251"/>
      <c r="Y13" s="144"/>
      <c r="Z13" s="144"/>
      <c r="AA13" s="144"/>
      <c r="AB13" s="144"/>
      <c r="AC13" s="144"/>
      <c r="AD13" s="144"/>
    </row>
    <row r="14" spans="1:30" x14ac:dyDescent="0.55000000000000004">
      <c r="A14" s="158"/>
      <c r="B14" s="158"/>
      <c r="C14" s="158"/>
      <c r="D14" s="158"/>
      <c r="E14" s="739"/>
      <c r="F14" s="144"/>
      <c r="G14" s="144"/>
      <c r="H14" s="144"/>
      <c r="I14" s="334" t="s">
        <v>185</v>
      </c>
      <c r="J14" s="237"/>
      <c r="K14" s="344" t="s">
        <v>186</v>
      </c>
      <c r="L14" s="237"/>
      <c r="M14" s="344" t="s">
        <v>187</v>
      </c>
      <c r="N14" s="345" t="s">
        <v>188</v>
      </c>
      <c r="O14" s="144"/>
      <c r="P14" s="235" t="s">
        <v>189</v>
      </c>
      <c r="Q14" s="144"/>
      <c r="R14" s="144"/>
      <c r="S14" s="144"/>
      <c r="T14" s="144"/>
      <c r="U14" s="221" t="s">
        <v>190</v>
      </c>
      <c r="V14" s="144"/>
      <c r="W14" s="144"/>
      <c r="X14" s="251"/>
      <c r="Y14" s="144"/>
      <c r="Z14" s="144"/>
      <c r="AA14" s="144"/>
      <c r="AB14" s="144"/>
      <c r="AC14" s="144"/>
      <c r="AD14" s="144"/>
    </row>
    <row r="15" spans="1:30" x14ac:dyDescent="0.55000000000000004">
      <c r="A15" s="144"/>
      <c r="B15" s="158"/>
      <c r="C15" s="158"/>
      <c r="D15" s="158"/>
      <c r="E15" s="147"/>
      <c r="F15" s="144"/>
      <c r="G15" s="144"/>
      <c r="H15" s="144"/>
      <c r="I15" s="220" t="s">
        <v>191</v>
      </c>
      <c r="J15" s="144"/>
      <c r="K15" s="346">
        <v>283</v>
      </c>
      <c r="L15" s="144"/>
      <c r="M15" s="184">
        <v>2</v>
      </c>
      <c r="N15" s="347">
        <v>0.25</v>
      </c>
      <c r="O15" s="144"/>
      <c r="P15" s="220" t="s">
        <v>192</v>
      </c>
      <c r="Q15" s="144"/>
      <c r="R15" s="144"/>
      <c r="S15" s="275"/>
      <c r="T15" s="144"/>
      <c r="U15" s="348">
        <v>1.0364858309605942</v>
      </c>
      <c r="V15" s="144"/>
      <c r="W15" s="144"/>
      <c r="X15" s="251"/>
      <c r="Y15" s="144"/>
      <c r="Z15" s="144"/>
      <c r="AA15" s="144"/>
      <c r="AB15" s="144"/>
      <c r="AC15" s="144"/>
      <c r="AD15" s="144"/>
    </row>
    <row r="16" spans="1:30" x14ac:dyDescent="0.55000000000000004">
      <c r="A16" s="158"/>
      <c r="B16" s="158"/>
      <c r="C16" s="158"/>
      <c r="D16" s="158"/>
      <c r="E16" s="739"/>
      <c r="F16" s="149"/>
      <c r="G16" s="149"/>
      <c r="H16" s="149"/>
      <c r="I16" s="220" t="s">
        <v>145</v>
      </c>
      <c r="J16" s="144"/>
      <c r="K16" s="346">
        <v>182</v>
      </c>
      <c r="L16" s="144"/>
      <c r="M16" s="184">
        <v>1</v>
      </c>
      <c r="N16" s="347">
        <v>0.5</v>
      </c>
      <c r="O16" s="149"/>
      <c r="P16" s="220" t="s">
        <v>193</v>
      </c>
      <c r="Q16" s="149"/>
      <c r="R16" s="149"/>
      <c r="S16" s="275"/>
      <c r="T16" s="144"/>
      <c r="U16" s="348">
        <v>15.379899625296254</v>
      </c>
      <c r="V16" s="149"/>
      <c r="W16" s="149"/>
      <c r="X16" s="349"/>
      <c r="Y16" s="149"/>
      <c r="Z16" s="149"/>
      <c r="AA16" s="149"/>
      <c r="AB16" s="149"/>
      <c r="AC16" s="149"/>
      <c r="AD16" s="149"/>
    </row>
    <row r="17" spans="1:30" x14ac:dyDescent="0.55000000000000004">
      <c r="A17" s="158"/>
      <c r="B17" s="158"/>
      <c r="C17" s="158"/>
      <c r="D17" s="158"/>
      <c r="E17" s="739"/>
      <c r="F17" s="144"/>
      <c r="G17" s="144"/>
      <c r="H17" s="144"/>
      <c r="I17" s="220" t="s">
        <v>194</v>
      </c>
      <c r="J17" s="144"/>
      <c r="K17" s="346">
        <v>114</v>
      </c>
      <c r="L17" s="144"/>
      <c r="M17" s="184">
        <v>3</v>
      </c>
      <c r="N17" s="347">
        <v>0.25</v>
      </c>
      <c r="O17" s="144"/>
      <c r="P17" s="220" t="s">
        <v>94</v>
      </c>
      <c r="Q17" s="144"/>
      <c r="R17" s="144"/>
      <c r="S17" s="275"/>
      <c r="T17" s="144"/>
      <c r="U17" s="348">
        <v>8.5325090688218523</v>
      </c>
      <c r="V17" s="144"/>
      <c r="W17" s="144"/>
      <c r="X17" s="251"/>
      <c r="Y17" s="144"/>
      <c r="Z17" s="144"/>
      <c r="AA17" s="144"/>
      <c r="AB17" s="144"/>
      <c r="AC17" s="144"/>
      <c r="AD17" s="144"/>
    </row>
    <row r="18" spans="1:30" x14ac:dyDescent="0.55000000000000004">
      <c r="A18" s="144"/>
      <c r="B18" s="158"/>
      <c r="C18" s="158"/>
      <c r="D18" s="158"/>
      <c r="E18" s="147"/>
      <c r="F18" s="144"/>
      <c r="G18" s="144"/>
      <c r="H18" s="144"/>
      <c r="I18" s="220"/>
      <c r="J18" s="144"/>
      <c r="K18" s="165"/>
      <c r="L18" s="144"/>
      <c r="M18" s="184"/>
      <c r="N18" s="347"/>
      <c r="O18" s="144"/>
      <c r="P18" s="220" t="s">
        <v>134</v>
      </c>
      <c r="Q18" s="144"/>
      <c r="R18" s="144"/>
      <c r="S18" s="144"/>
      <c r="T18" s="144"/>
      <c r="U18" s="348">
        <v>21.932671271170257</v>
      </c>
      <c r="V18" s="144"/>
      <c r="W18" s="144"/>
      <c r="X18" s="251"/>
      <c r="Y18" s="144"/>
      <c r="Z18" s="144"/>
      <c r="AA18" s="144"/>
      <c r="AB18" s="144"/>
      <c r="AC18" s="144"/>
      <c r="AD18" s="144"/>
    </row>
    <row r="19" spans="1:30" x14ac:dyDescent="0.55000000000000004">
      <c r="A19" s="158"/>
      <c r="B19" s="158"/>
      <c r="C19" s="158"/>
      <c r="D19" s="158"/>
      <c r="E19" s="739"/>
      <c r="F19" s="176"/>
      <c r="G19" s="144"/>
      <c r="H19" s="144"/>
      <c r="I19" s="220"/>
      <c r="J19" s="144"/>
      <c r="K19" s="165"/>
      <c r="L19" s="144"/>
      <c r="M19" s="184"/>
      <c r="N19" s="347"/>
      <c r="O19" s="144"/>
      <c r="P19" s="220"/>
      <c r="Q19" s="144"/>
      <c r="R19" s="144"/>
      <c r="S19" s="144"/>
      <c r="T19" s="144"/>
      <c r="U19" s="144"/>
      <c r="V19" s="144"/>
      <c r="W19" s="144"/>
      <c r="X19" s="251"/>
      <c r="Y19" s="144"/>
      <c r="Z19" s="144"/>
      <c r="AA19" s="144"/>
      <c r="AB19" s="144"/>
      <c r="AC19" s="144"/>
      <c r="AD19" s="144"/>
    </row>
    <row r="20" spans="1:30" ht="16.149999999999999" thickBot="1" x14ac:dyDescent="0.6">
      <c r="A20" s="158"/>
      <c r="B20" s="158"/>
      <c r="C20" s="158"/>
      <c r="D20" s="158"/>
      <c r="E20" s="739"/>
      <c r="F20" s="144"/>
      <c r="G20" s="144"/>
      <c r="H20" s="144"/>
      <c r="I20" s="235"/>
      <c r="J20" s="144"/>
      <c r="K20" s="350"/>
      <c r="L20" s="144"/>
      <c r="M20" s="770" t="s">
        <v>195</v>
      </c>
      <c r="N20" s="771"/>
      <c r="O20" s="144"/>
      <c r="P20" s="252" t="s">
        <v>196</v>
      </c>
      <c r="Q20" s="253"/>
      <c r="R20" s="253"/>
      <c r="S20" s="253"/>
      <c r="T20" s="148"/>
      <c r="U20" s="253"/>
      <c r="V20" s="253"/>
      <c r="W20" s="253"/>
      <c r="X20" s="254"/>
      <c r="Y20" s="144"/>
      <c r="Z20" s="144"/>
      <c r="AA20" s="144"/>
      <c r="AB20" s="144"/>
      <c r="AC20" s="144"/>
      <c r="AD20" s="144"/>
    </row>
    <row r="21" spans="1:30" x14ac:dyDescent="0.55000000000000004">
      <c r="A21" s="144"/>
      <c r="B21" s="158"/>
      <c r="C21" s="158"/>
      <c r="D21" s="158"/>
      <c r="E21" s="147"/>
      <c r="F21" s="144"/>
      <c r="G21" s="144"/>
      <c r="H21" s="144"/>
      <c r="I21" s="220"/>
      <c r="J21" s="144"/>
      <c r="K21" s="144"/>
      <c r="L21" s="144"/>
      <c r="M21" s="768" t="s">
        <v>71</v>
      </c>
      <c r="N21" s="769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</row>
    <row r="22" spans="1:30" ht="16.149999999999999" thickBot="1" x14ac:dyDescent="0.6">
      <c r="A22" s="158"/>
      <c r="B22" s="158"/>
      <c r="C22" s="158"/>
      <c r="D22" s="158"/>
      <c r="E22" s="739"/>
      <c r="F22" s="144"/>
      <c r="G22" s="144"/>
      <c r="H22" s="144"/>
      <c r="I22" s="252"/>
      <c r="J22" s="253"/>
      <c r="K22" s="351"/>
      <c r="L22" s="253"/>
      <c r="M22" s="747"/>
      <c r="N22" s="772"/>
      <c r="O22" s="144"/>
      <c r="P22" s="352" t="s">
        <v>197</v>
      </c>
      <c r="Q22" s="353"/>
      <c r="R22" s="354" t="s">
        <v>198</v>
      </c>
      <c r="S22" s="353"/>
      <c r="T22" s="353"/>
      <c r="U22" s="355"/>
      <c r="V22" s="144"/>
      <c r="W22" s="144"/>
      <c r="X22" s="144"/>
      <c r="Y22" s="144"/>
      <c r="Z22" s="144"/>
      <c r="AA22" s="144"/>
      <c r="AB22" s="144"/>
      <c r="AC22" s="144"/>
      <c r="AD22" s="144"/>
    </row>
    <row r="23" spans="1:30" x14ac:dyDescent="0.55000000000000004">
      <c r="A23" s="158"/>
      <c r="B23" s="158"/>
      <c r="C23" s="158"/>
      <c r="D23" s="158"/>
      <c r="E23" s="739"/>
      <c r="F23" s="176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</row>
    <row r="24" spans="1:30" x14ac:dyDescent="0.55000000000000004">
      <c r="A24" s="144"/>
      <c r="B24" s="158"/>
      <c r="C24" s="158"/>
      <c r="D24" s="158"/>
      <c r="E24" s="147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39"/>
      <c r="Q24" s="139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</row>
    <row r="25" spans="1:30" x14ac:dyDescent="0.55000000000000004">
      <c r="A25" s="203" t="s">
        <v>199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</row>
    <row r="26" spans="1:30" x14ac:dyDescent="0.55000000000000004">
      <c r="A26" s="144"/>
      <c r="B26" s="144"/>
      <c r="C26" s="144"/>
      <c r="D26" s="144"/>
      <c r="E26" s="149"/>
      <c r="F26" s="149"/>
      <c r="G26" s="149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</row>
    <row r="27" spans="1:30" x14ac:dyDescent="0.55000000000000004">
      <c r="A27" s="133"/>
      <c r="B27" s="133"/>
      <c r="C27" s="133"/>
      <c r="D27" s="133"/>
      <c r="E27" s="144" t="s">
        <v>1</v>
      </c>
      <c r="F27" s="150">
        <v>7216</v>
      </c>
      <c r="G27" s="150">
        <v>6084</v>
      </c>
      <c r="H27" s="150">
        <v>6910</v>
      </c>
      <c r="I27" s="150">
        <v>8423</v>
      </c>
      <c r="J27" s="150">
        <v>10237</v>
      </c>
      <c r="K27" s="150">
        <v>9953</v>
      </c>
      <c r="L27" s="150">
        <v>10134</v>
      </c>
      <c r="M27" s="150">
        <v>12147</v>
      </c>
      <c r="N27" s="150">
        <v>14819</v>
      </c>
      <c r="O27" s="150">
        <v>15587</v>
      </c>
      <c r="P27" s="150">
        <v>14486</v>
      </c>
      <c r="Q27" s="150">
        <v>15302.771878592828</v>
      </c>
      <c r="R27" s="150">
        <v>18812.027437940502</v>
      </c>
      <c r="S27" s="150">
        <v>24073.291302586356</v>
      </c>
      <c r="T27" s="150">
        <v>27998.48051102406</v>
      </c>
      <c r="U27" s="150">
        <v>30351.16399101261</v>
      </c>
      <c r="V27" s="150">
        <v>33025.575395000589</v>
      </c>
      <c r="W27" s="150">
        <v>35769.928072312963</v>
      </c>
      <c r="X27" s="150">
        <v>38229.527361116205</v>
      </c>
      <c r="Y27" s="150">
        <v>40473.716480846582</v>
      </c>
      <c r="Z27" s="150">
        <v>42126.94476459689</v>
      </c>
      <c r="AA27" s="133"/>
      <c r="AB27" s="133"/>
      <c r="AC27" s="133"/>
      <c r="AD27" s="133"/>
    </row>
    <row r="28" spans="1:30" x14ac:dyDescent="0.55000000000000004">
      <c r="A28" s="149"/>
      <c r="B28" s="149"/>
      <c r="C28" s="149"/>
      <c r="D28" s="149"/>
      <c r="E28" s="149" t="s">
        <v>200</v>
      </c>
      <c r="F28" s="149"/>
      <c r="G28" s="151">
        <v>-0.15687361419068735</v>
      </c>
      <c r="H28" s="151">
        <v>0.13576594345825121</v>
      </c>
      <c r="I28" s="151">
        <v>0.21895803183791607</v>
      </c>
      <c r="J28" s="151">
        <v>0.2153626973762317</v>
      </c>
      <c r="K28" s="151">
        <v>-2.7742502686333936E-2</v>
      </c>
      <c r="L28" s="151">
        <v>1.818547171707019E-2</v>
      </c>
      <c r="M28" s="151">
        <v>0.19863824748371828</v>
      </c>
      <c r="N28" s="151">
        <v>0.2199720095496831</v>
      </c>
      <c r="O28" s="151">
        <v>5.1825359335987642E-2</v>
      </c>
      <c r="P28" s="151">
        <v>-7.0635786232116526E-2</v>
      </c>
      <c r="Q28" s="151">
        <v>5.6383534349912168E-2</v>
      </c>
      <c r="R28" s="151">
        <v>0.22932156260244585</v>
      </c>
      <c r="S28" s="151">
        <v>0.27967553640894782</v>
      </c>
      <c r="T28" s="151">
        <v>0.16305162260949313</v>
      </c>
      <c r="U28" s="151">
        <v>8.4028970038649398E-2</v>
      </c>
      <c r="V28" s="151">
        <v>8.8115612461515669E-2</v>
      </c>
      <c r="W28" s="151">
        <v>8.3097800552713874E-2</v>
      </c>
      <c r="X28" s="151">
        <v>6.8761650396133911E-2</v>
      </c>
      <c r="Y28" s="151">
        <v>5.8703030736732886E-2</v>
      </c>
      <c r="Z28" s="151">
        <v>4.0846960138505306E-2</v>
      </c>
      <c r="AA28" s="149"/>
      <c r="AB28" s="152">
        <v>6.0457211451204529E-2</v>
      </c>
      <c r="AC28" s="153"/>
      <c r="AD28" s="152">
        <v>0.15943224420568591</v>
      </c>
    </row>
    <row r="29" spans="1:30" x14ac:dyDescent="0.55000000000000004">
      <c r="A29" s="149"/>
      <c r="B29" s="149"/>
      <c r="C29" s="149"/>
      <c r="D29" s="149"/>
      <c r="E29" s="149"/>
      <c r="F29" s="149"/>
      <c r="G29" s="149"/>
      <c r="H29" s="149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49"/>
      <c r="AB29" s="153"/>
      <c r="AC29" s="153"/>
      <c r="AD29" s="153"/>
    </row>
    <row r="30" spans="1:30" x14ac:dyDescent="0.55000000000000004">
      <c r="A30" s="133"/>
      <c r="B30" s="133"/>
      <c r="C30" s="133"/>
      <c r="D30" s="133"/>
      <c r="E30" s="144" t="s">
        <v>201</v>
      </c>
      <c r="F30" s="150">
        <v>6222</v>
      </c>
      <c r="G30" s="150">
        <v>5049</v>
      </c>
      <c r="H30" s="150">
        <v>5590</v>
      </c>
      <c r="I30" s="150">
        <v>6785</v>
      </c>
      <c r="J30" s="150">
        <v>7935</v>
      </c>
      <c r="K30" s="150">
        <v>7789</v>
      </c>
      <c r="L30" s="150">
        <v>8298</v>
      </c>
      <c r="M30" s="150">
        <v>10137</v>
      </c>
      <c r="N30" s="150">
        <v>13009</v>
      </c>
      <c r="O30" s="150">
        <v>13587</v>
      </c>
      <c r="P30" s="150">
        <v>13999</v>
      </c>
      <c r="Q30" s="150">
        <v>14297.274719917214</v>
      </c>
      <c r="R30" s="150">
        <v>16483.642983432754</v>
      </c>
      <c r="S30" s="150">
        <v>20734.284816951145</v>
      </c>
      <c r="T30" s="150">
        <v>23902.715446963051</v>
      </c>
      <c r="U30" s="150">
        <v>25696.471774518875</v>
      </c>
      <c r="V30" s="150">
        <v>27812.768978828932</v>
      </c>
      <c r="W30" s="150">
        <v>30115.055121485646</v>
      </c>
      <c r="X30" s="150">
        <v>32167.45467528432</v>
      </c>
      <c r="Y30" s="150">
        <v>34033.387294272732</v>
      </c>
      <c r="Z30" s="150">
        <v>35336.353604219679</v>
      </c>
      <c r="AA30" s="133"/>
      <c r="AB30" s="141"/>
      <c r="AC30" s="141"/>
      <c r="AD30" s="141"/>
    </row>
    <row r="31" spans="1:30" x14ac:dyDescent="0.55000000000000004">
      <c r="A31" s="149"/>
      <c r="B31" s="149"/>
      <c r="C31" s="149"/>
      <c r="D31" s="149"/>
      <c r="E31" s="149" t="s">
        <v>202</v>
      </c>
      <c r="F31" s="151">
        <v>0.8622505543237251</v>
      </c>
      <c r="G31" s="151">
        <v>0.82988165680473369</v>
      </c>
      <c r="H31" s="151">
        <v>0.80897250361794504</v>
      </c>
      <c r="I31" s="151">
        <v>0.80553247061617006</v>
      </c>
      <c r="J31" s="151">
        <v>0.77512943245091337</v>
      </c>
      <c r="K31" s="151">
        <v>0.78257811715060788</v>
      </c>
      <c r="L31" s="151">
        <v>0.81882770870337473</v>
      </c>
      <c r="M31" s="151">
        <v>0.83452704371449737</v>
      </c>
      <c r="N31" s="151">
        <v>0.87785950468992513</v>
      </c>
      <c r="O31" s="151">
        <v>0.87168794508244052</v>
      </c>
      <c r="P31" s="151">
        <v>0.96638133370150492</v>
      </c>
      <c r="Q31" s="151">
        <v>0.93429313547552695</v>
      </c>
      <c r="R31" s="151">
        <v>0.8762289464977171</v>
      </c>
      <c r="S31" s="151">
        <v>0.86129829761680821</v>
      </c>
      <c r="T31" s="151">
        <v>0.85371473775341666</v>
      </c>
      <c r="U31" s="151">
        <v>0.84663875764790919</v>
      </c>
      <c r="V31" s="151">
        <v>0.84215849826008571</v>
      </c>
      <c r="W31" s="151">
        <v>0.84190985960622144</v>
      </c>
      <c r="X31" s="151">
        <v>0.84142956755469323</v>
      </c>
      <c r="Y31" s="151">
        <v>0.84087625880312689</v>
      </c>
      <c r="Z31" s="151">
        <v>0.8388064646434088</v>
      </c>
      <c r="AA31" s="149"/>
      <c r="AB31" s="152">
        <v>0.90530959449129023</v>
      </c>
      <c r="AC31" s="153"/>
      <c r="AD31" s="152">
        <v>0.8744347749982756</v>
      </c>
    </row>
    <row r="32" spans="1:30" x14ac:dyDescent="0.55000000000000004">
      <c r="A32" s="149"/>
      <c r="B32" s="149"/>
      <c r="C32" s="149"/>
      <c r="D32" s="149"/>
      <c r="E32" s="149"/>
      <c r="F32" s="149"/>
      <c r="G32" s="149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49"/>
      <c r="AB32" s="153"/>
      <c r="AC32" s="153"/>
      <c r="AD32" s="153"/>
    </row>
    <row r="33" spans="1:30" x14ac:dyDescent="0.55000000000000004">
      <c r="A33" s="155"/>
      <c r="B33" s="155"/>
      <c r="C33" s="155"/>
      <c r="D33" s="155"/>
      <c r="E33" s="155" t="s">
        <v>203</v>
      </c>
      <c r="F33" s="156">
        <v>994</v>
      </c>
      <c r="G33" s="156">
        <v>1035</v>
      </c>
      <c r="H33" s="156">
        <v>1320</v>
      </c>
      <c r="I33" s="156">
        <v>1638</v>
      </c>
      <c r="J33" s="156">
        <v>2302</v>
      </c>
      <c r="K33" s="156">
        <v>2164</v>
      </c>
      <c r="L33" s="156">
        <v>1836</v>
      </c>
      <c r="M33" s="156">
        <v>2010</v>
      </c>
      <c r="N33" s="156">
        <v>1810</v>
      </c>
      <c r="O33" s="156">
        <v>2000</v>
      </c>
      <c r="P33" s="156">
        <v>487</v>
      </c>
      <c r="Q33" s="156">
        <v>1005.4971586756146</v>
      </c>
      <c r="R33" s="156">
        <v>2328.3844545077482</v>
      </c>
      <c r="S33" s="156">
        <v>3339.006485635211</v>
      </c>
      <c r="T33" s="156">
        <v>4095.7650640610082</v>
      </c>
      <c r="U33" s="156">
        <v>4654.692216493735</v>
      </c>
      <c r="V33" s="156">
        <v>5212.8064161716575</v>
      </c>
      <c r="W33" s="156">
        <v>5654.8729508273173</v>
      </c>
      <c r="X33" s="156">
        <v>6062.0726858318849</v>
      </c>
      <c r="Y33" s="156">
        <v>6440.3291865738502</v>
      </c>
      <c r="Z33" s="156">
        <v>6790.5911603772111</v>
      </c>
      <c r="AA33" s="155"/>
      <c r="AB33" s="157"/>
      <c r="AC33" s="157"/>
      <c r="AD33" s="157"/>
    </row>
    <row r="34" spans="1:30" x14ac:dyDescent="0.55000000000000004">
      <c r="A34" s="149"/>
      <c r="B34" s="149"/>
      <c r="C34" s="149"/>
      <c r="D34" s="149"/>
      <c r="E34" s="149" t="s">
        <v>204</v>
      </c>
      <c r="F34" s="151">
        <v>0.13774944567627495</v>
      </c>
      <c r="G34" s="151">
        <v>0.17011834319526628</v>
      </c>
      <c r="H34" s="151">
        <v>0.19102749638205499</v>
      </c>
      <c r="I34" s="48">
        <v>0.19446752938383</v>
      </c>
      <c r="J34" s="151">
        <v>0.22487056754908666</v>
      </c>
      <c r="K34" s="151">
        <v>0.21742188284939215</v>
      </c>
      <c r="L34" s="151">
        <v>0.18117229129662521</v>
      </c>
      <c r="M34" s="151">
        <v>0.1654729562855026</v>
      </c>
      <c r="N34" s="151">
        <v>0.1221404953100749</v>
      </c>
      <c r="O34" s="151">
        <v>0.12831205491755951</v>
      </c>
      <c r="P34" s="151">
        <v>3.3618666298495102E-2</v>
      </c>
      <c r="Q34" s="151">
        <v>6.5706864524473024E-2</v>
      </c>
      <c r="R34" s="151">
        <v>0.12377105350228292</v>
      </c>
      <c r="S34" s="151">
        <v>0.13870170238319174</v>
      </c>
      <c r="T34" s="151">
        <v>0.14628526224658336</v>
      </c>
      <c r="U34" s="151">
        <v>0.15336124235209075</v>
      </c>
      <c r="V34" s="151">
        <v>0.15784150173991432</v>
      </c>
      <c r="W34" s="151">
        <v>0.15809014039377856</v>
      </c>
      <c r="X34" s="151">
        <v>0.1585704324453068</v>
      </c>
      <c r="Y34" s="151">
        <v>0.15912374119687311</v>
      </c>
      <c r="Z34" s="151">
        <v>0.16119353535659114</v>
      </c>
      <c r="AA34" s="149"/>
      <c r="AB34" s="152">
        <v>9.469040550870983E-2</v>
      </c>
      <c r="AC34" s="153"/>
      <c r="AD34" s="152">
        <v>0.12556522500172437</v>
      </c>
    </row>
    <row r="35" spans="1:30" x14ac:dyDescent="0.55000000000000004">
      <c r="A35" s="149"/>
      <c r="B35" s="149"/>
      <c r="C35" s="149"/>
      <c r="D35" s="149"/>
      <c r="E35" s="149"/>
      <c r="F35" s="149"/>
      <c r="G35" s="149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49"/>
      <c r="AB35" s="153"/>
      <c r="AC35" s="153"/>
      <c r="AD35" s="153"/>
    </row>
    <row r="36" spans="1:30" x14ac:dyDescent="0.55000000000000004">
      <c r="A36" s="133"/>
      <c r="B36" s="133"/>
      <c r="C36" s="133"/>
      <c r="D36" s="133"/>
      <c r="E36" s="144" t="s">
        <v>205</v>
      </c>
      <c r="F36" s="150">
        <v>469</v>
      </c>
      <c r="G36" s="150">
        <v>397</v>
      </c>
      <c r="H36" s="150">
        <v>370</v>
      </c>
      <c r="I36" s="150">
        <v>397</v>
      </c>
      <c r="J36" s="150">
        <v>413</v>
      </c>
      <c r="K36" s="150">
        <v>444</v>
      </c>
      <c r="L36" s="150">
        <v>375</v>
      </c>
      <c r="M36" s="150">
        <v>377</v>
      </c>
      <c r="N36" s="150">
        <v>368</v>
      </c>
      <c r="O36" s="150">
        <v>535</v>
      </c>
      <c r="P36" s="150">
        <v>642</v>
      </c>
      <c r="Q36" s="150">
        <v>596.80810326512028</v>
      </c>
      <c r="R36" s="150">
        <v>658.42096032791756</v>
      </c>
      <c r="S36" s="150">
        <v>830.52854993922926</v>
      </c>
      <c r="T36" s="150">
        <v>965.94757763032999</v>
      </c>
      <c r="U36" s="150">
        <v>1031.9395756944286</v>
      </c>
      <c r="V36" s="150">
        <v>1122.8695634300198</v>
      </c>
      <c r="W36" s="150">
        <v>1216.1775544586405</v>
      </c>
      <c r="X36" s="150">
        <v>1299.8039302779507</v>
      </c>
      <c r="Y36" s="150">
        <v>1376.1063603487837</v>
      </c>
      <c r="Z36" s="150">
        <v>1432.3161219962942</v>
      </c>
      <c r="AA36" s="133"/>
      <c r="AB36" s="141"/>
      <c r="AC36" s="141"/>
      <c r="AD36" s="141"/>
    </row>
    <row r="37" spans="1:30" x14ac:dyDescent="0.55000000000000004">
      <c r="A37" s="149"/>
      <c r="B37" s="149"/>
      <c r="C37" s="149"/>
      <c r="D37" s="149"/>
      <c r="E37" s="149" t="s">
        <v>206</v>
      </c>
      <c r="F37" s="151">
        <v>6.4994456762749439E-2</v>
      </c>
      <c r="G37" s="151">
        <v>6.5253122945430633E-2</v>
      </c>
      <c r="H37" s="151">
        <v>5.3545586107091175E-2</v>
      </c>
      <c r="I37" s="151">
        <v>4.7132850528315326E-2</v>
      </c>
      <c r="J37" s="151">
        <v>4.034385073752076E-2</v>
      </c>
      <c r="K37" s="151">
        <v>4.4609665427509292E-2</v>
      </c>
      <c r="L37" s="151">
        <v>3.7004144464179989E-2</v>
      </c>
      <c r="M37" s="151">
        <v>3.1036469910265908E-2</v>
      </c>
      <c r="N37" s="151">
        <v>2.4832984681827385E-2</v>
      </c>
      <c r="O37" s="151">
        <v>3.4323474690447164E-2</v>
      </c>
      <c r="P37" s="151">
        <v>4.4318652492061301E-2</v>
      </c>
      <c r="Q37" s="151">
        <v>3.9E-2</v>
      </c>
      <c r="R37" s="151">
        <v>3.4999999999999996E-2</v>
      </c>
      <c r="S37" s="151">
        <v>3.4499999999999996E-2</v>
      </c>
      <c r="T37" s="151">
        <v>3.4499999999999996E-2</v>
      </c>
      <c r="U37" s="151">
        <v>3.3999999999999996E-2</v>
      </c>
      <c r="V37" s="151">
        <v>3.3999999999999989E-2</v>
      </c>
      <c r="W37" s="151">
        <v>3.3999999999999996E-2</v>
      </c>
      <c r="X37" s="151">
        <v>3.3999999999999996E-2</v>
      </c>
      <c r="Y37" s="151">
        <v>3.3999999999999996E-2</v>
      </c>
      <c r="Z37" s="151">
        <v>3.3999999999999996E-2</v>
      </c>
      <c r="AA37" s="149"/>
      <c r="AB37" s="152">
        <v>3.4491703954778623E-2</v>
      </c>
      <c r="AC37" s="153"/>
      <c r="AD37" s="152">
        <v>3.5400000000000001E-2</v>
      </c>
    </row>
    <row r="38" spans="1:30" x14ac:dyDescent="0.55000000000000004">
      <c r="A38" s="142"/>
      <c r="B38" s="142"/>
      <c r="C38" s="142"/>
      <c r="D38" s="142"/>
      <c r="E38" s="149" t="s">
        <v>207</v>
      </c>
      <c r="F38" s="149"/>
      <c r="G38" s="151">
        <v>-0.15351812366737738</v>
      </c>
      <c r="H38" s="151">
        <v>-6.801007556675065E-2</v>
      </c>
      <c r="I38" s="151">
        <v>7.2972972972972894E-2</v>
      </c>
      <c r="J38" s="151">
        <v>4.0302267002518821E-2</v>
      </c>
      <c r="K38" s="151">
        <v>7.5060532687651227E-2</v>
      </c>
      <c r="L38" s="151">
        <v>-0.15540540540540537</v>
      </c>
      <c r="M38" s="151">
        <v>5.3333333333334121E-3</v>
      </c>
      <c r="N38" s="151">
        <v>-2.3872679045092826E-2</v>
      </c>
      <c r="O38" s="151">
        <v>0.45380434782608692</v>
      </c>
      <c r="P38" s="151">
        <v>0.19999999999999996</v>
      </c>
      <c r="Q38" s="151">
        <v>-7.039236251538894E-2</v>
      </c>
      <c r="R38" s="151">
        <v>0.10323729977142571</v>
      </c>
      <c r="S38" s="151">
        <v>0.26139445731739142</v>
      </c>
      <c r="T38" s="151">
        <v>0.16305162260949313</v>
      </c>
      <c r="U38" s="151">
        <v>6.8318405255480608E-2</v>
      </c>
      <c r="V38" s="151">
        <v>8.8115612461515669E-2</v>
      </c>
      <c r="W38" s="151">
        <v>8.3097800552713874E-2</v>
      </c>
      <c r="X38" s="151">
        <v>6.8761650396133911E-2</v>
      </c>
      <c r="Y38" s="151">
        <v>5.8703030736733108E-2</v>
      </c>
      <c r="Z38" s="151">
        <v>4.0846960138505306E-2</v>
      </c>
      <c r="AA38" s="149"/>
      <c r="AB38" s="152">
        <v>0.19416560787347548</v>
      </c>
      <c r="AC38" s="153"/>
      <c r="AD38" s="152">
        <v>9.9572445118945918E-2</v>
      </c>
    </row>
    <row r="39" spans="1:30" x14ac:dyDescent="0.55000000000000004">
      <c r="A39" s="158"/>
      <c r="B39" s="158"/>
      <c r="C39" s="158"/>
      <c r="D39" s="158"/>
      <c r="E39" s="159" t="s">
        <v>208</v>
      </c>
      <c r="F39" s="150">
        <v>52</v>
      </c>
      <c r="G39" s="150">
        <v>28</v>
      </c>
      <c r="H39" s="150">
        <v>21</v>
      </c>
      <c r="I39" s="150">
        <v>29</v>
      </c>
      <c r="J39" s="150">
        <v>63</v>
      </c>
      <c r="K39" s="150">
        <v>69</v>
      </c>
      <c r="L39" s="150">
        <v>67</v>
      </c>
      <c r="M39" s="150">
        <v>83</v>
      </c>
      <c r="N39" s="150">
        <v>62</v>
      </c>
      <c r="O39" s="150">
        <v>167</v>
      </c>
      <c r="P39" s="150">
        <v>100</v>
      </c>
      <c r="Q39" s="150">
        <v>105.63835343499122</v>
      </c>
      <c r="R39" s="150">
        <v>129.86350571545285</v>
      </c>
      <c r="S39" s="150">
        <v>147.88183343190289</v>
      </c>
      <c r="T39" s="150">
        <v>171.99420632744147</v>
      </c>
      <c r="U39" s="150">
        <v>186.4467023377513</v>
      </c>
      <c r="V39" s="150">
        <v>202.87556770567218</v>
      </c>
      <c r="W39" s="150">
        <v>219.73408116789673</v>
      </c>
      <c r="X39" s="150">
        <v>234.84335923727937</v>
      </c>
      <c r="Y39" s="150">
        <v>248.62937617290302</v>
      </c>
      <c r="Z39" s="150">
        <v>258.78513039069907</v>
      </c>
      <c r="AA39" s="133"/>
      <c r="AB39" s="141"/>
      <c r="AC39" s="141"/>
      <c r="AD39" s="141"/>
    </row>
    <row r="40" spans="1:30" x14ac:dyDescent="0.55000000000000004">
      <c r="A40" s="149"/>
      <c r="B40" s="149"/>
      <c r="C40" s="149"/>
      <c r="D40" s="149"/>
      <c r="E40" s="149" t="s">
        <v>209</v>
      </c>
      <c r="F40" s="151">
        <v>7.2062084257206206E-3</v>
      </c>
      <c r="G40" s="151">
        <v>4.6022353714661405E-3</v>
      </c>
      <c r="H40" s="151">
        <v>3.0390738060781476E-3</v>
      </c>
      <c r="I40" s="151">
        <v>3.4429538169298349E-3</v>
      </c>
      <c r="J40" s="151">
        <v>6.1541467226726579E-3</v>
      </c>
      <c r="K40" s="151">
        <v>6.9325831407615795E-3</v>
      </c>
      <c r="L40" s="151">
        <v>6.6114071442668247E-3</v>
      </c>
      <c r="M40" s="151">
        <v>6.8329628714909035E-3</v>
      </c>
      <c r="N40" s="151">
        <v>4.1838180713948308E-3</v>
      </c>
      <c r="O40" s="151">
        <v>1.0714056585616218E-2</v>
      </c>
      <c r="P40" s="151">
        <v>6.9032168990749692E-3</v>
      </c>
      <c r="Q40" s="151">
        <v>6.9032168990749683E-3</v>
      </c>
      <c r="R40" s="151">
        <v>6.9032168990749683E-3</v>
      </c>
      <c r="S40" s="151">
        <v>6.1429835901173572E-3</v>
      </c>
      <c r="T40" s="151">
        <v>6.1429835901173589E-3</v>
      </c>
      <c r="U40" s="151">
        <v>6.1429835901173572E-3</v>
      </c>
      <c r="V40" s="151">
        <v>6.1429835901173572E-3</v>
      </c>
      <c r="W40" s="151">
        <v>6.1429835901173572E-3</v>
      </c>
      <c r="X40" s="151">
        <v>6.1429835901173572E-3</v>
      </c>
      <c r="Y40" s="151">
        <v>6.1429835901173581E-3</v>
      </c>
      <c r="Z40" s="151">
        <v>6.1429835901173589E-3</v>
      </c>
      <c r="AA40" s="149"/>
      <c r="AB40" s="152">
        <v>7.26703051869534E-3</v>
      </c>
      <c r="AC40" s="153"/>
      <c r="AD40" s="152">
        <v>6.4470769137004013E-3</v>
      </c>
    </row>
    <row r="41" spans="1:30" x14ac:dyDescent="0.55000000000000004">
      <c r="A41" s="158"/>
      <c r="B41" s="158"/>
      <c r="C41" s="158"/>
      <c r="D41" s="158"/>
      <c r="E41" s="159" t="s">
        <v>210</v>
      </c>
      <c r="F41" s="150">
        <v>2</v>
      </c>
      <c r="G41" s="150">
        <v>0</v>
      </c>
      <c r="H41" s="150">
        <v>31</v>
      </c>
      <c r="I41" s="150">
        <v>-34</v>
      </c>
      <c r="J41" s="150">
        <v>101</v>
      </c>
      <c r="K41" s="150">
        <v>40</v>
      </c>
      <c r="L41" s="150">
        <v>-40</v>
      </c>
      <c r="M41" s="150">
        <v>-3</v>
      </c>
      <c r="N41" s="150">
        <v>-331</v>
      </c>
      <c r="O41" s="150">
        <v>-36</v>
      </c>
      <c r="P41" s="150">
        <v>-10</v>
      </c>
      <c r="Q41" s="150">
        <v>-161</v>
      </c>
      <c r="R41" s="150">
        <v>-12.100000000000001</v>
      </c>
      <c r="S41" s="150">
        <v>-12.705000000000002</v>
      </c>
      <c r="T41" s="150">
        <v>-13.340250000000003</v>
      </c>
      <c r="U41" s="150">
        <v>-14.007262500000003</v>
      </c>
      <c r="V41" s="150">
        <v>-14.707625625000004</v>
      </c>
      <c r="W41" s="150">
        <v>-15.443006906250005</v>
      </c>
      <c r="X41" s="150">
        <v>-16.215157251562506</v>
      </c>
      <c r="Y41" s="150">
        <v>-17.025915114140631</v>
      </c>
      <c r="Z41" s="150">
        <v>-17.877210869847662</v>
      </c>
      <c r="AA41" s="133"/>
      <c r="AB41" s="141"/>
      <c r="AC41" s="141"/>
      <c r="AD41" s="141"/>
    </row>
    <row r="42" spans="1:30" x14ac:dyDescent="0.55000000000000004">
      <c r="A42" s="149"/>
      <c r="B42" s="149"/>
      <c r="C42" s="149"/>
      <c r="D42" s="149"/>
      <c r="E42" s="149" t="s">
        <v>209</v>
      </c>
      <c r="F42" s="151">
        <v>2.7716186252771619E-4</v>
      </c>
      <c r="G42" s="151">
        <v>0</v>
      </c>
      <c r="H42" s="151">
        <v>4.4862518089725037E-3</v>
      </c>
      <c r="I42" s="151">
        <v>-4.036566543986703E-3</v>
      </c>
      <c r="J42" s="151">
        <v>9.866171729999023E-3</v>
      </c>
      <c r="K42" s="151">
        <v>4.0188887772530891E-3</v>
      </c>
      <c r="L42" s="151">
        <v>-3.9471087428458651E-3</v>
      </c>
      <c r="M42" s="151">
        <v>-2.4697456162015312E-4</v>
      </c>
      <c r="N42" s="151">
        <v>-2.2336190026317565E-2</v>
      </c>
      <c r="O42" s="151">
        <v>-2.3096169885160711E-3</v>
      </c>
      <c r="P42" s="151">
        <v>-6.9032168990749694E-4</v>
      </c>
      <c r="Q42" s="151">
        <v>-1.0520969748312344E-2</v>
      </c>
      <c r="R42" s="151">
        <v>-6.4320552582208454E-4</v>
      </c>
      <c r="S42" s="151">
        <v>-5.2776331413540518E-4</v>
      </c>
      <c r="T42" s="151">
        <v>-4.7646335645777074E-4</v>
      </c>
      <c r="U42" s="151">
        <v>-4.6150660001533194E-4</v>
      </c>
      <c r="V42" s="151">
        <v>-4.4534048079678407E-4</v>
      </c>
      <c r="W42" s="151">
        <v>-4.317315616355229E-4</v>
      </c>
      <c r="X42" s="151">
        <v>-4.2415270004240682E-4</v>
      </c>
      <c r="Y42" s="151">
        <v>-4.2066596780648553E-4</v>
      </c>
      <c r="Z42" s="151">
        <v>-4.2436523630528058E-4</v>
      </c>
      <c r="AA42" s="149"/>
      <c r="AB42" s="152">
        <v>-8.445376234913711E-3</v>
      </c>
      <c r="AC42" s="153"/>
      <c r="AD42" s="152">
        <v>-2.5259817089485874E-3</v>
      </c>
    </row>
    <row r="43" spans="1:30" x14ac:dyDescent="0.55000000000000004">
      <c r="A43" s="133"/>
      <c r="B43" s="133"/>
      <c r="C43" s="133"/>
      <c r="D43" s="133"/>
      <c r="E43" s="144" t="s">
        <v>211</v>
      </c>
      <c r="F43" s="150">
        <v>343</v>
      </c>
      <c r="G43" s="150">
        <v>469</v>
      </c>
      <c r="H43" s="150">
        <v>399</v>
      </c>
      <c r="I43" s="150">
        <v>370</v>
      </c>
      <c r="J43" s="150">
        <v>352</v>
      </c>
      <c r="K43" s="150">
        <v>405</v>
      </c>
      <c r="L43" s="150">
        <v>421</v>
      </c>
      <c r="M43" s="150">
        <v>435</v>
      </c>
      <c r="N43" s="150">
        <v>546</v>
      </c>
      <c r="O43" s="150">
        <v>630</v>
      </c>
      <c r="P43" s="150">
        <v>897</v>
      </c>
      <c r="Q43" s="150">
        <v>937.11087514371309</v>
      </c>
      <c r="R43" s="150">
        <v>1077.4810975176199</v>
      </c>
      <c r="S43" s="150">
        <v>1287.9316521034541</v>
      </c>
      <c r="T43" s="150">
        <v>1304.9468178858419</v>
      </c>
      <c r="U43" s="150">
        <v>1387.2907396854412</v>
      </c>
      <c r="V43" s="150">
        <v>1480.8951388250205</v>
      </c>
      <c r="W43" s="150">
        <v>1576.9474825309535</v>
      </c>
      <c r="X43" s="150">
        <v>1663.0334576390671</v>
      </c>
      <c r="Y43" s="150">
        <v>1741.5800768296303</v>
      </c>
      <c r="Z43" s="150">
        <v>1799.443066760891</v>
      </c>
      <c r="AA43" s="133"/>
      <c r="AB43" s="141"/>
      <c r="AC43" s="141"/>
      <c r="AD43" s="141"/>
    </row>
    <row r="44" spans="1:30" x14ac:dyDescent="0.55000000000000004">
      <c r="A44" s="149"/>
      <c r="B44" s="149"/>
      <c r="C44" s="149"/>
      <c r="D44" s="149"/>
      <c r="E44" s="149" t="s">
        <v>212</v>
      </c>
      <c r="F44" s="151">
        <v>4.7533259423503324E-2</v>
      </c>
      <c r="G44" s="151">
        <v>7.7087442472057857E-2</v>
      </c>
      <c r="H44" s="151">
        <v>5.7742402315484803E-2</v>
      </c>
      <c r="I44" s="151">
        <v>4.3927341802208239E-2</v>
      </c>
      <c r="J44" s="151">
        <v>3.4385073752075807E-2</v>
      </c>
      <c r="K44" s="151">
        <v>4.069124886968753E-2</v>
      </c>
      <c r="L44" s="151">
        <v>4.1543319518452734E-2</v>
      </c>
      <c r="M44" s="151">
        <v>3.5811311434922201E-2</v>
      </c>
      <c r="N44" s="151">
        <v>3.6844591402928673E-2</v>
      </c>
      <c r="O44" s="151">
        <v>4.0418297299031243E-2</v>
      </c>
      <c r="P44" s="151">
        <v>6.1921855584702472E-2</v>
      </c>
      <c r="Q44" s="151">
        <v>6.1237982411189509E-2</v>
      </c>
      <c r="R44" s="151">
        <v>5.7276181478692338E-2</v>
      </c>
      <c r="S44" s="151">
        <v>5.350043896843814E-2</v>
      </c>
      <c r="T44" s="151">
        <v>4.6607772781527737E-2</v>
      </c>
      <c r="U44" s="151">
        <v>4.5707991301296935E-2</v>
      </c>
      <c r="V44" s="151">
        <v>4.4840858065691665E-2</v>
      </c>
      <c r="W44" s="151">
        <v>4.4085844381430553E-2</v>
      </c>
      <c r="X44" s="151">
        <v>4.3501282187719696E-2</v>
      </c>
      <c r="Y44" s="151">
        <v>4.302990257032116E-2</v>
      </c>
      <c r="Z44" s="151">
        <v>4.2714777366744311E-2</v>
      </c>
      <c r="AA44" s="149"/>
      <c r="AB44" s="152">
        <v>4.6394914762220796E-2</v>
      </c>
      <c r="AC44" s="153"/>
      <c r="AD44" s="152">
        <v>5.2866073388228928E-2</v>
      </c>
    </row>
    <row r="45" spans="1:30" x14ac:dyDescent="0.55000000000000004">
      <c r="A45" s="149"/>
      <c r="B45" s="149"/>
      <c r="C45" s="149"/>
      <c r="D45" s="149"/>
      <c r="E45" s="149"/>
      <c r="F45" s="149"/>
      <c r="G45" s="149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49"/>
      <c r="AB45" s="153"/>
      <c r="AC45" s="153"/>
      <c r="AD45" s="153"/>
    </row>
    <row r="46" spans="1:30" x14ac:dyDescent="0.55000000000000004">
      <c r="A46" s="155"/>
      <c r="B46" s="155"/>
      <c r="C46" s="155"/>
      <c r="D46" s="155"/>
      <c r="E46" s="155" t="s">
        <v>213</v>
      </c>
      <c r="F46" s="156">
        <v>128</v>
      </c>
      <c r="G46" s="156">
        <v>141</v>
      </c>
      <c r="H46" s="156">
        <v>499</v>
      </c>
      <c r="I46" s="156">
        <v>876</v>
      </c>
      <c r="J46" s="156">
        <v>1373</v>
      </c>
      <c r="K46" s="156">
        <v>1206</v>
      </c>
      <c r="L46" s="156">
        <v>1013</v>
      </c>
      <c r="M46" s="156">
        <v>1118</v>
      </c>
      <c r="N46" s="156">
        <v>1165</v>
      </c>
      <c r="O46" s="156">
        <v>704</v>
      </c>
      <c r="P46" s="156">
        <v>-1142</v>
      </c>
      <c r="Q46" s="156">
        <v>-473.06017316820999</v>
      </c>
      <c r="R46" s="156">
        <v>474.71889094675771</v>
      </c>
      <c r="S46" s="156">
        <v>1085.3694501606244</v>
      </c>
      <c r="T46" s="156">
        <v>1666.2167122173951</v>
      </c>
      <c r="U46" s="156">
        <v>2063.0224612761135</v>
      </c>
      <c r="V46" s="156">
        <v>2420.8737718359453</v>
      </c>
      <c r="W46" s="156">
        <v>2657.4568395760762</v>
      </c>
      <c r="X46" s="156">
        <v>2880.6070959291501</v>
      </c>
      <c r="Y46" s="156">
        <v>3091.039288336674</v>
      </c>
      <c r="Z46" s="156">
        <v>3317.9240520991743</v>
      </c>
      <c r="AA46" s="155"/>
      <c r="AB46" s="157"/>
      <c r="AC46" s="157"/>
      <c r="AD46" s="157"/>
    </row>
    <row r="47" spans="1:30" x14ac:dyDescent="0.55000000000000004">
      <c r="A47" s="149"/>
      <c r="B47" s="149"/>
      <c r="C47" s="149"/>
      <c r="D47" s="149"/>
      <c r="E47" s="149" t="s">
        <v>214</v>
      </c>
      <c r="F47" s="151">
        <v>1.7738359201773836E-2</v>
      </c>
      <c r="G47" s="151">
        <v>2.3175542406311637E-2</v>
      </c>
      <c r="H47" s="151">
        <v>7.2214182344428363E-2</v>
      </c>
      <c r="I47" s="151">
        <v>0.1040009497803633</v>
      </c>
      <c r="J47" s="151">
        <v>0.13412132460681842</v>
      </c>
      <c r="K47" s="151">
        <v>0.12116949663418065</v>
      </c>
      <c r="L47" s="151">
        <v>9.9960528912571539E-2</v>
      </c>
      <c r="M47" s="151">
        <v>9.2039186630443734E-2</v>
      </c>
      <c r="N47" s="151">
        <v>7.8615291180241575E-2</v>
      </c>
      <c r="O47" s="151">
        <v>4.5165843330980948E-2</v>
      </c>
      <c r="P47" s="151">
        <v>-7.8834736987436149E-2</v>
      </c>
      <c r="Q47" s="151">
        <v>-3.0913365037479105E-2</v>
      </c>
      <c r="R47" s="151">
        <v>2.5234860650337688E-2</v>
      </c>
      <c r="S47" s="151">
        <v>4.5086043138771632E-2</v>
      </c>
      <c r="T47" s="151">
        <v>5.9510969231396059E-2</v>
      </c>
      <c r="U47" s="151">
        <v>6.7971774060691784E-2</v>
      </c>
      <c r="V47" s="151">
        <v>7.3303000564902104E-2</v>
      </c>
      <c r="W47" s="151">
        <v>7.4293043983866172E-2</v>
      </c>
      <c r="X47" s="151">
        <v>7.5350319367512159E-2</v>
      </c>
      <c r="Y47" s="151">
        <v>7.6371521004241105E-2</v>
      </c>
      <c r="Z47" s="151">
        <v>7.8760139636034759E-2</v>
      </c>
      <c r="AA47" s="149"/>
      <c r="AB47" s="152">
        <v>1.4982132507928791E-2</v>
      </c>
      <c r="AC47" s="153"/>
      <c r="AD47" s="152">
        <v>3.3378056408743612E-2</v>
      </c>
    </row>
    <row r="48" spans="1:30" x14ac:dyDescent="0.55000000000000004">
      <c r="A48" s="149"/>
      <c r="B48" s="149"/>
      <c r="C48" s="149"/>
      <c r="D48" s="149"/>
      <c r="E48" s="149" t="s">
        <v>215</v>
      </c>
      <c r="F48" s="149"/>
      <c r="G48" s="151">
        <v>0.1015625</v>
      </c>
      <c r="H48" s="151">
        <v>2.5390070921985815</v>
      </c>
      <c r="I48" s="151">
        <v>0.75551102204408815</v>
      </c>
      <c r="J48" s="151">
        <v>0.56735159817351599</v>
      </c>
      <c r="K48" s="151">
        <v>-0.12163146394756008</v>
      </c>
      <c r="L48" s="151">
        <v>-0.16003316749585406</v>
      </c>
      <c r="M48" s="151">
        <v>0.10365251727541946</v>
      </c>
      <c r="N48" s="151">
        <v>4.2039355992844474E-2</v>
      </c>
      <c r="O48" s="151">
        <v>-0.39570815450643781</v>
      </c>
      <c r="P48" s="151">
        <v>-2.6221590909090908</v>
      </c>
      <c r="Q48" s="151">
        <v>-0.58576166973011379</v>
      </c>
      <c r="R48" s="151">
        <v>-2.0035063568497824</v>
      </c>
      <c r="S48" s="151">
        <v>1.2863413924733709</v>
      </c>
      <c r="T48" s="151">
        <v>0.53516087261421519</v>
      </c>
      <c r="U48" s="151">
        <v>0.23814774281710971</v>
      </c>
      <c r="V48" s="151">
        <v>0.17345972585217395</v>
      </c>
      <c r="W48" s="151">
        <v>9.7726312909206747E-2</v>
      </c>
      <c r="X48" s="151">
        <v>8.3971356761026961E-2</v>
      </c>
      <c r="Y48" s="151">
        <v>7.3051334458248407E-2</v>
      </c>
      <c r="Z48" s="151">
        <v>7.3400802318688729E-2</v>
      </c>
      <c r="AA48" s="149"/>
      <c r="AB48" s="152">
        <v>-2.0071050339969041</v>
      </c>
      <c r="AC48" s="153"/>
      <c r="AD48" s="152" t="s">
        <v>216</v>
      </c>
    </row>
    <row r="49" spans="5:30" x14ac:dyDescent="0.55000000000000004"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41"/>
      <c r="AC49" s="141"/>
      <c r="AD49" s="141"/>
    </row>
    <row r="50" spans="5:30" x14ac:dyDescent="0.55000000000000004">
      <c r="E50" s="144" t="s">
        <v>217</v>
      </c>
      <c r="F50" s="150">
        <v>597</v>
      </c>
      <c r="G50" s="150">
        <v>146</v>
      </c>
      <c r="H50" s="150">
        <v>-59</v>
      </c>
      <c r="I50" s="150">
        <v>0</v>
      </c>
      <c r="J50" s="150">
        <v>0</v>
      </c>
      <c r="K50" s="150">
        <v>0</v>
      </c>
      <c r="L50" s="150">
        <v>38</v>
      </c>
      <c r="M50" s="150">
        <v>0</v>
      </c>
      <c r="N50" s="150">
        <v>9</v>
      </c>
      <c r="O50" s="150">
        <v>71</v>
      </c>
      <c r="P50" s="150">
        <v>115</v>
      </c>
      <c r="Q50" s="150">
        <v>0</v>
      </c>
      <c r="R50" s="150">
        <v>0</v>
      </c>
      <c r="S50" s="150">
        <v>0</v>
      </c>
      <c r="T50" s="150">
        <v>0</v>
      </c>
      <c r="U50" s="150">
        <v>0</v>
      </c>
      <c r="V50" s="150">
        <v>0</v>
      </c>
      <c r="W50" s="150">
        <v>0</v>
      </c>
      <c r="X50" s="150">
        <v>0</v>
      </c>
      <c r="Y50" s="150">
        <v>0</v>
      </c>
      <c r="Z50" s="150">
        <v>0</v>
      </c>
      <c r="AA50" s="133"/>
      <c r="AB50" s="141"/>
      <c r="AC50" s="141"/>
      <c r="AD50" s="141"/>
    </row>
    <row r="51" spans="5:30" x14ac:dyDescent="0.55000000000000004">
      <c r="E51" s="144" t="s">
        <v>218</v>
      </c>
      <c r="F51" s="150">
        <v>104</v>
      </c>
      <c r="G51" s="150">
        <v>0</v>
      </c>
      <c r="H51" s="150">
        <v>0</v>
      </c>
      <c r="I51" s="150">
        <v>0</v>
      </c>
      <c r="J51" s="150">
        <v>0</v>
      </c>
      <c r="K51" s="150">
        <v>0</v>
      </c>
      <c r="L51" s="150">
        <v>0</v>
      </c>
      <c r="M51" s="150">
        <v>0</v>
      </c>
      <c r="N51" s="150">
        <v>43</v>
      </c>
      <c r="O51" s="150">
        <v>68</v>
      </c>
      <c r="P51" s="150">
        <v>69</v>
      </c>
      <c r="Q51" s="150">
        <v>0</v>
      </c>
      <c r="R51" s="150">
        <v>0</v>
      </c>
      <c r="S51" s="150">
        <v>0</v>
      </c>
      <c r="T51" s="150">
        <v>0</v>
      </c>
      <c r="U51" s="150">
        <v>0</v>
      </c>
      <c r="V51" s="150">
        <v>0</v>
      </c>
      <c r="W51" s="150">
        <v>0</v>
      </c>
      <c r="X51" s="150">
        <v>0</v>
      </c>
      <c r="Y51" s="150">
        <v>0</v>
      </c>
      <c r="Z51" s="150">
        <v>0</v>
      </c>
      <c r="AA51" s="133"/>
      <c r="AB51" s="141"/>
      <c r="AC51" s="141"/>
      <c r="AD51" s="141"/>
    </row>
    <row r="52" spans="5:30" x14ac:dyDescent="0.55000000000000004">
      <c r="E52" s="144" t="s">
        <v>219</v>
      </c>
      <c r="F52" s="150">
        <v>0</v>
      </c>
      <c r="G52" s="150">
        <v>-37</v>
      </c>
      <c r="H52" s="150">
        <v>11</v>
      </c>
      <c r="I52" s="150">
        <v>-46</v>
      </c>
      <c r="J52" s="150">
        <v>0</v>
      </c>
      <c r="K52" s="150">
        <v>0</v>
      </c>
      <c r="L52" s="150">
        <v>0</v>
      </c>
      <c r="M52" s="150">
        <v>0</v>
      </c>
      <c r="N52" s="150">
        <v>0</v>
      </c>
      <c r="O52" s="150">
        <v>0</v>
      </c>
      <c r="P52" s="150">
        <v>260</v>
      </c>
      <c r="Q52" s="150">
        <v>0</v>
      </c>
      <c r="R52" s="150">
        <v>0</v>
      </c>
      <c r="S52" s="150">
        <v>0</v>
      </c>
      <c r="T52" s="150">
        <v>0</v>
      </c>
      <c r="U52" s="150">
        <v>0</v>
      </c>
      <c r="V52" s="150">
        <v>0</v>
      </c>
      <c r="W52" s="150">
        <v>0</v>
      </c>
      <c r="X52" s="150">
        <v>0</v>
      </c>
      <c r="Y52" s="150">
        <v>0</v>
      </c>
      <c r="Z52" s="150">
        <v>0</v>
      </c>
      <c r="AA52" s="133"/>
      <c r="AB52" s="141"/>
      <c r="AC52" s="141"/>
      <c r="AD52" s="141"/>
    </row>
    <row r="53" spans="5:30" x14ac:dyDescent="0.55000000000000004"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41"/>
      <c r="AC53" s="141"/>
      <c r="AD53" s="141"/>
    </row>
    <row r="54" spans="5:30" x14ac:dyDescent="0.55000000000000004">
      <c r="E54" s="155" t="s">
        <v>220</v>
      </c>
      <c r="F54" s="156">
        <v>-573</v>
      </c>
      <c r="G54" s="156">
        <v>32</v>
      </c>
      <c r="H54" s="156">
        <v>547</v>
      </c>
      <c r="I54" s="156">
        <v>922</v>
      </c>
      <c r="J54" s="156">
        <v>1373</v>
      </c>
      <c r="K54" s="156">
        <v>1206</v>
      </c>
      <c r="L54" s="156">
        <v>975</v>
      </c>
      <c r="M54" s="156">
        <v>1118</v>
      </c>
      <c r="N54" s="156">
        <v>1113</v>
      </c>
      <c r="O54" s="156">
        <v>565</v>
      </c>
      <c r="P54" s="156">
        <v>-1586</v>
      </c>
      <c r="Q54" s="156">
        <v>-473.06017316820999</v>
      </c>
      <c r="R54" s="156">
        <v>474.71889094675771</v>
      </c>
      <c r="S54" s="156">
        <v>1085.3694501606244</v>
      </c>
      <c r="T54" s="156">
        <v>1666.2167122173951</v>
      </c>
      <c r="U54" s="156">
        <v>2063.0224612761135</v>
      </c>
      <c r="V54" s="156">
        <v>2420.8737718359453</v>
      </c>
      <c r="W54" s="156">
        <v>2657.4568395760762</v>
      </c>
      <c r="X54" s="156">
        <v>2880.6070959291501</v>
      </c>
      <c r="Y54" s="156">
        <v>3091.039288336674</v>
      </c>
      <c r="Z54" s="156">
        <v>3317.9240520991743</v>
      </c>
      <c r="AA54" s="155"/>
      <c r="AB54" s="157"/>
      <c r="AC54" s="157"/>
      <c r="AD54" s="157"/>
    </row>
    <row r="55" spans="5:30" x14ac:dyDescent="0.55000000000000004"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41"/>
      <c r="AC55" s="141"/>
      <c r="AD55" s="141"/>
    </row>
    <row r="56" spans="5:30" x14ac:dyDescent="0.55000000000000004">
      <c r="E56" s="144" t="s">
        <v>221</v>
      </c>
      <c r="F56" s="150">
        <v>92</v>
      </c>
      <c r="G56" s="150">
        <v>158</v>
      </c>
      <c r="H56" s="150">
        <v>103</v>
      </c>
      <c r="I56" s="150">
        <v>76</v>
      </c>
      <c r="J56" s="150">
        <v>89</v>
      </c>
      <c r="K56" s="150">
        <v>43</v>
      </c>
      <c r="L56" s="150">
        <v>68</v>
      </c>
      <c r="M56" s="150">
        <v>138</v>
      </c>
      <c r="N56" s="150">
        <v>113</v>
      </c>
      <c r="O56" s="150">
        <v>122</v>
      </c>
      <c r="P56" s="150">
        <v>162</v>
      </c>
      <c r="Q56" s="150">
        <v>162</v>
      </c>
      <c r="R56" s="150">
        <v>162</v>
      </c>
      <c r="S56" s="150">
        <v>162</v>
      </c>
      <c r="T56" s="150">
        <v>162</v>
      </c>
      <c r="U56" s="150">
        <v>162</v>
      </c>
      <c r="V56" s="150">
        <v>162</v>
      </c>
      <c r="W56" s="150">
        <v>162</v>
      </c>
      <c r="X56" s="150">
        <v>162</v>
      </c>
      <c r="Y56" s="150">
        <v>162</v>
      </c>
      <c r="Z56" s="150">
        <v>162</v>
      </c>
      <c r="AA56" s="133"/>
      <c r="AB56" s="141"/>
      <c r="AC56" s="141"/>
      <c r="AD56" s="141"/>
    </row>
    <row r="57" spans="5:30" x14ac:dyDescent="0.55000000000000004">
      <c r="E57" s="149" t="s">
        <v>222</v>
      </c>
      <c r="F57" s="149"/>
      <c r="G57" s="151">
        <v>0.13395506570580754</v>
      </c>
      <c r="H57" s="151">
        <v>0.16954732510288065</v>
      </c>
      <c r="I57" s="151">
        <v>0.13793103448275862</v>
      </c>
      <c r="J57" s="151">
        <v>0.17961654894046417</v>
      </c>
      <c r="K57" s="151">
        <v>8.6606243705941596E-2</v>
      </c>
      <c r="L57" s="151">
        <v>0.13668341708542714</v>
      </c>
      <c r="M57" s="151">
        <v>0.20940819423368739</v>
      </c>
      <c r="N57" s="151">
        <v>0.10395584176632934</v>
      </c>
      <c r="O57" s="151">
        <v>8.7455197132616486E-2</v>
      </c>
      <c r="P57" s="151">
        <v>8.38726378462335E-2</v>
      </c>
      <c r="Q57" s="151">
        <v>6.6749072929542644E-2</v>
      </c>
      <c r="R57" s="151">
        <v>6.6749072929542644E-2</v>
      </c>
      <c r="S57" s="151">
        <v>6.6749072929542644E-2</v>
      </c>
      <c r="T57" s="151">
        <v>6.6749072929542644E-2</v>
      </c>
      <c r="U57" s="151">
        <v>6.6749072929542644E-2</v>
      </c>
      <c r="V57" s="151">
        <v>6.6749072929542644E-2</v>
      </c>
      <c r="W57" s="151">
        <v>6.6749072929542644E-2</v>
      </c>
      <c r="X57" s="151">
        <v>6.6749072929542644E-2</v>
      </c>
      <c r="Y57" s="151">
        <v>6.6749072929542644E-2</v>
      </c>
      <c r="Z57" s="151">
        <v>6.6749072929542644E-2</v>
      </c>
      <c r="AA57" s="149"/>
      <c r="AB57" s="152">
        <v>9.1761225581726447E-2</v>
      </c>
      <c r="AC57" s="153"/>
      <c r="AD57" s="152">
        <v>6.6749072929542644E-2</v>
      </c>
    </row>
    <row r="58" spans="5:30" x14ac:dyDescent="0.55000000000000004">
      <c r="E58" s="144" t="s">
        <v>223</v>
      </c>
      <c r="F58" s="150">
        <v>78</v>
      </c>
      <c r="G58" s="150">
        <v>20</v>
      </c>
      <c r="H58" s="150">
        <v>50</v>
      </c>
      <c r="I58" s="150">
        <v>61</v>
      </c>
      <c r="J58" s="150">
        <v>56</v>
      </c>
      <c r="K58" s="150">
        <v>45</v>
      </c>
      <c r="L58" s="150">
        <v>17</v>
      </c>
      <c r="M58" s="150">
        <v>40</v>
      </c>
      <c r="N58" s="150">
        <v>18</v>
      </c>
      <c r="O58" s="150">
        <v>21</v>
      </c>
      <c r="P58" s="150">
        <v>52</v>
      </c>
      <c r="Q58" s="150">
        <v>52</v>
      </c>
      <c r="R58" s="150">
        <v>52</v>
      </c>
      <c r="S58" s="150">
        <v>52</v>
      </c>
      <c r="T58" s="150">
        <v>52</v>
      </c>
      <c r="U58" s="150">
        <v>52</v>
      </c>
      <c r="V58" s="150">
        <v>52</v>
      </c>
      <c r="W58" s="150">
        <v>52</v>
      </c>
      <c r="X58" s="150">
        <v>52</v>
      </c>
      <c r="Y58" s="150">
        <v>52</v>
      </c>
      <c r="Z58" s="150">
        <v>52</v>
      </c>
      <c r="AA58" s="133"/>
      <c r="AB58" s="141"/>
      <c r="AC58" s="141"/>
      <c r="AD58" s="141"/>
    </row>
    <row r="59" spans="5:30" x14ac:dyDescent="0.55000000000000004">
      <c r="E59" s="149" t="s">
        <v>224</v>
      </c>
      <c r="F59" s="149"/>
      <c r="G59" s="151">
        <v>2.5889967637540454E-2</v>
      </c>
      <c r="H59" s="151">
        <v>3.687315634218289E-2</v>
      </c>
      <c r="I59" s="151">
        <v>2.550700397240226E-2</v>
      </c>
      <c r="J59" s="151">
        <v>1.7704710717673097E-2</v>
      </c>
      <c r="K59" s="151">
        <v>1.2463647694225177E-2</v>
      </c>
      <c r="L59" s="151">
        <v>4.8571428571428567E-3</v>
      </c>
      <c r="M59" s="151">
        <v>1.2498047180128105E-2</v>
      </c>
      <c r="N59" s="151">
        <v>5.7738572574178026E-3</v>
      </c>
      <c r="O59" s="151">
        <v>7.3555166374781088E-3</v>
      </c>
      <c r="P59" s="151">
        <v>2.1164021164021163E-2</v>
      </c>
      <c r="Q59" s="151">
        <v>2.432539493091368E-2</v>
      </c>
      <c r="R59" s="151">
        <v>2.7185004632516746E-2</v>
      </c>
      <c r="S59" s="151">
        <v>2.5855270448726691E-2</v>
      </c>
      <c r="T59" s="151">
        <v>1.996310234093137E-2</v>
      </c>
      <c r="U59" s="151">
        <v>1.4127414020003075E-2</v>
      </c>
      <c r="V59" s="151">
        <v>1.0647599003821106E-2</v>
      </c>
      <c r="W59" s="151">
        <v>8.3795927672876882E-3</v>
      </c>
      <c r="X59" s="151">
        <v>6.7865203508115013E-3</v>
      </c>
      <c r="Y59" s="151">
        <v>5.5998030101606349E-3</v>
      </c>
      <c r="Z59" s="151">
        <v>4.6822268314713183E-3</v>
      </c>
      <c r="AA59" s="149"/>
      <c r="AB59" s="152">
        <v>1.143113168630569E-2</v>
      </c>
      <c r="AC59" s="153"/>
      <c r="AD59" s="152">
        <v>2.2291237274618313E-2</v>
      </c>
    </row>
    <row r="60" spans="5:30" x14ac:dyDescent="0.55000000000000004"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41"/>
      <c r="AC60" s="141"/>
      <c r="AD60" s="141"/>
    </row>
    <row r="61" spans="5:30" x14ac:dyDescent="0.55000000000000004">
      <c r="E61" s="155" t="s">
        <v>225</v>
      </c>
      <c r="F61" s="156">
        <v>-587</v>
      </c>
      <c r="G61" s="156">
        <v>-106</v>
      </c>
      <c r="H61" s="156">
        <v>494</v>
      </c>
      <c r="I61" s="156">
        <v>907</v>
      </c>
      <c r="J61" s="156">
        <v>1340</v>
      </c>
      <c r="K61" s="156">
        <v>1208</v>
      </c>
      <c r="L61" s="156">
        <v>924</v>
      </c>
      <c r="M61" s="156">
        <v>1020</v>
      </c>
      <c r="N61" s="156">
        <v>1018</v>
      </c>
      <c r="O61" s="156">
        <v>464</v>
      </c>
      <c r="P61" s="156">
        <v>-1696</v>
      </c>
      <c r="Q61" s="156">
        <v>-583.06017316820999</v>
      </c>
      <c r="R61" s="156">
        <v>364.71889094675771</v>
      </c>
      <c r="S61" s="156">
        <v>975.36945016062441</v>
      </c>
      <c r="T61" s="156">
        <v>1556.2167122173951</v>
      </c>
      <c r="U61" s="156">
        <v>1953.0224612761135</v>
      </c>
      <c r="V61" s="156">
        <v>2310.8737718359453</v>
      </c>
      <c r="W61" s="156">
        <v>2547.4568395760762</v>
      </c>
      <c r="X61" s="156">
        <v>2770.6070959291501</v>
      </c>
      <c r="Y61" s="156">
        <v>2981.039288336674</v>
      </c>
      <c r="Z61" s="156">
        <v>3207.9240520991743</v>
      </c>
      <c r="AA61" s="155"/>
      <c r="AB61" s="157"/>
      <c r="AC61" s="157"/>
      <c r="AD61" s="157"/>
    </row>
    <row r="62" spans="5:30" x14ac:dyDescent="0.55000000000000004">
      <c r="E62" s="149" t="s">
        <v>226</v>
      </c>
      <c r="F62" s="151">
        <v>-8.1347006651884698E-2</v>
      </c>
      <c r="G62" s="151">
        <v>-1.7422748191978962E-2</v>
      </c>
      <c r="H62" s="151">
        <v>7.149059334298119E-2</v>
      </c>
      <c r="I62" s="151">
        <v>0.10768134868811588</v>
      </c>
      <c r="J62" s="151">
        <v>0.1308977239425613</v>
      </c>
      <c r="K62" s="151">
        <v>0.1213704410730433</v>
      </c>
      <c r="L62" s="151">
        <v>9.1178211959739491E-2</v>
      </c>
      <c r="M62" s="151">
        <v>8.3971350950852064E-2</v>
      </c>
      <c r="N62" s="151">
        <v>6.8695593494837712E-2</v>
      </c>
      <c r="O62" s="151">
        <v>2.9768396740873806E-2</v>
      </c>
      <c r="P62" s="151">
        <v>-0.11707855860831147</v>
      </c>
      <c r="Q62" s="151">
        <v>-3.8101605238189402E-2</v>
      </c>
      <c r="R62" s="151">
        <v>1.9387537688318739E-2</v>
      </c>
      <c r="S62" s="151">
        <v>4.0516663795607949E-2</v>
      </c>
      <c r="T62" s="151">
        <v>5.5582184597648208E-2</v>
      </c>
      <c r="U62" s="151">
        <v>6.4347530851022045E-2</v>
      </c>
      <c r="V62" s="151">
        <v>6.9972248604206463E-2</v>
      </c>
      <c r="W62" s="151">
        <v>7.1217835116305056E-2</v>
      </c>
      <c r="X62" s="151">
        <v>7.2472962319360873E-2</v>
      </c>
      <c r="Y62" s="151">
        <v>7.3653707826593931E-2</v>
      </c>
      <c r="Z62" s="151">
        <v>7.6148984219598218E-2</v>
      </c>
      <c r="AA62" s="149"/>
      <c r="AB62" s="152">
        <v>-6.2048561241999827E-3</v>
      </c>
      <c r="AC62" s="153"/>
      <c r="AD62" s="152">
        <v>2.8346462338881506E-2</v>
      </c>
    </row>
    <row r="63" spans="5:30" x14ac:dyDescent="0.55000000000000004"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41"/>
      <c r="AC63" s="141"/>
      <c r="AD63" s="141"/>
    </row>
    <row r="64" spans="5:30" x14ac:dyDescent="0.55000000000000004">
      <c r="E64" s="144" t="s">
        <v>227</v>
      </c>
      <c r="F64" s="150">
        <v>250</v>
      </c>
      <c r="G64" s="150">
        <v>46</v>
      </c>
      <c r="H64" s="150">
        <v>131</v>
      </c>
      <c r="I64" s="150">
        <v>240</v>
      </c>
      <c r="J64" s="150">
        <v>322</v>
      </c>
      <c r="K64" s="150">
        <v>298</v>
      </c>
      <c r="L64" s="150">
        <v>227</v>
      </c>
      <c r="M64" s="150">
        <v>209</v>
      </c>
      <c r="N64" s="150">
        <v>163</v>
      </c>
      <c r="O64" s="150">
        <v>81</v>
      </c>
      <c r="P64" s="150">
        <v>-124</v>
      </c>
      <c r="Q64" s="150">
        <v>-56.773238097006988</v>
      </c>
      <c r="R64" s="150">
        <v>151.7381560082865</v>
      </c>
      <c r="S64" s="150">
        <v>286.08127903533682</v>
      </c>
      <c r="T64" s="150">
        <v>413.86767668782608</v>
      </c>
      <c r="U64" s="150">
        <v>501.16494148074327</v>
      </c>
      <c r="V64" s="150">
        <v>579.89222980390605</v>
      </c>
      <c r="W64" s="150">
        <v>631.94050470673551</v>
      </c>
      <c r="X64" s="150">
        <v>681.03356110441132</v>
      </c>
      <c r="Y64" s="150">
        <v>727.32864343406641</v>
      </c>
      <c r="Z64" s="150">
        <v>777.24329146181742</v>
      </c>
      <c r="AA64" s="133"/>
      <c r="AB64" s="141"/>
      <c r="AC64" s="141"/>
      <c r="AD64" s="141"/>
    </row>
    <row r="65" spans="5:30" x14ac:dyDescent="0.55000000000000004">
      <c r="E65" s="149" t="s">
        <v>228</v>
      </c>
      <c r="F65" s="151">
        <v>-0.42589437819420783</v>
      </c>
      <c r="G65" s="151">
        <v>-0.43396226415094341</v>
      </c>
      <c r="H65" s="151">
        <v>0.26518218623481782</v>
      </c>
      <c r="I65" s="151">
        <v>0.26460859977949286</v>
      </c>
      <c r="J65" s="151">
        <v>0.24029850746268658</v>
      </c>
      <c r="K65" s="151">
        <v>0.24668874172185432</v>
      </c>
      <c r="L65" s="151">
        <v>0.24567099567099568</v>
      </c>
      <c r="M65" s="151">
        <v>0.20490196078431372</v>
      </c>
      <c r="N65" s="151">
        <v>0.16011787819253437</v>
      </c>
      <c r="O65" s="151">
        <v>0.17456896551724138</v>
      </c>
      <c r="P65" s="151">
        <v>7.3113207547169809E-2</v>
      </c>
      <c r="Q65" s="151">
        <v>9.7371147455527177E-2</v>
      </c>
      <c r="R65" s="151">
        <v>0.41604139455018657</v>
      </c>
      <c r="S65" s="151">
        <v>0.2933055561543626</v>
      </c>
      <c r="T65" s="151">
        <v>0.26594475784681781</v>
      </c>
      <c r="U65" s="151">
        <v>0.25660992201455785</v>
      </c>
      <c r="V65" s="151">
        <v>0.25094067744911602</v>
      </c>
      <c r="W65" s="151">
        <v>0.24806720761239556</v>
      </c>
      <c r="X65" s="151">
        <v>0.24580661837799131</v>
      </c>
      <c r="Y65" s="151">
        <v>0.2439849237411067</v>
      </c>
      <c r="Z65" s="151">
        <v>0.24228855759637186</v>
      </c>
      <c r="AA65" s="149"/>
      <c r="AB65" s="152">
        <v>0.13593335041898186</v>
      </c>
      <c r="AC65" s="153"/>
      <c r="AD65" s="152">
        <v>0.26585455560429039</v>
      </c>
    </row>
    <row r="66" spans="5:30" x14ac:dyDescent="0.55000000000000004"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41"/>
      <c r="AC66" s="141"/>
      <c r="AD66" s="141"/>
    </row>
    <row r="67" spans="5:30" x14ac:dyDescent="0.55000000000000004">
      <c r="E67" s="144" t="s">
        <v>229</v>
      </c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33"/>
      <c r="AB67" s="141"/>
      <c r="AC67" s="141"/>
      <c r="AD67" s="141"/>
    </row>
    <row r="68" spans="5:30" x14ac:dyDescent="0.55000000000000004">
      <c r="E68" s="144" t="s">
        <v>230</v>
      </c>
      <c r="F68" s="150">
        <v>0</v>
      </c>
      <c r="G68" s="150">
        <v>0</v>
      </c>
      <c r="H68" s="150">
        <v>0</v>
      </c>
      <c r="I68" s="150">
        <v>0</v>
      </c>
      <c r="J68" s="150">
        <v>0</v>
      </c>
      <c r="K68" s="150">
        <v>0</v>
      </c>
      <c r="L68" s="150">
        <v>0</v>
      </c>
      <c r="M68" s="150">
        <v>0</v>
      </c>
      <c r="N68" s="150">
        <v>0</v>
      </c>
      <c r="O68" s="150">
        <v>0</v>
      </c>
      <c r="P68" s="150">
        <v>0</v>
      </c>
      <c r="Q68" s="150">
        <v>0</v>
      </c>
      <c r="R68" s="150">
        <v>0</v>
      </c>
      <c r="S68" s="150">
        <v>0</v>
      </c>
      <c r="T68" s="150">
        <v>0</v>
      </c>
      <c r="U68" s="150">
        <v>0</v>
      </c>
      <c r="V68" s="150">
        <v>0</v>
      </c>
      <c r="W68" s="150">
        <v>0</v>
      </c>
      <c r="X68" s="150">
        <v>0</v>
      </c>
      <c r="Y68" s="150">
        <v>0</v>
      </c>
      <c r="Z68" s="150">
        <v>0</v>
      </c>
      <c r="AA68" s="133"/>
      <c r="AB68" s="141"/>
      <c r="AC68" s="141"/>
      <c r="AD68" s="141"/>
    </row>
    <row r="69" spans="5:30" x14ac:dyDescent="0.55000000000000004">
      <c r="E69" s="160" t="s">
        <v>231</v>
      </c>
      <c r="F69" s="150">
        <v>0</v>
      </c>
      <c r="G69" s="150">
        <v>0</v>
      </c>
      <c r="H69" s="150">
        <v>0</v>
      </c>
      <c r="I69" s="150">
        <v>0</v>
      </c>
      <c r="J69" s="150">
        <v>0</v>
      </c>
      <c r="K69" s="150">
        <v>0</v>
      </c>
      <c r="L69" s="150">
        <v>0</v>
      </c>
      <c r="M69" s="150">
        <v>0</v>
      </c>
      <c r="N69" s="150">
        <v>0</v>
      </c>
      <c r="O69" s="150">
        <v>0</v>
      </c>
      <c r="P69" s="150">
        <v>0</v>
      </c>
      <c r="Q69" s="150">
        <v>0</v>
      </c>
      <c r="R69" s="150">
        <v>0</v>
      </c>
      <c r="S69" s="150">
        <v>0</v>
      </c>
      <c r="T69" s="150">
        <v>0</v>
      </c>
      <c r="U69" s="150">
        <v>0</v>
      </c>
      <c r="V69" s="150">
        <v>0</v>
      </c>
      <c r="W69" s="150">
        <v>0</v>
      </c>
      <c r="X69" s="150">
        <v>0</v>
      </c>
      <c r="Y69" s="150">
        <v>0</v>
      </c>
      <c r="Z69" s="150">
        <v>0</v>
      </c>
      <c r="AA69" s="133"/>
      <c r="AB69" s="141"/>
      <c r="AC69" s="141"/>
      <c r="AD69" s="141"/>
    </row>
    <row r="70" spans="5:30" x14ac:dyDescent="0.55000000000000004">
      <c r="E70" s="160" t="s">
        <v>232</v>
      </c>
      <c r="F70" s="150">
        <v>0</v>
      </c>
      <c r="G70" s="150">
        <v>0</v>
      </c>
      <c r="H70" s="150">
        <v>0</v>
      </c>
      <c r="I70" s="150">
        <v>0</v>
      </c>
      <c r="J70" s="150">
        <v>0</v>
      </c>
      <c r="K70" s="150">
        <v>0</v>
      </c>
      <c r="L70" s="150">
        <v>0</v>
      </c>
      <c r="M70" s="150">
        <v>0</v>
      </c>
      <c r="N70" s="150">
        <v>0</v>
      </c>
      <c r="O70" s="150">
        <v>0</v>
      </c>
      <c r="P70" s="150">
        <v>0</v>
      </c>
      <c r="Q70" s="150">
        <v>0</v>
      </c>
      <c r="R70" s="150">
        <v>0</v>
      </c>
      <c r="S70" s="150">
        <v>0</v>
      </c>
      <c r="T70" s="150">
        <v>0</v>
      </c>
      <c r="U70" s="150">
        <v>0</v>
      </c>
      <c r="V70" s="150">
        <v>0</v>
      </c>
      <c r="W70" s="150">
        <v>0</v>
      </c>
      <c r="X70" s="150">
        <v>0</v>
      </c>
      <c r="Y70" s="150">
        <v>0</v>
      </c>
      <c r="Z70" s="150">
        <v>0</v>
      </c>
      <c r="AA70" s="133"/>
      <c r="AB70" s="141"/>
      <c r="AC70" s="141"/>
      <c r="AD70" s="141"/>
    </row>
    <row r="71" spans="5:30" x14ac:dyDescent="0.55000000000000004"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41"/>
      <c r="AC71" s="141"/>
      <c r="AD71" s="141"/>
    </row>
    <row r="72" spans="5:30" x14ac:dyDescent="0.55000000000000004">
      <c r="E72" s="155" t="s">
        <v>89</v>
      </c>
      <c r="F72" s="156">
        <v>-837</v>
      </c>
      <c r="G72" s="156">
        <v>-152</v>
      </c>
      <c r="H72" s="156">
        <v>363</v>
      </c>
      <c r="I72" s="156">
        <v>667</v>
      </c>
      <c r="J72" s="156">
        <v>1018</v>
      </c>
      <c r="K72" s="156">
        <v>910</v>
      </c>
      <c r="L72" s="156">
        <v>697</v>
      </c>
      <c r="M72" s="156">
        <v>811</v>
      </c>
      <c r="N72" s="156">
        <v>855</v>
      </c>
      <c r="O72" s="156">
        <v>383</v>
      </c>
      <c r="P72" s="156">
        <v>-1572</v>
      </c>
      <c r="Q72" s="156">
        <v>-526.28693507120295</v>
      </c>
      <c r="R72" s="156">
        <v>212.98073493847122</v>
      </c>
      <c r="S72" s="156">
        <v>689.28817112528759</v>
      </c>
      <c r="T72" s="156">
        <v>1142.3490355295689</v>
      </c>
      <c r="U72" s="156">
        <v>1451.8575197953703</v>
      </c>
      <c r="V72" s="156">
        <v>1730.9815420320392</v>
      </c>
      <c r="W72" s="156">
        <v>1915.5163348693407</v>
      </c>
      <c r="X72" s="156">
        <v>2089.573534824739</v>
      </c>
      <c r="Y72" s="156">
        <v>2253.7106449026078</v>
      </c>
      <c r="Z72" s="156">
        <v>2430.6807606373568</v>
      </c>
      <c r="AA72" s="155"/>
      <c r="AB72" s="157"/>
      <c r="AC72" s="157"/>
      <c r="AD72" s="157"/>
    </row>
    <row r="73" spans="5:30" x14ac:dyDescent="0.55000000000000004">
      <c r="E73" s="149" t="s">
        <v>233</v>
      </c>
      <c r="F73" s="151">
        <v>-0.11599223946784923</v>
      </c>
      <c r="G73" s="151">
        <v>-2.4983563445101907E-2</v>
      </c>
      <c r="H73" s="151">
        <v>5.253256150506512E-2</v>
      </c>
      <c r="I73" s="151">
        <v>7.9187937789386209E-2</v>
      </c>
      <c r="J73" s="151">
        <v>9.944319624890105E-2</v>
      </c>
      <c r="K73" s="151">
        <v>9.1429719682507793E-2</v>
      </c>
      <c r="L73" s="151">
        <v>6.8778369844089207E-2</v>
      </c>
      <c r="M73" s="151">
        <v>6.6765456491314726E-2</v>
      </c>
      <c r="N73" s="151">
        <v>5.7696200823267429E-2</v>
      </c>
      <c r="O73" s="151">
        <v>2.4571758516712644E-2</v>
      </c>
      <c r="P73" s="151">
        <v>-0.1085185696534585</v>
      </c>
      <c r="Q73" s="151">
        <v>-3.439160821624937E-2</v>
      </c>
      <c r="R73" s="151">
        <v>1.1321519471576311E-2</v>
      </c>
      <c r="S73" s="151">
        <v>2.8632901187517833E-2</v>
      </c>
      <c r="T73" s="151">
        <v>4.0800393974229528E-2</v>
      </c>
      <c r="U73" s="151">
        <v>4.7835315977511929E-2</v>
      </c>
      <c r="V73" s="151">
        <v>5.2413365136828934E-2</v>
      </c>
      <c r="W73" s="151">
        <v>5.3551025626803257E-2</v>
      </c>
      <c r="X73" s="151">
        <v>5.4658628527803198E-2</v>
      </c>
      <c r="Y73" s="151">
        <v>5.5683313539272666E-2</v>
      </c>
      <c r="Z73" s="151">
        <v>5.7698956670602881E-2</v>
      </c>
      <c r="AA73" s="149"/>
      <c r="AB73" s="152">
        <v>-8.7502034378261432E-3</v>
      </c>
      <c r="AC73" s="153"/>
      <c r="AD73" s="152">
        <v>1.8839704478917245E-2</v>
      </c>
    </row>
    <row r="74" spans="5:30" x14ac:dyDescent="0.55000000000000004"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41"/>
      <c r="AC74" s="141"/>
      <c r="AD74" s="141"/>
    </row>
    <row r="75" spans="5:30" x14ac:dyDescent="0.55000000000000004">
      <c r="E75" s="144" t="s">
        <v>234</v>
      </c>
      <c r="F75" s="150">
        <v>202.2</v>
      </c>
      <c r="G75" s="150">
        <v>202.1</v>
      </c>
      <c r="H75" s="150">
        <v>221.1</v>
      </c>
      <c r="I75" s="150">
        <v>222.9</v>
      </c>
      <c r="J75" s="150">
        <v>219.6</v>
      </c>
      <c r="K75" s="150">
        <v>212.7</v>
      </c>
      <c r="L75" s="150">
        <v>201.5</v>
      </c>
      <c r="M75" s="150">
        <v>198.17</v>
      </c>
      <c r="N75" s="150">
        <v>982.95488</v>
      </c>
      <c r="O75" s="150">
        <v>1007.970584</v>
      </c>
      <c r="P75" s="150">
        <v>1006.177558</v>
      </c>
      <c r="Q75" s="150">
        <v>1006.177558</v>
      </c>
      <c r="R75" s="150">
        <v>1006.177558</v>
      </c>
      <c r="S75" s="150">
        <v>1006.177558</v>
      </c>
      <c r="T75" s="150">
        <v>1006.177558</v>
      </c>
      <c r="U75" s="150">
        <v>1006.177558</v>
      </c>
      <c r="V75" s="150">
        <v>1006.177558</v>
      </c>
      <c r="W75" s="150">
        <v>1006.177558</v>
      </c>
      <c r="X75" s="150">
        <v>1006.177558</v>
      </c>
      <c r="Y75" s="150">
        <v>1006.177558</v>
      </c>
      <c r="Z75" s="150">
        <v>1006.177558</v>
      </c>
      <c r="AA75" s="133"/>
      <c r="AB75" s="141"/>
      <c r="AC75" s="141"/>
      <c r="AD75" s="141"/>
    </row>
    <row r="76" spans="5:30" x14ac:dyDescent="0.55000000000000004">
      <c r="E76" s="144" t="s">
        <v>235</v>
      </c>
      <c r="F76" s="133"/>
      <c r="G76" s="133"/>
      <c r="H76" s="161"/>
      <c r="I76" s="161"/>
      <c r="J76" s="161"/>
      <c r="K76" s="161"/>
      <c r="L76" s="161"/>
      <c r="M76" s="161"/>
      <c r="N76" s="161"/>
      <c r="O76" s="161"/>
      <c r="P76" s="150">
        <v>1006.177558</v>
      </c>
      <c r="Q76" s="161">
        <v>1006.177558</v>
      </c>
      <c r="R76" s="161">
        <v>1006.177558</v>
      </c>
      <c r="S76" s="161">
        <v>1006.177558</v>
      </c>
      <c r="T76" s="161">
        <v>1006.177558</v>
      </c>
      <c r="U76" s="161">
        <v>1006.177558</v>
      </c>
      <c r="V76" s="161">
        <v>1006.177558</v>
      </c>
      <c r="W76" s="161">
        <v>1006.177558</v>
      </c>
      <c r="X76" s="161">
        <v>1006.177558</v>
      </c>
      <c r="Y76" s="161">
        <v>1006.177558</v>
      </c>
      <c r="Z76" s="161">
        <v>1006.177558</v>
      </c>
      <c r="AA76" s="133"/>
      <c r="AB76" s="141"/>
      <c r="AC76" s="141"/>
      <c r="AD76" s="141"/>
    </row>
    <row r="77" spans="5:30" x14ac:dyDescent="0.55000000000000004"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41"/>
      <c r="AC77" s="141"/>
      <c r="AD77" s="141"/>
    </row>
    <row r="78" spans="5:30" x14ac:dyDescent="0.55000000000000004">
      <c r="E78" s="162" t="s">
        <v>236</v>
      </c>
      <c r="F78" s="162">
        <v>-4.1394658753709201</v>
      </c>
      <c r="G78" s="162">
        <v>-0.75210291934685802</v>
      </c>
      <c r="H78" s="162">
        <v>1.6417910447761195</v>
      </c>
      <c r="I78" s="162">
        <v>2.9923732615522654</v>
      </c>
      <c r="J78" s="162">
        <v>4.6357012750455375</v>
      </c>
      <c r="K78" s="162">
        <v>4.2783262811471561</v>
      </c>
      <c r="L78" s="162">
        <v>3.4590570719602978</v>
      </c>
      <c r="M78" s="162">
        <v>4.0924458798001719</v>
      </c>
      <c r="N78" s="162">
        <v>0.86982629355276209</v>
      </c>
      <c r="O78" s="162">
        <v>0.37997140599095103</v>
      </c>
      <c r="P78" s="162">
        <v>-1.5623485015156739</v>
      </c>
      <c r="Q78" s="162">
        <v>-0.5230557279744088</v>
      </c>
      <c r="R78" s="162">
        <v>0.21167311201197675</v>
      </c>
      <c r="S78" s="162">
        <v>0.68505619673668727</v>
      </c>
      <c r="T78" s="162">
        <v>1.1353354350302145</v>
      </c>
      <c r="U78" s="162">
        <v>1.4429436516962848</v>
      </c>
      <c r="V78" s="162">
        <v>1.7203539556902334</v>
      </c>
      <c r="W78" s="162">
        <v>1.9037557731627928</v>
      </c>
      <c r="X78" s="162">
        <v>2.0767443262978631</v>
      </c>
      <c r="Y78" s="162">
        <v>2.2398736952376033</v>
      </c>
      <c r="Z78" s="162">
        <v>2.4157572799266873</v>
      </c>
      <c r="AA78" s="162"/>
      <c r="AB78" s="163"/>
      <c r="AC78" s="163"/>
      <c r="AD78" s="163"/>
    </row>
    <row r="79" spans="5:30" x14ac:dyDescent="0.55000000000000004">
      <c r="E79" s="154" t="s">
        <v>237</v>
      </c>
      <c r="F79" s="154"/>
      <c r="G79" s="151">
        <v>-0.81830918722588453</v>
      </c>
      <c r="H79" s="151">
        <v>-3.182934014139827</v>
      </c>
      <c r="I79" s="151">
        <v>0.82262735021819799</v>
      </c>
      <c r="J79" s="151">
        <v>0.54917213524385367</v>
      </c>
      <c r="K79" s="151">
        <v>-7.7091894558039886E-2</v>
      </c>
      <c r="L79" s="151">
        <v>-0.19149292394949968</v>
      </c>
      <c r="M79" s="151">
        <v>0.18311025076002108</v>
      </c>
      <c r="N79" s="151">
        <v>-0.78745563921904949</v>
      </c>
      <c r="O79" s="151">
        <v>-0.5631640376850684</v>
      </c>
      <c r="P79" s="151">
        <v>-5.1117528237187431</v>
      </c>
      <c r="Q79" s="151">
        <v>-0.66521187336437482</v>
      </c>
      <c r="R79" s="151">
        <v>-1.4046855826083853</v>
      </c>
      <c r="S79" s="151">
        <v>2.23638741938053</v>
      </c>
      <c r="T79" s="151">
        <v>0.65728803043963935</v>
      </c>
      <c r="U79" s="151">
        <v>0.27094038217690608</v>
      </c>
      <c r="V79" s="151">
        <v>0.19225304028181056</v>
      </c>
      <c r="W79" s="151">
        <v>0.10660702517987097</v>
      </c>
      <c r="X79" s="151">
        <v>9.0866988073620814E-2</v>
      </c>
      <c r="Y79" s="151">
        <v>7.8550530690768783E-2</v>
      </c>
      <c r="Z79" s="151">
        <v>7.8523885102560032E-2</v>
      </c>
      <c r="AA79" s="154"/>
      <c r="AB79" s="152">
        <v>-1.7254346965573284</v>
      </c>
      <c r="AC79" s="153"/>
      <c r="AD79" s="152" t="s">
        <v>216</v>
      </c>
    </row>
    <row r="80" spans="5:30" x14ac:dyDescent="0.55000000000000004"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41"/>
      <c r="AC80" s="141"/>
      <c r="AD80" s="141"/>
    </row>
    <row r="81" spans="5:30" x14ac:dyDescent="0.55000000000000004">
      <c r="E81" s="144" t="s">
        <v>238</v>
      </c>
      <c r="F81" s="150">
        <v>999.55195911413978</v>
      </c>
      <c r="G81" s="150">
        <v>156.30188679245285</v>
      </c>
      <c r="H81" s="150">
        <v>-35.271255060728748</v>
      </c>
      <c r="I81" s="150">
        <v>-33.828004410143329</v>
      </c>
      <c r="J81" s="150">
        <v>0</v>
      </c>
      <c r="K81" s="150">
        <v>0</v>
      </c>
      <c r="L81" s="150">
        <v>28.664502164502164</v>
      </c>
      <c r="M81" s="150">
        <v>0</v>
      </c>
      <c r="N81" s="150">
        <v>43.673870333988219</v>
      </c>
      <c r="O81" s="150">
        <v>114.73491379310346</v>
      </c>
      <c r="P81" s="150">
        <v>411.53773584905662</v>
      </c>
      <c r="Q81" s="150">
        <v>0</v>
      </c>
      <c r="R81" s="150">
        <v>0</v>
      </c>
      <c r="S81" s="150">
        <v>0</v>
      </c>
      <c r="T81" s="150">
        <v>0</v>
      </c>
      <c r="U81" s="150">
        <v>0</v>
      </c>
      <c r="V81" s="150">
        <v>0</v>
      </c>
      <c r="W81" s="150">
        <v>0</v>
      </c>
      <c r="X81" s="150">
        <v>0</v>
      </c>
      <c r="Y81" s="150">
        <v>0</v>
      </c>
      <c r="Z81" s="150">
        <v>0</v>
      </c>
      <c r="AA81" s="133"/>
      <c r="AB81" s="141"/>
      <c r="AC81" s="141"/>
      <c r="AD81" s="141"/>
    </row>
    <row r="82" spans="5:30" x14ac:dyDescent="0.55000000000000004">
      <c r="E82" s="144" t="s">
        <v>239</v>
      </c>
      <c r="F82" s="161">
        <v>162.55195911413978</v>
      </c>
      <c r="G82" s="161">
        <v>4.3018867924528479</v>
      </c>
      <c r="H82" s="161">
        <v>327.72874493927122</v>
      </c>
      <c r="I82" s="161">
        <v>633.17199558985669</v>
      </c>
      <c r="J82" s="161">
        <v>1018</v>
      </c>
      <c r="K82" s="161">
        <v>910</v>
      </c>
      <c r="L82" s="161">
        <v>725.66450216450221</v>
      </c>
      <c r="M82" s="161">
        <v>811</v>
      </c>
      <c r="N82" s="161">
        <v>898.67387033398825</v>
      </c>
      <c r="O82" s="161">
        <v>497.73491379310349</v>
      </c>
      <c r="P82" s="161">
        <v>-1160.4622641509434</v>
      </c>
      <c r="Q82" s="161">
        <v>-526.28693507120295</v>
      </c>
      <c r="R82" s="161">
        <v>212.98073493847122</v>
      </c>
      <c r="S82" s="161">
        <v>689.28817112528759</v>
      </c>
      <c r="T82" s="161">
        <v>1142.3490355295689</v>
      </c>
      <c r="U82" s="161">
        <v>1451.8575197953703</v>
      </c>
      <c r="V82" s="161">
        <v>1730.9815420320392</v>
      </c>
      <c r="W82" s="161">
        <v>1915.5163348693407</v>
      </c>
      <c r="X82" s="161">
        <v>2089.573534824739</v>
      </c>
      <c r="Y82" s="161">
        <v>2253.7106449026078</v>
      </c>
      <c r="Z82" s="161">
        <v>2430.6807606373568</v>
      </c>
      <c r="AA82" s="133"/>
      <c r="AB82" s="141"/>
      <c r="AC82" s="141"/>
      <c r="AD82" s="141"/>
    </row>
    <row r="83" spans="5:30" x14ac:dyDescent="0.55000000000000004"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41"/>
      <c r="AC83" s="141"/>
      <c r="AD83" s="141"/>
    </row>
    <row r="84" spans="5:30" x14ac:dyDescent="0.55000000000000004">
      <c r="E84" s="162" t="s">
        <v>240</v>
      </c>
      <c r="F84" s="162">
        <v>0.803916711741542</v>
      </c>
      <c r="G84" s="162">
        <v>2.1285931679628143E-2</v>
      </c>
      <c r="H84" s="162">
        <v>1.4822647894132575</v>
      </c>
      <c r="I84" s="162">
        <v>2.8406101192905191</v>
      </c>
      <c r="J84" s="162">
        <v>4.6357012750455375</v>
      </c>
      <c r="K84" s="162">
        <v>4.2783262811471561</v>
      </c>
      <c r="L84" s="162">
        <v>3.6013126658287953</v>
      </c>
      <c r="M84" s="162">
        <v>4.0924458798001719</v>
      </c>
      <c r="N84" s="162">
        <v>0.91425749911734322</v>
      </c>
      <c r="O84" s="162">
        <v>0.49379904700979199</v>
      </c>
      <c r="P84" s="162">
        <v>-1.1533374551283158</v>
      </c>
      <c r="Q84" s="162">
        <v>-0.5230557279744088</v>
      </c>
      <c r="R84" s="162">
        <v>0.21167311201197675</v>
      </c>
      <c r="S84" s="162">
        <v>0.68505619673668727</v>
      </c>
      <c r="T84" s="162">
        <v>1.1353354350302145</v>
      </c>
      <c r="U84" s="162">
        <v>1.4429436516962848</v>
      </c>
      <c r="V84" s="162">
        <v>1.7203539556902334</v>
      </c>
      <c r="W84" s="162">
        <v>1.9037557731627928</v>
      </c>
      <c r="X84" s="162">
        <v>2.0767443262978631</v>
      </c>
      <c r="Y84" s="162">
        <v>2.2398736952376033</v>
      </c>
      <c r="Z84" s="162">
        <v>2.4157572799266873</v>
      </c>
      <c r="AA84" s="162"/>
      <c r="AB84" s="163"/>
      <c r="AC84" s="163"/>
      <c r="AD84" s="163"/>
    </row>
    <row r="85" spans="5:30" x14ac:dyDescent="0.55000000000000004">
      <c r="E85" s="154" t="s">
        <v>241</v>
      </c>
      <c r="F85" s="154"/>
      <c r="G85" s="151">
        <v>-0.97352221770148806</v>
      </c>
      <c r="H85" s="151">
        <v>68.635889644044568</v>
      </c>
      <c r="I85" s="151">
        <v>0.91639856763713023</v>
      </c>
      <c r="J85" s="151">
        <v>0.63193859078533698</v>
      </c>
      <c r="K85" s="151">
        <v>-7.7091894558039886E-2</v>
      </c>
      <c r="L85" s="151">
        <v>-0.15824263294309382</v>
      </c>
      <c r="M85" s="151">
        <v>0.1363761660106646</v>
      </c>
      <c r="N85" s="151">
        <v>-0.77659875635008158</v>
      </c>
      <c r="O85" s="151">
        <v>-0.45989062437385175</v>
      </c>
      <c r="P85" s="151">
        <v>-3.3356413142398091</v>
      </c>
      <c r="Q85" s="151">
        <v>-0.54648509363097397</v>
      </c>
      <c r="R85" s="151">
        <v>-1.4046855826083853</v>
      </c>
      <c r="S85" s="151">
        <v>2.23638741938053</v>
      </c>
      <c r="T85" s="151">
        <v>0.65728803043963935</v>
      </c>
      <c r="U85" s="151">
        <v>0.27094038217690608</v>
      </c>
      <c r="V85" s="151">
        <v>0.19225304028181056</v>
      </c>
      <c r="W85" s="151">
        <v>0.10660702517987097</v>
      </c>
      <c r="X85" s="151">
        <v>9.0866988073620814E-2</v>
      </c>
      <c r="Y85" s="151">
        <v>7.8550530690768783E-2</v>
      </c>
      <c r="Z85" s="151">
        <v>7.8523885102560032E-2</v>
      </c>
      <c r="AA85" s="154"/>
      <c r="AB85" s="152">
        <v>-1.6556284896310991</v>
      </c>
      <c r="AC85" s="153"/>
      <c r="AD85" s="152" t="s">
        <v>216</v>
      </c>
    </row>
    <row r="86" spans="5:30" x14ac:dyDescent="0.55000000000000004"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41"/>
      <c r="AC86" s="141"/>
      <c r="AD86" s="141"/>
    </row>
    <row r="87" spans="5:30" x14ac:dyDescent="0.55000000000000004">
      <c r="E87" s="164" t="s">
        <v>242</v>
      </c>
      <c r="F87" s="164">
        <v>-30.82781023832019</v>
      </c>
      <c r="G87" s="164">
        <v>-5.6011298982465947</v>
      </c>
      <c r="H87" s="164">
        <v>12.226896972498041</v>
      </c>
      <c r="I87" s="164">
        <v>22.285076830375012</v>
      </c>
      <c r="J87" s="164">
        <v>34.523420057385387</v>
      </c>
      <c r="K87" s="164">
        <v>31.861944198538513</v>
      </c>
      <c r="L87" s="164">
        <v>25.760607341244572</v>
      </c>
      <c r="M87" s="164">
        <v>30.477638611230304</v>
      </c>
      <c r="N87" s="164">
        <v>6.4778502167367611</v>
      </c>
      <c r="O87" s="164">
        <v>2.8297579331601912</v>
      </c>
      <c r="P87" s="164">
        <v>-11.635265172111932</v>
      </c>
      <c r="Q87" s="164">
        <v>-3.8953486298800897</v>
      </c>
      <c r="R87" s="164">
        <v>1.5763914297457997</v>
      </c>
      <c r="S87" s="164">
        <v>5.1018133912485926</v>
      </c>
      <c r="T87" s="164">
        <v>8.455174266852957</v>
      </c>
      <c r="U87" s="164">
        <v>10.746022414086438</v>
      </c>
      <c r="V87" s="164">
        <v>12.811977894131038</v>
      </c>
      <c r="W87" s="164">
        <v>14.177824744094615</v>
      </c>
      <c r="X87" s="164">
        <v>15.466120976026147</v>
      </c>
      <c r="Y87" s="164">
        <v>16.68099298642063</v>
      </c>
      <c r="Z87" s="164">
        <v>17.990849363082933</v>
      </c>
      <c r="AA87" s="164"/>
      <c r="AB87" s="165"/>
      <c r="AC87" s="165"/>
      <c r="AD87" s="165"/>
    </row>
    <row r="88" spans="5:30" x14ac:dyDescent="0.55000000000000004">
      <c r="E88" s="166" t="s">
        <v>243</v>
      </c>
      <c r="F88" s="167">
        <v>5.9870023290775185</v>
      </c>
      <c r="G88" s="167">
        <v>0.1585225442899986</v>
      </c>
      <c r="H88" s="167">
        <v>11.03885840027151</v>
      </c>
      <c r="I88" s="167">
        <v>21.154852426629422</v>
      </c>
      <c r="J88" s="167">
        <v>34.523420057385387</v>
      </c>
      <c r="K88" s="167">
        <v>31.861944198538513</v>
      </c>
      <c r="L88" s="167">
        <v>26.820026257875845</v>
      </c>
      <c r="M88" s="167">
        <v>30.477638611230304</v>
      </c>
      <c r="N88" s="167">
        <v>6.8087423692616245</v>
      </c>
      <c r="O88" s="167">
        <v>3.677465589861197</v>
      </c>
      <c r="P88" s="167">
        <v>-8.5892405633750801</v>
      </c>
      <c r="Q88" s="167">
        <v>-3.8953486298800897</v>
      </c>
      <c r="R88" s="167">
        <v>1.5763914297457997</v>
      </c>
      <c r="S88" s="167">
        <v>5.1018133912485926</v>
      </c>
      <c r="T88" s="167">
        <v>8.455174266852957</v>
      </c>
      <c r="U88" s="167">
        <v>10.746022414086438</v>
      </c>
      <c r="V88" s="167">
        <v>12.811977894131038</v>
      </c>
      <c r="W88" s="167">
        <v>14.177824744094615</v>
      </c>
      <c r="X88" s="167">
        <v>15.466120976026147</v>
      </c>
      <c r="Y88" s="167">
        <v>16.68099298642063</v>
      </c>
      <c r="Z88" s="167">
        <v>17.990849363082933</v>
      </c>
      <c r="AA88" s="166"/>
      <c r="AB88" s="168"/>
      <c r="AC88" s="168"/>
      <c r="AD88" s="168"/>
    </row>
    <row r="89" spans="5:30" x14ac:dyDescent="0.55000000000000004">
      <c r="E89" s="169" t="s">
        <v>244</v>
      </c>
      <c r="F89" s="170"/>
      <c r="G89" s="171">
        <v>-0.97352221770148806</v>
      </c>
      <c r="H89" s="171">
        <v>68.635889644044568</v>
      </c>
      <c r="I89" s="171">
        <v>0.91639856763713001</v>
      </c>
      <c r="J89" s="171">
        <v>0.63193859078533698</v>
      </c>
      <c r="K89" s="171">
        <v>-7.7091894558039886E-2</v>
      </c>
      <c r="L89" s="171">
        <v>-0.15824263294309382</v>
      </c>
      <c r="M89" s="171">
        <v>0.1363761660106646</v>
      </c>
      <c r="N89" s="171">
        <v>-0.77659875635008158</v>
      </c>
      <c r="O89" s="171">
        <v>-0.45989062437385175</v>
      </c>
      <c r="P89" s="171">
        <v>-3.3356413142398087</v>
      </c>
      <c r="Q89" s="171">
        <v>-0.54648509363097397</v>
      </c>
      <c r="R89" s="171">
        <v>-1.4046855826083853</v>
      </c>
      <c r="S89" s="171">
        <v>2.23638741938053</v>
      </c>
      <c r="T89" s="171">
        <v>0.65728803043963935</v>
      </c>
      <c r="U89" s="171">
        <v>0.27094038217690608</v>
      </c>
      <c r="V89" s="171">
        <v>0.19225304028181056</v>
      </c>
      <c r="W89" s="171">
        <v>0.10660702517987075</v>
      </c>
      <c r="X89" s="171">
        <v>9.0866988073620814E-2</v>
      </c>
      <c r="Y89" s="171">
        <v>7.8550530690768783E-2</v>
      </c>
      <c r="Z89" s="171">
        <v>7.8523885102560032E-2</v>
      </c>
      <c r="AA89" s="170"/>
      <c r="AB89" s="172">
        <v>-1.6556284896310991</v>
      </c>
      <c r="AC89" s="173"/>
      <c r="AD89" s="172" t="s">
        <v>216</v>
      </c>
    </row>
    <row r="90" spans="5:30" ht="16.149999999999999" thickBot="1" x14ac:dyDescent="0.6"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41"/>
      <c r="AC90" s="141"/>
      <c r="AD90" s="141"/>
    </row>
    <row r="91" spans="5:30" x14ac:dyDescent="0.55000000000000004"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  <c r="AA91" s="174"/>
      <c r="AB91" s="175"/>
      <c r="AC91" s="175"/>
      <c r="AD91" s="175"/>
    </row>
    <row r="92" spans="5:30" x14ac:dyDescent="0.55000000000000004">
      <c r="E92" s="176" t="s">
        <v>245</v>
      </c>
      <c r="F92" s="176"/>
      <c r="G92" s="176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1"/>
      <c r="AC92" s="141"/>
      <c r="AD92" s="141"/>
    </row>
    <row r="93" spans="5:30" x14ac:dyDescent="0.55000000000000004">
      <c r="E93" s="144" t="s">
        <v>246</v>
      </c>
      <c r="F93" s="177">
        <v>0</v>
      </c>
      <c r="G93" s="177">
        <v>0</v>
      </c>
      <c r="H93" s="177">
        <v>0</v>
      </c>
      <c r="I93" s="177">
        <v>0</v>
      </c>
      <c r="J93" s="177">
        <v>0.91</v>
      </c>
      <c r="K93" s="177">
        <v>1.31</v>
      </c>
      <c r="L93" s="177">
        <v>1.24</v>
      </c>
      <c r="M93" s="177">
        <v>1</v>
      </c>
      <c r="N93" s="177">
        <v>1.06</v>
      </c>
      <c r="O93" s="177">
        <v>0.23</v>
      </c>
      <c r="P93" s="177">
        <v>0.05</v>
      </c>
      <c r="Q93" s="177">
        <v>0</v>
      </c>
      <c r="R93" s="177">
        <v>0</v>
      </c>
      <c r="S93" s="177">
        <v>6.3501933603593019E-2</v>
      </c>
      <c r="T93" s="177">
        <v>0.20551685902100617</v>
      </c>
      <c r="U93" s="177">
        <v>0.34060063050906436</v>
      </c>
      <c r="V93" s="177">
        <v>0.43288309550888543</v>
      </c>
      <c r="W93" s="177">
        <v>0.51610618670706998</v>
      </c>
      <c r="X93" s="177">
        <v>0.57112673194883778</v>
      </c>
      <c r="Y93" s="177">
        <v>0.62302329788935895</v>
      </c>
      <c r="Z93" s="177">
        <v>0.67196210857128091</v>
      </c>
      <c r="AA93" s="133"/>
      <c r="AB93" s="141"/>
      <c r="AC93" s="141"/>
      <c r="AD93" s="141"/>
    </row>
    <row r="94" spans="5:30" x14ac:dyDescent="0.55000000000000004">
      <c r="E94" s="154" t="s">
        <v>247</v>
      </c>
      <c r="F94" s="178">
        <v>0</v>
      </c>
      <c r="G94" s="178">
        <v>0</v>
      </c>
      <c r="H94" s="178">
        <v>0</v>
      </c>
      <c r="I94" s="178">
        <v>0</v>
      </c>
      <c r="J94" s="178">
        <v>0.19630255402750491</v>
      </c>
      <c r="K94" s="178">
        <v>0.3061945054945055</v>
      </c>
      <c r="L94" s="178">
        <v>0.35847919655667143</v>
      </c>
      <c r="M94" s="178">
        <v>0.24435265104808876</v>
      </c>
      <c r="N94" s="178">
        <v>1.2186341202339181</v>
      </c>
      <c r="O94" s="178">
        <v>0.60530870579634466</v>
      </c>
      <c r="P94" s="178">
        <v>-3.2003102989821883E-2</v>
      </c>
      <c r="Q94" s="178">
        <v>0</v>
      </c>
      <c r="R94" s="178">
        <v>0</v>
      </c>
      <c r="S94" s="178">
        <v>9.2695948020160804E-2</v>
      </c>
      <c r="T94" s="178">
        <v>0.18101862469882021</v>
      </c>
      <c r="U94" s="178">
        <v>0.23604569042503057</v>
      </c>
      <c r="V94" s="178">
        <v>0.25162443698117104</v>
      </c>
      <c r="W94" s="178">
        <v>0.27109894766051856</v>
      </c>
      <c r="X94" s="178">
        <v>0.27501061383274111</v>
      </c>
      <c r="Y94" s="178">
        <v>0.27815108468572347</v>
      </c>
      <c r="Z94" s="178">
        <v>0.27815795657735676</v>
      </c>
      <c r="AA94" s="154"/>
      <c r="AB94" s="152">
        <v>0.59731324101348038</v>
      </c>
      <c r="AC94" s="153"/>
      <c r="AD94" s="152">
        <v>0.10195205262880232</v>
      </c>
    </row>
    <row r="95" spans="5:30" x14ac:dyDescent="0.55000000000000004">
      <c r="E95" s="144" t="s">
        <v>248</v>
      </c>
      <c r="F95" s="177">
        <v>0</v>
      </c>
      <c r="G95" s="177">
        <v>0</v>
      </c>
      <c r="H95" s="177">
        <v>0</v>
      </c>
      <c r="I95" s="177">
        <v>0</v>
      </c>
      <c r="J95" s="177">
        <v>0</v>
      </c>
      <c r="K95" s="177">
        <v>0</v>
      </c>
      <c r="L95" s="177">
        <v>0</v>
      </c>
      <c r="M95" s="177">
        <v>0</v>
      </c>
      <c r="N95" s="177">
        <v>0</v>
      </c>
      <c r="O95" s="177">
        <v>0</v>
      </c>
      <c r="P95" s="177">
        <v>0</v>
      </c>
      <c r="Q95" s="177">
        <v>0</v>
      </c>
      <c r="R95" s="177">
        <v>0</v>
      </c>
      <c r="S95" s="177">
        <v>0</v>
      </c>
      <c r="T95" s="177">
        <v>0</v>
      </c>
      <c r="U95" s="177">
        <v>0</v>
      </c>
      <c r="V95" s="177">
        <v>0</v>
      </c>
      <c r="W95" s="177">
        <v>0</v>
      </c>
      <c r="X95" s="177">
        <v>0</v>
      </c>
      <c r="Y95" s="177">
        <v>0</v>
      </c>
      <c r="Z95" s="177">
        <v>0</v>
      </c>
      <c r="AA95" s="133"/>
      <c r="AB95" s="141"/>
      <c r="AC95" s="141"/>
      <c r="AD95" s="141"/>
    </row>
    <row r="96" spans="5:30" x14ac:dyDescent="0.55000000000000004">
      <c r="E96" s="133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33"/>
      <c r="AB96" s="141"/>
      <c r="AC96" s="141"/>
      <c r="AD96" s="141"/>
    </row>
    <row r="97" spans="1:30" x14ac:dyDescent="0.55000000000000004">
      <c r="A97" s="133"/>
      <c r="B97" s="133"/>
      <c r="C97" s="133"/>
      <c r="D97" s="133"/>
      <c r="E97" s="160" t="s">
        <v>249</v>
      </c>
      <c r="F97" s="161">
        <v>0</v>
      </c>
      <c r="G97" s="161">
        <v>0</v>
      </c>
      <c r="H97" s="161">
        <v>0</v>
      </c>
      <c r="I97" s="161">
        <v>-116</v>
      </c>
      <c r="J97" s="161">
        <v>-201</v>
      </c>
      <c r="K97" s="161">
        <v>-278</v>
      </c>
      <c r="L97" s="161">
        <v>-250</v>
      </c>
      <c r="M97" s="161">
        <v>-197</v>
      </c>
      <c r="N97" s="161">
        <v>-209</v>
      </c>
      <c r="O97" s="161">
        <v>-228</v>
      </c>
      <c r="P97" s="161">
        <v>-50</v>
      </c>
      <c r="Q97" s="150">
        <v>0</v>
      </c>
      <c r="R97" s="150">
        <v>0</v>
      </c>
      <c r="S97" s="150">
        <v>-63.89422048154136</v>
      </c>
      <c r="T97" s="150">
        <v>-206.78645133758624</v>
      </c>
      <c r="U97" s="150">
        <v>-342.70471065887068</v>
      </c>
      <c r="V97" s="150">
        <v>-435.55725593861109</v>
      </c>
      <c r="W97" s="150">
        <v>-519.29446260961174</v>
      </c>
      <c r="X97" s="150">
        <v>-574.6549004608022</v>
      </c>
      <c r="Y97" s="150">
        <v>-626.87206044742175</v>
      </c>
      <c r="Z97" s="150">
        <v>-676.11319347078233</v>
      </c>
      <c r="AA97" s="133"/>
      <c r="AB97" s="141"/>
      <c r="AC97" s="141"/>
      <c r="AD97" s="141"/>
    </row>
    <row r="98" spans="1:30" x14ac:dyDescent="0.55000000000000004">
      <c r="A98" s="133"/>
      <c r="B98" s="133"/>
      <c r="C98" s="133"/>
      <c r="D98" s="133"/>
      <c r="E98" s="144" t="s">
        <v>250</v>
      </c>
      <c r="F98" s="164">
        <v>0</v>
      </c>
      <c r="G98" s="164">
        <v>0</v>
      </c>
      <c r="H98" s="164">
        <v>0</v>
      </c>
      <c r="I98" s="164">
        <v>0</v>
      </c>
      <c r="J98" s="164">
        <v>0.91</v>
      </c>
      <c r="K98" s="164">
        <v>1.31</v>
      </c>
      <c r="L98" s="164">
        <v>1.24</v>
      </c>
      <c r="M98" s="164">
        <v>1</v>
      </c>
      <c r="N98" s="164">
        <v>1.06</v>
      </c>
      <c r="O98" s="164">
        <v>0.23</v>
      </c>
      <c r="P98" s="164">
        <v>0.05</v>
      </c>
      <c r="Q98" s="164">
        <v>0</v>
      </c>
      <c r="R98" s="164">
        <v>0</v>
      </c>
      <c r="S98" s="164">
        <v>6.3501933603593019E-2</v>
      </c>
      <c r="T98" s="164">
        <v>0.20551685902100617</v>
      </c>
      <c r="U98" s="164">
        <v>0.34060063050906436</v>
      </c>
      <c r="V98" s="164">
        <v>0.43288309550888543</v>
      </c>
      <c r="W98" s="164">
        <v>0.51610618670706998</v>
      </c>
      <c r="X98" s="164">
        <v>0.57112673194883778</v>
      </c>
      <c r="Y98" s="164">
        <v>0.62302329788935895</v>
      </c>
      <c r="Z98" s="164">
        <v>0.67196210857128091</v>
      </c>
      <c r="AA98" s="133"/>
      <c r="AB98" s="141"/>
      <c r="AC98" s="141"/>
      <c r="AD98" s="141"/>
    </row>
    <row r="99" spans="1:30" x14ac:dyDescent="0.55000000000000004">
      <c r="A99" s="149"/>
      <c r="B99" s="149"/>
      <c r="C99" s="149"/>
      <c r="D99" s="149"/>
      <c r="E99" s="149" t="s">
        <v>251</v>
      </c>
      <c r="F99" s="179"/>
      <c r="G99" s="151" t="e">
        <v>#DIV/0!</v>
      </c>
      <c r="H99" s="151" t="e">
        <v>#DIV/0!</v>
      </c>
      <c r="I99" s="151" t="e">
        <v>#DIV/0!</v>
      </c>
      <c r="J99" s="151" t="e">
        <v>#DIV/0!</v>
      </c>
      <c r="K99" s="151">
        <v>0.43956043956043955</v>
      </c>
      <c r="L99" s="151">
        <v>-5.3435114503816883E-2</v>
      </c>
      <c r="M99" s="151">
        <v>-0.19354838709677413</v>
      </c>
      <c r="N99" s="151">
        <v>6.0000000000000053E-2</v>
      </c>
      <c r="O99" s="151">
        <v>-0.78301886792452824</v>
      </c>
      <c r="P99" s="151">
        <v>-0.78260869565217395</v>
      </c>
      <c r="Q99" s="151">
        <v>-1</v>
      </c>
      <c r="R99" s="151" t="e">
        <v>#DIV/0!</v>
      </c>
      <c r="S99" s="151" t="e">
        <v>#DIV/0!</v>
      </c>
      <c r="T99" s="151">
        <v>2.23638741938053</v>
      </c>
      <c r="U99" s="151">
        <v>0.65728803043963957</v>
      </c>
      <c r="V99" s="151">
        <v>0.27094038217690608</v>
      </c>
      <c r="W99" s="151">
        <v>0.19225304028181056</v>
      </c>
      <c r="X99" s="151">
        <v>0.10660702517987097</v>
      </c>
      <c r="Y99" s="151">
        <v>9.0866988073621036E-2</v>
      </c>
      <c r="Z99" s="151">
        <v>7.8550530690768561E-2</v>
      </c>
      <c r="AA99" s="149"/>
      <c r="AB99" s="152">
        <v>-0.63159685013596123</v>
      </c>
      <c r="AC99" s="153"/>
      <c r="AD99" s="152" t="e">
        <v>#DIV/0!</v>
      </c>
    </row>
    <row r="100" spans="1:30" x14ac:dyDescent="0.55000000000000004">
      <c r="A100" s="180"/>
      <c r="B100" s="180"/>
      <c r="C100" s="180"/>
      <c r="D100" s="180"/>
      <c r="E100" s="180" t="s">
        <v>252</v>
      </c>
      <c r="F100" s="167">
        <v>0</v>
      </c>
      <c r="G100" s="167">
        <v>0</v>
      </c>
      <c r="H100" s="167">
        <v>0</v>
      </c>
      <c r="I100" s="167">
        <v>0</v>
      </c>
      <c r="J100" s="167">
        <v>6.7770355310291412</v>
      </c>
      <c r="K100" s="167">
        <v>9.7559522479650269</v>
      </c>
      <c r="L100" s="167">
        <v>9.2346418225012474</v>
      </c>
      <c r="M100" s="167">
        <v>7.4472917923397155</v>
      </c>
      <c r="N100" s="167">
        <v>7.8941292998800989</v>
      </c>
      <c r="O100" s="167">
        <v>1.7128771122381345</v>
      </c>
      <c r="P100" s="167">
        <v>0.37236458961698576</v>
      </c>
      <c r="Q100" s="167">
        <v>0</v>
      </c>
      <c r="R100" s="167">
        <v>0</v>
      </c>
      <c r="S100" s="167">
        <v>0.47291742892373984</v>
      </c>
      <c r="T100" s="167">
        <v>1.5305440173745777</v>
      </c>
      <c r="U100" s="167">
        <v>2.5365522800558868</v>
      </c>
      <c r="V100" s="167">
        <v>3.2238067242259314</v>
      </c>
      <c r="W100" s="167">
        <v>3.8435933682393109</v>
      </c>
      <c r="X100" s="167">
        <v>4.2533474232283845</v>
      </c>
      <c r="Y100" s="167">
        <v>4.6398362928078445</v>
      </c>
      <c r="Z100" s="167">
        <v>5.0042978959261886</v>
      </c>
      <c r="AA100" s="180"/>
      <c r="AB100" s="181"/>
      <c r="AC100" s="181"/>
      <c r="AD100" s="181"/>
    </row>
    <row r="101" spans="1:30" x14ac:dyDescent="0.55000000000000004">
      <c r="A101" s="170"/>
      <c r="B101" s="170"/>
      <c r="C101" s="170"/>
      <c r="D101" s="170"/>
      <c r="E101" s="182" t="s">
        <v>253</v>
      </c>
      <c r="F101" s="170"/>
      <c r="G101" s="171" t="e">
        <v>#DIV/0!</v>
      </c>
      <c r="H101" s="171" t="e">
        <v>#DIV/0!</v>
      </c>
      <c r="I101" s="171" t="e">
        <v>#DIV/0!</v>
      </c>
      <c r="J101" s="171" t="e">
        <v>#DIV/0!</v>
      </c>
      <c r="K101" s="171">
        <v>0.43956043956043955</v>
      </c>
      <c r="L101" s="171">
        <v>-5.3435114503816772E-2</v>
      </c>
      <c r="M101" s="171">
        <v>-0.19354838709677424</v>
      </c>
      <c r="N101" s="171">
        <v>6.0000000000000053E-2</v>
      </c>
      <c r="O101" s="171">
        <v>-0.78301886792452835</v>
      </c>
      <c r="P101" s="171">
        <v>-0.78260869565217395</v>
      </c>
      <c r="Q101" s="171">
        <v>-1</v>
      </c>
      <c r="R101" s="171" t="e">
        <v>#DIV/0!</v>
      </c>
      <c r="S101" s="171" t="e">
        <v>#DIV/0!</v>
      </c>
      <c r="T101" s="171">
        <v>2.2363874193805304</v>
      </c>
      <c r="U101" s="171">
        <v>0.65728803043963935</v>
      </c>
      <c r="V101" s="171">
        <v>0.27094038217690608</v>
      </c>
      <c r="W101" s="171">
        <v>0.19225304028181056</v>
      </c>
      <c r="X101" s="171">
        <v>0.10660702517987097</v>
      </c>
      <c r="Y101" s="171">
        <v>9.0866988073621036E-2</v>
      </c>
      <c r="Z101" s="171">
        <v>7.8550530690768561E-2</v>
      </c>
      <c r="AA101" s="170"/>
      <c r="AB101" s="172">
        <v>-0.63159685013596134</v>
      </c>
      <c r="AC101" s="173"/>
      <c r="AD101" s="172" t="e">
        <v>#DIV/0!</v>
      </c>
    </row>
    <row r="102" spans="1:30" x14ac:dyDescent="0.55000000000000004">
      <c r="A102" s="133"/>
      <c r="B102" s="133"/>
      <c r="C102" s="133"/>
      <c r="D102" s="133"/>
      <c r="E102" s="176" t="s">
        <v>254</v>
      </c>
      <c r="F102" s="176"/>
      <c r="G102" s="176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41"/>
      <c r="AC102" s="141"/>
      <c r="AD102" s="141"/>
    </row>
    <row r="103" spans="1:30" x14ac:dyDescent="0.55000000000000004">
      <c r="A103" s="161"/>
      <c r="B103" s="161"/>
      <c r="C103" s="161"/>
      <c r="D103" s="161"/>
      <c r="E103" s="183" t="s">
        <v>88</v>
      </c>
      <c r="F103" s="161">
        <v>-111</v>
      </c>
      <c r="G103" s="161">
        <v>427</v>
      </c>
      <c r="H103" s="161">
        <v>913</v>
      </c>
      <c r="I103" s="161">
        <v>1271</v>
      </c>
      <c r="J103" s="161">
        <v>1750</v>
      </c>
      <c r="K103" s="161">
        <v>1604</v>
      </c>
      <c r="L103" s="161">
        <v>1401</v>
      </c>
      <c r="M103" s="161">
        <v>1664</v>
      </c>
      <c r="N103" s="161">
        <v>1743</v>
      </c>
      <c r="O103" s="161">
        <v>1486</v>
      </c>
      <c r="P103" s="161">
        <v>-687</v>
      </c>
      <c r="Q103" s="161">
        <v>464.0507019755031</v>
      </c>
      <c r="R103" s="161">
        <v>1552.1999884643776</v>
      </c>
      <c r="S103" s="161">
        <v>2373.3011022640785</v>
      </c>
      <c r="T103" s="161">
        <v>2971.163530103237</v>
      </c>
      <c r="U103" s="161">
        <v>3450.3132009615547</v>
      </c>
      <c r="V103" s="161">
        <v>3901.768910660966</v>
      </c>
      <c r="W103" s="161">
        <v>4234.4043221070297</v>
      </c>
      <c r="X103" s="161">
        <v>4543.640553568217</v>
      </c>
      <c r="Y103" s="161">
        <v>4832.6193651663043</v>
      </c>
      <c r="Z103" s="161">
        <v>5117.3671188600656</v>
      </c>
      <c r="AA103" s="161"/>
      <c r="AB103" s="184"/>
      <c r="AC103" s="184"/>
      <c r="AD103" s="184"/>
    </row>
    <row r="104" spans="1:30" x14ac:dyDescent="0.55000000000000004">
      <c r="A104" s="185"/>
      <c r="B104" s="185"/>
      <c r="C104" s="185"/>
      <c r="D104" s="185"/>
      <c r="E104" s="186" t="s">
        <v>255</v>
      </c>
      <c r="F104" s="187">
        <v>701</v>
      </c>
      <c r="G104" s="187">
        <v>109</v>
      </c>
      <c r="H104" s="187">
        <v>-48</v>
      </c>
      <c r="I104" s="187">
        <v>-46</v>
      </c>
      <c r="J104" s="187">
        <v>0</v>
      </c>
      <c r="K104" s="187">
        <v>0</v>
      </c>
      <c r="L104" s="187">
        <v>38</v>
      </c>
      <c r="M104" s="187">
        <v>0</v>
      </c>
      <c r="N104" s="187">
        <v>52</v>
      </c>
      <c r="O104" s="187">
        <v>139</v>
      </c>
      <c r="P104" s="187">
        <v>444</v>
      </c>
      <c r="Q104" s="187">
        <v>0</v>
      </c>
      <c r="R104" s="187">
        <v>0</v>
      </c>
      <c r="S104" s="187">
        <v>0</v>
      </c>
      <c r="T104" s="187">
        <v>0</v>
      </c>
      <c r="U104" s="187">
        <v>0</v>
      </c>
      <c r="V104" s="187">
        <v>0</v>
      </c>
      <c r="W104" s="187">
        <v>0</v>
      </c>
      <c r="X104" s="187">
        <v>0</v>
      </c>
      <c r="Y104" s="187">
        <v>0</v>
      </c>
      <c r="Z104" s="187">
        <v>0</v>
      </c>
      <c r="AA104" s="185"/>
      <c r="AB104" s="188"/>
      <c r="AC104" s="188"/>
      <c r="AD104" s="188"/>
    </row>
    <row r="105" spans="1:30" x14ac:dyDescent="0.55000000000000004">
      <c r="A105" s="161"/>
      <c r="B105" s="161"/>
      <c r="C105" s="161"/>
      <c r="D105" s="161"/>
      <c r="E105" s="183" t="s">
        <v>256</v>
      </c>
      <c r="F105" s="161">
        <v>590</v>
      </c>
      <c r="G105" s="161">
        <v>536</v>
      </c>
      <c r="H105" s="161">
        <v>865</v>
      </c>
      <c r="I105" s="161">
        <v>1225</v>
      </c>
      <c r="J105" s="161">
        <v>1750</v>
      </c>
      <c r="K105" s="161">
        <v>1604</v>
      </c>
      <c r="L105" s="161">
        <v>1439</v>
      </c>
      <c r="M105" s="161">
        <v>1664</v>
      </c>
      <c r="N105" s="161">
        <v>1795</v>
      </c>
      <c r="O105" s="161">
        <v>1625</v>
      </c>
      <c r="P105" s="161">
        <v>-243</v>
      </c>
      <c r="Q105" s="161">
        <v>464.0507019755031</v>
      </c>
      <c r="R105" s="161">
        <v>1552.1999884643776</v>
      </c>
      <c r="S105" s="161">
        <v>2373.3011022640785</v>
      </c>
      <c r="T105" s="161">
        <v>2971.163530103237</v>
      </c>
      <c r="U105" s="161">
        <v>3450.3132009615547</v>
      </c>
      <c r="V105" s="161">
        <v>3901.768910660966</v>
      </c>
      <c r="W105" s="161">
        <v>4234.4043221070297</v>
      </c>
      <c r="X105" s="161">
        <v>4543.640553568217</v>
      </c>
      <c r="Y105" s="161">
        <v>4832.6193651663043</v>
      </c>
      <c r="Z105" s="161">
        <v>5117.3671188600656</v>
      </c>
      <c r="AA105" s="161"/>
      <c r="AB105" s="184"/>
      <c r="AC105" s="184"/>
      <c r="AD105" s="184"/>
    </row>
    <row r="106" spans="1:30" ht="16.149999999999999" thickBot="1" x14ac:dyDescent="0.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41"/>
      <c r="AC106" s="141"/>
      <c r="AD106" s="141"/>
    </row>
    <row r="107" spans="1:30" x14ac:dyDescent="0.55000000000000004">
      <c r="A107" s="174"/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  <c r="AA107" s="174"/>
      <c r="AB107" s="175"/>
      <c r="AC107" s="175"/>
      <c r="AD107" s="175"/>
    </row>
    <row r="108" spans="1:30" x14ac:dyDescent="0.55000000000000004">
      <c r="A108" s="144"/>
      <c r="B108" s="144"/>
      <c r="C108" s="144"/>
      <c r="D108" s="144"/>
      <c r="E108" s="176" t="s">
        <v>257</v>
      </c>
      <c r="F108" s="176"/>
      <c r="G108" s="176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1"/>
      <c r="AC108" s="141"/>
      <c r="AD108" s="141"/>
    </row>
    <row r="109" spans="1:30" x14ac:dyDescent="0.55000000000000004">
      <c r="A109" s="133"/>
      <c r="B109" s="133"/>
      <c r="C109" s="133"/>
      <c r="D109" s="133"/>
      <c r="E109" s="176"/>
      <c r="F109" s="176"/>
      <c r="G109" s="176"/>
      <c r="H109" s="133"/>
      <c r="I109" s="133"/>
      <c r="J109" s="133"/>
      <c r="K109" s="133"/>
      <c r="L109" s="133"/>
      <c r="M109" s="133"/>
      <c r="N109" s="144" t="s">
        <v>258</v>
      </c>
      <c r="O109" s="133"/>
      <c r="P109" s="133"/>
      <c r="Q109" s="144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41"/>
      <c r="AC109" s="141"/>
      <c r="AD109" s="141"/>
    </row>
    <row r="110" spans="1:30" ht="16.149999999999999" thickBot="1" x14ac:dyDescent="0.6">
      <c r="A110" s="158"/>
      <c r="B110" s="158"/>
      <c r="C110" s="158"/>
      <c r="D110" s="158"/>
      <c r="E110" s="189" t="s">
        <v>259</v>
      </c>
      <c r="F110" s="160"/>
      <c r="G110" s="176"/>
      <c r="H110" s="133"/>
      <c r="I110" s="133"/>
      <c r="J110" s="133"/>
      <c r="K110" s="133"/>
      <c r="L110" s="133"/>
      <c r="M110" s="133"/>
      <c r="N110" s="190" t="s">
        <v>260</v>
      </c>
      <c r="O110" s="191"/>
      <c r="P110" s="191"/>
      <c r="Q110" s="191"/>
      <c r="R110" s="191"/>
      <c r="S110" s="191"/>
      <c r="T110" s="191"/>
      <c r="U110" s="192" t="s">
        <v>261</v>
      </c>
      <c r="V110" s="133"/>
      <c r="W110" s="193"/>
      <c r="X110" s="133"/>
      <c r="Y110" s="133"/>
      <c r="Z110" s="133"/>
      <c r="AA110" s="133"/>
      <c r="AB110" s="194" t="s">
        <v>157</v>
      </c>
      <c r="AC110" s="141"/>
      <c r="AD110" s="194" t="s">
        <v>158</v>
      </c>
    </row>
    <row r="111" spans="1:30" x14ac:dyDescent="0.55000000000000004">
      <c r="A111" s="133"/>
      <c r="B111" s="133"/>
      <c r="C111" s="133"/>
      <c r="D111" s="133"/>
      <c r="E111" s="195" t="s">
        <v>262</v>
      </c>
      <c r="F111" s="133"/>
      <c r="G111" s="133"/>
      <c r="H111" s="133"/>
      <c r="I111" s="133"/>
      <c r="J111" s="133"/>
      <c r="K111" s="133"/>
      <c r="L111" s="133"/>
      <c r="M111" s="133"/>
      <c r="N111" s="196">
        <v>2020</v>
      </c>
      <c r="O111" s="196">
        <v>2021</v>
      </c>
      <c r="P111" s="196">
        <v>2022</v>
      </c>
      <c r="Q111" s="196">
        <v>2023</v>
      </c>
      <c r="R111" s="196">
        <v>2024</v>
      </c>
      <c r="S111" s="196">
        <v>2025</v>
      </c>
      <c r="T111" s="196">
        <v>2026</v>
      </c>
      <c r="U111" s="196">
        <v>2027</v>
      </c>
      <c r="V111" s="133"/>
      <c r="W111" s="193"/>
      <c r="X111" s="133"/>
      <c r="Y111" s="133"/>
      <c r="Z111" s="133"/>
      <c r="AA111" s="133"/>
      <c r="AB111" s="197" t="s">
        <v>263</v>
      </c>
      <c r="AC111" s="141"/>
      <c r="AD111" s="197" t="s">
        <v>263</v>
      </c>
    </row>
    <row r="112" spans="1:30" x14ac:dyDescent="0.55000000000000004">
      <c r="A112" s="158"/>
      <c r="B112" s="158"/>
      <c r="C112" s="158"/>
      <c r="D112" s="158"/>
      <c r="E112" s="198" t="s">
        <v>264</v>
      </c>
      <c r="F112" s="199"/>
      <c r="G112" s="199"/>
      <c r="H112" s="199">
        <v>841</v>
      </c>
      <c r="I112" s="199">
        <v>1102</v>
      </c>
      <c r="J112" s="199">
        <v>1713</v>
      </c>
      <c r="K112" s="199">
        <v>1241</v>
      </c>
      <c r="L112" s="199">
        <v>422</v>
      </c>
      <c r="M112" s="199">
        <v>53</v>
      </c>
      <c r="N112" s="199">
        <v>56</v>
      </c>
      <c r="O112" s="199">
        <v>183</v>
      </c>
      <c r="P112" s="199">
        <v>-956</v>
      </c>
      <c r="Q112" s="199">
        <v>-480.63261972233488</v>
      </c>
      <c r="R112" s="199">
        <v>30.903726759935807</v>
      </c>
      <c r="S112" s="199">
        <v>229.74272965331591</v>
      </c>
      <c r="T112" s="199">
        <v>1228.1583416732169</v>
      </c>
      <c r="U112" s="199">
        <v>1473.2954330554744</v>
      </c>
      <c r="V112" s="199"/>
      <c r="W112" s="199"/>
      <c r="X112" s="199"/>
      <c r="Y112" s="199"/>
      <c r="Z112" s="199"/>
      <c r="AA112" s="200"/>
      <c r="AB112" s="201"/>
      <c r="AC112" s="202"/>
      <c r="AD112" s="201"/>
    </row>
    <row r="113" spans="1:30" x14ac:dyDescent="0.55000000000000004">
      <c r="A113" s="158"/>
      <c r="B113" s="158"/>
      <c r="C113" s="158"/>
      <c r="D113" s="158"/>
      <c r="E113" s="198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200"/>
      <c r="AB113" s="201"/>
      <c r="AC113" s="202"/>
      <c r="AD113" s="201"/>
    </row>
    <row r="114" spans="1:30" x14ac:dyDescent="0.55000000000000004">
      <c r="A114" s="158"/>
      <c r="B114" s="158"/>
      <c r="C114" s="158"/>
      <c r="D114" s="158"/>
      <c r="E114" s="198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200"/>
      <c r="AB114" s="201"/>
      <c r="AC114" s="202"/>
      <c r="AD114" s="201"/>
    </row>
    <row r="115" spans="1:30" x14ac:dyDescent="0.55000000000000004">
      <c r="A115" s="158"/>
      <c r="B115" s="158"/>
      <c r="C115" s="158"/>
      <c r="D115" s="158"/>
      <c r="E115" s="198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200"/>
      <c r="AB115" s="201"/>
      <c r="AC115" s="202"/>
      <c r="AD115" s="201"/>
    </row>
    <row r="116" spans="1:30" x14ac:dyDescent="0.55000000000000004">
      <c r="A116" s="158"/>
      <c r="B116" s="158"/>
      <c r="C116" s="158"/>
      <c r="D116" s="158"/>
      <c r="E116" s="198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200"/>
      <c r="AB116" s="201"/>
      <c r="AC116" s="202"/>
      <c r="AD116" s="201"/>
    </row>
    <row r="117" spans="1:30" x14ac:dyDescent="0.55000000000000004">
      <c r="A117" s="133"/>
      <c r="B117" s="133"/>
      <c r="C117" s="133"/>
      <c r="D117" s="133"/>
      <c r="E117" s="195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41"/>
      <c r="AC117" s="141"/>
      <c r="AD117" s="141"/>
    </row>
    <row r="118" spans="1:30" ht="16.149999999999999" thickBot="1" x14ac:dyDescent="0.6">
      <c r="A118" s="158"/>
      <c r="B118" s="158"/>
      <c r="C118" s="158"/>
      <c r="D118" s="158"/>
      <c r="E118" s="189" t="s">
        <v>265</v>
      </c>
      <c r="F118" s="160"/>
      <c r="G118" s="133"/>
      <c r="H118" s="133"/>
      <c r="I118" s="133"/>
      <c r="J118" s="133"/>
      <c r="K118" s="133"/>
      <c r="L118" s="133"/>
      <c r="M118" s="133"/>
      <c r="N118" s="190" t="s">
        <v>260</v>
      </c>
      <c r="O118" s="191"/>
      <c r="P118" s="191"/>
      <c r="Q118" s="191"/>
      <c r="R118" s="191"/>
      <c r="S118" s="191"/>
      <c r="T118" s="191"/>
      <c r="U118" s="192" t="s">
        <v>261</v>
      </c>
      <c r="V118" s="133"/>
      <c r="W118" s="133"/>
      <c r="X118" s="133"/>
      <c r="Y118" s="133"/>
      <c r="Z118" s="133"/>
      <c r="AA118" s="133"/>
      <c r="AB118" s="194" t="s">
        <v>157</v>
      </c>
      <c r="AC118" s="141"/>
      <c r="AD118" s="194" t="s">
        <v>158</v>
      </c>
    </row>
    <row r="119" spans="1:30" x14ac:dyDescent="0.55000000000000004">
      <c r="A119" s="133"/>
      <c r="B119" s="133"/>
      <c r="C119" s="133"/>
      <c r="D119" s="133"/>
      <c r="E119" s="195" t="s">
        <v>262</v>
      </c>
      <c r="F119" s="133"/>
      <c r="G119" s="133"/>
      <c r="H119" s="133"/>
      <c r="I119" s="133"/>
      <c r="J119" s="133"/>
      <c r="K119" s="133"/>
      <c r="L119" s="133"/>
      <c r="M119" s="133"/>
      <c r="N119" s="196">
        <v>2020</v>
      </c>
      <c r="O119" s="196">
        <v>2021</v>
      </c>
      <c r="P119" s="196">
        <v>2022</v>
      </c>
      <c r="Q119" s="196">
        <v>2023</v>
      </c>
      <c r="R119" s="196">
        <v>2024</v>
      </c>
      <c r="S119" s="196">
        <v>2025</v>
      </c>
      <c r="T119" s="196">
        <v>2026</v>
      </c>
      <c r="U119" s="196">
        <v>2027</v>
      </c>
      <c r="V119" s="133"/>
      <c r="W119" s="133"/>
      <c r="X119" s="133"/>
      <c r="Y119" s="133"/>
      <c r="Z119" s="133"/>
      <c r="AA119" s="133"/>
      <c r="AB119" s="197" t="s">
        <v>263</v>
      </c>
      <c r="AC119" s="141"/>
      <c r="AD119" s="197" t="s">
        <v>263</v>
      </c>
    </row>
    <row r="120" spans="1:30" x14ac:dyDescent="0.55000000000000004">
      <c r="A120" s="158"/>
      <c r="B120" s="158"/>
      <c r="C120" s="158"/>
      <c r="D120" s="158"/>
      <c r="E120" s="198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200"/>
      <c r="AB120" s="201"/>
      <c r="AC120" s="202"/>
      <c r="AD120" s="201"/>
    </row>
    <row r="121" spans="1:30" x14ac:dyDescent="0.55000000000000004">
      <c r="A121" s="158"/>
      <c r="B121" s="158"/>
      <c r="C121" s="158"/>
      <c r="D121" s="158"/>
      <c r="E121" s="198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200"/>
      <c r="AB121" s="201"/>
      <c r="AC121" s="202"/>
      <c r="AD121" s="201"/>
    </row>
    <row r="122" spans="1:30" x14ac:dyDescent="0.55000000000000004">
      <c r="A122" s="158"/>
      <c r="B122" s="158"/>
      <c r="C122" s="158"/>
      <c r="D122" s="158"/>
      <c r="E122" s="198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200"/>
      <c r="AB122" s="201"/>
      <c r="AC122" s="202"/>
      <c r="AD122" s="201"/>
    </row>
    <row r="123" spans="1:30" x14ac:dyDescent="0.55000000000000004">
      <c r="A123" s="158"/>
      <c r="B123" s="158"/>
      <c r="C123" s="158"/>
      <c r="D123" s="158"/>
      <c r="E123" s="198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200"/>
      <c r="AB123" s="201"/>
      <c r="AC123" s="202"/>
      <c r="AD123" s="201"/>
    </row>
    <row r="124" spans="1:30" x14ac:dyDescent="0.55000000000000004">
      <c r="A124" s="158"/>
      <c r="B124" s="158"/>
      <c r="C124" s="158"/>
      <c r="D124" s="158"/>
      <c r="E124" s="198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200"/>
      <c r="AB124" s="201"/>
      <c r="AC124" s="202"/>
      <c r="AD124" s="201"/>
    </row>
    <row r="125" spans="1:30" x14ac:dyDescent="0.55000000000000004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41"/>
      <c r="AC125" s="141"/>
      <c r="AD125" s="141"/>
    </row>
    <row r="126" spans="1:30" x14ac:dyDescent="0.55000000000000004">
      <c r="A126" s="142"/>
      <c r="B126" s="142"/>
      <c r="C126" s="142"/>
      <c r="D126" s="142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41"/>
      <c r="AC126" s="141"/>
      <c r="AD126" s="141"/>
    </row>
    <row r="127" spans="1:30" x14ac:dyDescent="0.55000000000000004">
      <c r="A127" s="203" t="s">
        <v>266</v>
      </c>
      <c r="B127" s="20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  <c r="AA127" s="203"/>
      <c r="AB127" s="204"/>
      <c r="AC127" s="204"/>
      <c r="AD127" s="204"/>
    </row>
    <row r="128" spans="1:30" x14ac:dyDescent="0.55000000000000004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205" t="s">
        <v>184</v>
      </c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41"/>
      <c r="AC128" s="141"/>
      <c r="AD128" s="141"/>
    </row>
    <row r="129" spans="5:30" x14ac:dyDescent="0.55000000000000004">
      <c r="E129" s="144" t="s">
        <v>267</v>
      </c>
      <c r="F129" s="150">
        <v>851</v>
      </c>
      <c r="G129" s="150">
        <v>694</v>
      </c>
      <c r="H129" s="150">
        <v>2018</v>
      </c>
      <c r="I129" s="150">
        <v>2765</v>
      </c>
      <c r="J129" s="150">
        <v>3550</v>
      </c>
      <c r="K129" s="150">
        <v>3653</v>
      </c>
      <c r="L129" s="150">
        <v>2918</v>
      </c>
      <c r="M129" s="150">
        <v>2888</v>
      </c>
      <c r="N129" s="150">
        <v>3063</v>
      </c>
      <c r="O129" s="150">
        <v>2420</v>
      </c>
      <c r="P129" s="150">
        <v>2378</v>
      </c>
      <c r="Q129" s="161">
        <v>1897.3673802776648</v>
      </c>
      <c r="R129" s="161">
        <v>1928.2711070376063</v>
      </c>
      <c r="S129" s="161">
        <v>2094.1196162093729</v>
      </c>
      <c r="T129" s="161">
        <v>3115.4915065450041</v>
      </c>
      <c r="U129" s="161">
        <v>4246.0822289416101</v>
      </c>
      <c r="V129" s="161">
        <v>5521.3780184510179</v>
      </c>
      <c r="W129" s="161">
        <v>6889.7263022739608</v>
      </c>
      <c r="X129" s="161">
        <v>8434.7691127532926</v>
      </c>
      <c r="Y129" s="161">
        <v>10137.312764286999</v>
      </c>
      <c r="Z129" s="161">
        <v>12074.340738052953</v>
      </c>
      <c r="AA129" s="161"/>
      <c r="AB129" s="184"/>
      <c r="AC129" s="184"/>
      <c r="AD129" s="184"/>
    </row>
    <row r="130" spans="5:30" x14ac:dyDescent="0.55000000000000004">
      <c r="E130" s="144" t="s">
        <v>268</v>
      </c>
      <c r="F130" s="150">
        <v>0</v>
      </c>
      <c r="G130" s="150">
        <v>0</v>
      </c>
      <c r="H130" s="150">
        <v>0</v>
      </c>
      <c r="I130" s="150">
        <v>0</v>
      </c>
      <c r="J130" s="150">
        <v>11</v>
      </c>
      <c r="K130" s="150">
        <v>7</v>
      </c>
      <c r="L130" s="150">
        <v>422</v>
      </c>
      <c r="M130" s="150">
        <v>173</v>
      </c>
      <c r="N130" s="150">
        <v>111</v>
      </c>
      <c r="O130" s="150">
        <v>116</v>
      </c>
      <c r="P130" s="150">
        <v>0</v>
      </c>
      <c r="Q130" s="150">
        <v>0</v>
      </c>
      <c r="R130" s="150">
        <v>0</v>
      </c>
      <c r="S130" s="150">
        <v>0</v>
      </c>
      <c r="T130" s="150">
        <v>0</v>
      </c>
      <c r="U130" s="150">
        <v>0</v>
      </c>
      <c r="V130" s="150">
        <v>0</v>
      </c>
      <c r="W130" s="150">
        <v>0</v>
      </c>
      <c r="X130" s="150">
        <v>0</v>
      </c>
      <c r="Y130" s="150">
        <v>0</v>
      </c>
      <c r="Z130" s="150">
        <v>0</v>
      </c>
      <c r="AA130" s="161"/>
      <c r="AB130" s="184"/>
      <c r="AC130" s="184"/>
      <c r="AD130" s="184"/>
    </row>
    <row r="131" spans="5:30" x14ac:dyDescent="0.55000000000000004">
      <c r="E131" s="144" t="s">
        <v>269</v>
      </c>
      <c r="F131" s="150">
        <v>792</v>
      </c>
      <c r="G131" s="150">
        <v>626</v>
      </c>
      <c r="H131" s="150">
        <v>598</v>
      </c>
      <c r="I131" s="150">
        <v>795</v>
      </c>
      <c r="J131" s="150">
        <v>1038</v>
      </c>
      <c r="K131" s="150">
        <v>1144</v>
      </c>
      <c r="L131" s="150">
        <v>967</v>
      </c>
      <c r="M131" s="150">
        <v>1460</v>
      </c>
      <c r="N131" s="150">
        <v>1538</v>
      </c>
      <c r="O131" s="150">
        <v>1531</v>
      </c>
      <c r="P131" s="150">
        <v>1280</v>
      </c>
      <c r="Q131" s="161">
        <v>1352.1709239678878</v>
      </c>
      <c r="R131" s="161">
        <v>1662.252873157797</v>
      </c>
      <c r="S131" s="161">
        <v>2127.1443371055184</v>
      </c>
      <c r="T131" s="161">
        <v>2473.9786727951682</v>
      </c>
      <c r="U131" s="161">
        <v>2681.8645525677307</v>
      </c>
      <c r="V131" s="161">
        <v>2918.1786901560649</v>
      </c>
      <c r="W131" s="161">
        <v>3160.6729209278342</v>
      </c>
      <c r="X131" s="161">
        <v>3378.0060073332011</v>
      </c>
      <c r="Y131" s="161">
        <v>3576.3051978105509</v>
      </c>
      <c r="Z131" s="161">
        <v>3722.3863936686475</v>
      </c>
      <c r="AA131" s="161"/>
      <c r="AB131" s="184"/>
      <c r="AC131" s="184"/>
      <c r="AD131" s="184"/>
    </row>
    <row r="132" spans="5:30" x14ac:dyDescent="0.55000000000000004">
      <c r="E132" s="149" t="s">
        <v>270</v>
      </c>
      <c r="F132" s="206">
        <v>40.060975609756099</v>
      </c>
      <c r="G132" s="206">
        <v>37.555884286653516</v>
      </c>
      <c r="H132" s="206">
        <v>31.587554269175108</v>
      </c>
      <c r="I132" s="206">
        <v>34.450314614745338</v>
      </c>
      <c r="J132" s="206">
        <v>37.009866171730003</v>
      </c>
      <c r="K132" s="206">
        <v>41.953179945745006</v>
      </c>
      <c r="L132" s="206">
        <v>34.828794158279059</v>
      </c>
      <c r="M132" s="206">
        <v>43.870914629126531</v>
      </c>
      <c r="N132" s="206">
        <v>37.881773399014776</v>
      </c>
      <c r="O132" s="206">
        <v>35.851350484378003</v>
      </c>
      <c r="P132" s="206">
        <v>32.251829352478261</v>
      </c>
      <c r="Q132" s="207">
        <v>32.251829352478261</v>
      </c>
      <c r="R132" s="207">
        <v>32.251829352478261</v>
      </c>
      <c r="S132" s="207">
        <v>32.251829352478261</v>
      </c>
      <c r="T132" s="207">
        <v>32.251829352478261</v>
      </c>
      <c r="U132" s="207">
        <v>32.251829352478261</v>
      </c>
      <c r="V132" s="207">
        <v>32.251829352478261</v>
      </c>
      <c r="W132" s="207">
        <v>32.251829352478261</v>
      </c>
      <c r="X132" s="207">
        <v>32.251829352478261</v>
      </c>
      <c r="Y132" s="207">
        <v>32.251829352478261</v>
      </c>
      <c r="Z132" s="207">
        <v>32.251829352478261</v>
      </c>
      <c r="AA132" s="206"/>
      <c r="AB132" s="208">
        <v>35.328317745290349</v>
      </c>
      <c r="AC132" s="153"/>
      <c r="AD132" s="208">
        <v>32.251829352478261</v>
      </c>
    </row>
    <row r="133" spans="5:30" x14ac:dyDescent="0.55000000000000004">
      <c r="E133" s="144" t="s">
        <v>271</v>
      </c>
      <c r="F133" s="150">
        <v>2244</v>
      </c>
      <c r="G133" s="150">
        <v>1425</v>
      </c>
      <c r="H133" s="150">
        <v>1509</v>
      </c>
      <c r="I133" s="150">
        <v>1899</v>
      </c>
      <c r="J133" s="150">
        <v>1985</v>
      </c>
      <c r="K133" s="150">
        <v>2696</v>
      </c>
      <c r="L133" s="150">
        <v>2987</v>
      </c>
      <c r="M133" s="150">
        <v>4098</v>
      </c>
      <c r="N133" s="150">
        <v>5289</v>
      </c>
      <c r="O133" s="150">
        <v>5673</v>
      </c>
      <c r="P133" s="150">
        <v>6373</v>
      </c>
      <c r="Q133" s="161">
        <v>6267.2985073609698</v>
      </c>
      <c r="R133" s="161">
        <v>6774.0998562052409</v>
      </c>
      <c r="S133" s="161">
        <v>8236.9076670079885</v>
      </c>
      <c r="T133" s="161">
        <v>8840.7303707945539</v>
      </c>
      <c r="U133" s="161">
        <v>9504.1744919453376</v>
      </c>
      <c r="V133" s="161">
        <v>10286.914553813442</v>
      </c>
      <c r="W133" s="161">
        <v>11138.445044933047</v>
      </c>
      <c r="X133" s="161">
        <v>11897.551729214747</v>
      </c>
      <c r="Y133" s="161">
        <v>12587.691191032382</v>
      </c>
      <c r="Z133" s="161">
        <v>13069.610237177143</v>
      </c>
      <c r="AA133" s="161"/>
      <c r="AB133" s="184"/>
      <c r="AC133" s="184"/>
      <c r="AD133" s="184"/>
    </row>
    <row r="134" spans="5:30" x14ac:dyDescent="0.55000000000000004">
      <c r="E134" s="149" t="s">
        <v>272</v>
      </c>
      <c r="F134" s="206">
        <v>131.63934426229508</v>
      </c>
      <c r="G134" s="206">
        <v>103.01544860368391</v>
      </c>
      <c r="H134" s="206">
        <v>98.5304114490161</v>
      </c>
      <c r="I134" s="206">
        <v>102.15696389093588</v>
      </c>
      <c r="J134" s="206">
        <v>91.307498424700697</v>
      </c>
      <c r="K134" s="206">
        <v>126.33714212350752</v>
      </c>
      <c r="L134" s="206">
        <v>131.38768377922389</v>
      </c>
      <c r="M134" s="206">
        <v>147.55548978987866</v>
      </c>
      <c r="N134" s="206">
        <v>148.39611038511799</v>
      </c>
      <c r="O134" s="206">
        <v>152.39898432325015</v>
      </c>
      <c r="P134" s="206">
        <v>166.16508322023</v>
      </c>
      <c r="Q134" s="207">
        <v>160</v>
      </c>
      <c r="R134" s="207">
        <v>150</v>
      </c>
      <c r="S134" s="207">
        <v>145</v>
      </c>
      <c r="T134" s="207">
        <v>135</v>
      </c>
      <c r="U134" s="207">
        <v>135</v>
      </c>
      <c r="V134" s="207">
        <v>135</v>
      </c>
      <c r="W134" s="207">
        <v>135</v>
      </c>
      <c r="X134" s="207">
        <v>135</v>
      </c>
      <c r="Y134" s="207">
        <v>135</v>
      </c>
      <c r="Z134" s="207">
        <v>135</v>
      </c>
      <c r="AA134" s="206"/>
      <c r="AB134" s="208">
        <v>155.65339264286604</v>
      </c>
      <c r="AC134" s="153"/>
      <c r="AD134" s="208">
        <v>145</v>
      </c>
    </row>
    <row r="135" spans="5:30" x14ac:dyDescent="0.55000000000000004">
      <c r="E135" s="144" t="s">
        <v>273</v>
      </c>
      <c r="F135" s="150">
        <v>0</v>
      </c>
      <c r="G135" s="150">
        <v>0</v>
      </c>
      <c r="H135" s="150">
        <v>0</v>
      </c>
      <c r="I135" s="150">
        <v>0</v>
      </c>
      <c r="J135" s="150">
        <v>0</v>
      </c>
      <c r="K135" s="150">
        <v>0</v>
      </c>
      <c r="L135" s="150">
        <v>0</v>
      </c>
      <c r="M135" s="150">
        <v>0</v>
      </c>
      <c r="N135" s="150">
        <v>0</v>
      </c>
      <c r="O135" s="150">
        <v>0</v>
      </c>
      <c r="P135" s="150">
        <v>0</v>
      </c>
      <c r="Q135" s="150">
        <v>0</v>
      </c>
      <c r="R135" s="150">
        <v>0</v>
      </c>
      <c r="S135" s="150">
        <v>0</v>
      </c>
      <c r="T135" s="150">
        <v>0</v>
      </c>
      <c r="U135" s="150">
        <v>0</v>
      </c>
      <c r="V135" s="150">
        <v>0</v>
      </c>
      <c r="W135" s="150">
        <v>0</v>
      </c>
      <c r="X135" s="150">
        <v>0</v>
      </c>
      <c r="Y135" s="150">
        <v>0</v>
      </c>
      <c r="Z135" s="150">
        <v>0</v>
      </c>
      <c r="AA135" s="161"/>
      <c r="AB135" s="184"/>
      <c r="AC135" s="184"/>
      <c r="AD135" s="184"/>
    </row>
    <row r="136" spans="5:30" x14ac:dyDescent="0.55000000000000004">
      <c r="E136" s="144" t="s">
        <v>274</v>
      </c>
      <c r="F136" s="150">
        <v>473</v>
      </c>
      <c r="G136" s="150">
        <v>411</v>
      </c>
      <c r="H136" s="150">
        <v>571</v>
      </c>
      <c r="I136" s="150">
        <v>517</v>
      </c>
      <c r="J136" s="150">
        <v>366</v>
      </c>
      <c r="K136" s="150">
        <v>506</v>
      </c>
      <c r="L136" s="150">
        <v>1261</v>
      </c>
      <c r="M136" s="150">
        <v>1823</v>
      </c>
      <c r="N136" s="150">
        <v>2246</v>
      </c>
      <c r="O136" s="150">
        <v>3124</v>
      </c>
      <c r="P136" s="150">
        <v>3424</v>
      </c>
      <c r="Q136" s="150">
        <v>3424</v>
      </c>
      <c r="R136" s="150">
        <v>3424</v>
      </c>
      <c r="S136" s="150">
        <v>3424</v>
      </c>
      <c r="T136" s="150">
        <v>3424</v>
      </c>
      <c r="U136" s="150">
        <v>3424</v>
      </c>
      <c r="V136" s="150">
        <v>3424</v>
      </c>
      <c r="W136" s="150">
        <v>3424</v>
      </c>
      <c r="X136" s="150">
        <v>3424</v>
      </c>
      <c r="Y136" s="150">
        <v>3424</v>
      </c>
      <c r="Z136" s="150">
        <v>3424</v>
      </c>
      <c r="AA136" s="161"/>
      <c r="AB136" s="184"/>
      <c r="AC136" s="184"/>
      <c r="AD136" s="184"/>
    </row>
    <row r="137" spans="5:30" x14ac:dyDescent="0.55000000000000004">
      <c r="E137" s="155" t="s">
        <v>275</v>
      </c>
      <c r="F137" s="156">
        <v>4360</v>
      </c>
      <c r="G137" s="156">
        <v>3156</v>
      </c>
      <c r="H137" s="156">
        <v>4696</v>
      </c>
      <c r="I137" s="156">
        <v>5976</v>
      </c>
      <c r="J137" s="156">
        <v>6950</v>
      </c>
      <c r="K137" s="156">
        <v>8006</v>
      </c>
      <c r="L137" s="156">
        <v>8555</v>
      </c>
      <c r="M137" s="156">
        <v>10442</v>
      </c>
      <c r="N137" s="156">
        <v>12247</v>
      </c>
      <c r="O137" s="156">
        <v>12864</v>
      </c>
      <c r="P137" s="156">
        <v>13455</v>
      </c>
      <c r="Q137" s="156">
        <v>12940.836811606521</v>
      </c>
      <c r="R137" s="156">
        <v>13788.623836400644</v>
      </c>
      <c r="S137" s="156">
        <v>15882.171620322879</v>
      </c>
      <c r="T137" s="156">
        <v>17854.200550134727</v>
      </c>
      <c r="U137" s="156">
        <v>19856.121273454679</v>
      </c>
      <c r="V137" s="156">
        <v>22150.471262420524</v>
      </c>
      <c r="W137" s="156">
        <v>24612.844268134842</v>
      </c>
      <c r="X137" s="156">
        <v>27134.32684930124</v>
      </c>
      <c r="Y137" s="156">
        <v>29725.309153129929</v>
      </c>
      <c r="Z137" s="156">
        <v>32290.337368898741</v>
      </c>
      <c r="AA137" s="156"/>
      <c r="AB137" s="209"/>
      <c r="AC137" s="209"/>
      <c r="AD137" s="209"/>
    </row>
    <row r="138" spans="5:30" x14ac:dyDescent="0.55000000000000004">
      <c r="E138" s="144"/>
      <c r="F138" s="144"/>
      <c r="G138" s="144"/>
      <c r="H138" s="133"/>
      <c r="I138" s="133"/>
      <c r="J138" s="133"/>
      <c r="K138" s="133"/>
      <c r="L138" s="133"/>
      <c r="M138" s="133"/>
      <c r="N138" s="133"/>
      <c r="O138" s="133"/>
      <c r="P138" s="133"/>
      <c r="Q138" s="205" t="s">
        <v>184</v>
      </c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41"/>
      <c r="AC138" s="141"/>
      <c r="AD138" s="141"/>
    </row>
    <row r="139" spans="5:30" x14ac:dyDescent="0.55000000000000004">
      <c r="E139" s="144" t="s">
        <v>276</v>
      </c>
      <c r="F139" s="150">
        <v>1286</v>
      </c>
      <c r="G139" s="150">
        <v>1221</v>
      </c>
      <c r="H139" s="150">
        <v>1132</v>
      </c>
      <c r="I139" s="150">
        <v>1279</v>
      </c>
      <c r="J139" s="150">
        <v>1329</v>
      </c>
      <c r="K139" s="150">
        <v>1247</v>
      </c>
      <c r="L139" s="150">
        <v>1318</v>
      </c>
      <c r="M139" s="150">
        <v>1671</v>
      </c>
      <c r="N139" s="150">
        <v>2022</v>
      </c>
      <c r="O139" s="150">
        <v>2091</v>
      </c>
      <c r="P139" s="150">
        <v>1752</v>
      </c>
      <c r="Q139" s="161">
        <v>1752</v>
      </c>
      <c r="R139" s="161">
        <v>1657.9398628102979</v>
      </c>
      <c r="S139" s="161">
        <v>1537.5734062973663</v>
      </c>
      <c r="T139" s="161">
        <v>1537.5734062973665</v>
      </c>
      <c r="U139" s="161">
        <v>1385.8175863423035</v>
      </c>
      <c r="V139" s="161">
        <v>1220.6897093673003</v>
      </c>
      <c r="W139" s="161">
        <v>1041.8400690057356</v>
      </c>
      <c r="X139" s="161">
        <v>850.69243220015437</v>
      </c>
      <c r="Y139" s="161">
        <v>648.32384979592098</v>
      </c>
      <c r="Z139" s="161">
        <v>437.68912597293638</v>
      </c>
      <c r="AA139" s="161"/>
      <c r="AB139" s="184"/>
      <c r="AC139" s="184"/>
      <c r="AD139" s="184"/>
    </row>
    <row r="140" spans="5:30" x14ac:dyDescent="0.55000000000000004">
      <c r="E140" s="144" t="s">
        <v>277</v>
      </c>
      <c r="F140" s="150">
        <v>216</v>
      </c>
      <c r="G140" s="150">
        <v>215</v>
      </c>
      <c r="H140" s="150">
        <v>215</v>
      </c>
      <c r="I140" s="150">
        <v>252</v>
      </c>
      <c r="J140" s="150">
        <v>309</v>
      </c>
      <c r="K140" s="150">
        <v>304</v>
      </c>
      <c r="L140" s="150">
        <v>379</v>
      </c>
      <c r="M140" s="150">
        <v>59</v>
      </c>
      <c r="N140" s="150">
        <v>378</v>
      </c>
      <c r="O140" s="150">
        <v>1508</v>
      </c>
      <c r="P140" s="150">
        <v>1514</v>
      </c>
      <c r="Q140" s="161">
        <v>1514</v>
      </c>
      <c r="R140" s="161">
        <v>1514</v>
      </c>
      <c r="S140" s="161">
        <v>1514</v>
      </c>
      <c r="T140" s="161">
        <v>1514</v>
      </c>
      <c r="U140" s="161">
        <v>1514</v>
      </c>
      <c r="V140" s="161">
        <v>1514</v>
      </c>
      <c r="W140" s="161">
        <v>1514</v>
      </c>
      <c r="X140" s="161">
        <v>1514</v>
      </c>
      <c r="Y140" s="161">
        <v>1514</v>
      </c>
      <c r="Z140" s="161">
        <v>1514</v>
      </c>
      <c r="AA140" s="161"/>
      <c r="AB140" s="184"/>
      <c r="AC140" s="184"/>
      <c r="AD140" s="184"/>
    </row>
    <row r="141" spans="5:30" x14ac:dyDescent="0.55000000000000004">
      <c r="E141" s="144" t="s">
        <v>278</v>
      </c>
      <c r="F141" s="150">
        <v>800</v>
      </c>
      <c r="G141" s="150">
        <v>526</v>
      </c>
      <c r="H141" s="150">
        <v>443</v>
      </c>
      <c r="I141" s="150">
        <v>435</v>
      </c>
      <c r="J141" s="150">
        <v>519</v>
      </c>
      <c r="K141" s="150">
        <v>597</v>
      </c>
      <c r="L141" s="150">
        <v>717</v>
      </c>
      <c r="M141" s="150">
        <v>1149</v>
      </c>
      <c r="N141" s="150">
        <v>2510</v>
      </c>
      <c r="O141" s="150">
        <v>1622</v>
      </c>
      <c r="P141" s="150">
        <v>1551</v>
      </c>
      <c r="Q141" s="161">
        <v>1626</v>
      </c>
      <c r="R141" s="161">
        <v>1651</v>
      </c>
      <c r="S141" s="161">
        <v>1526</v>
      </c>
      <c r="T141" s="161">
        <v>1401</v>
      </c>
      <c r="U141" s="161">
        <v>1176</v>
      </c>
      <c r="V141" s="161">
        <v>951</v>
      </c>
      <c r="W141" s="161">
        <v>726</v>
      </c>
      <c r="X141" s="161">
        <v>501</v>
      </c>
      <c r="Y141" s="161">
        <v>276</v>
      </c>
      <c r="Z141" s="161">
        <v>51</v>
      </c>
      <c r="AA141" s="210" t="s">
        <v>184</v>
      </c>
      <c r="AB141" s="184"/>
      <c r="AC141" s="184"/>
      <c r="AD141" s="184"/>
    </row>
    <row r="142" spans="5:30" x14ac:dyDescent="0.55000000000000004">
      <c r="E142" s="144" t="s">
        <v>279</v>
      </c>
      <c r="F142" s="150">
        <v>146</v>
      </c>
      <c r="G142" s="150">
        <v>155</v>
      </c>
      <c r="H142" s="150">
        <v>170</v>
      </c>
      <c r="I142" s="150">
        <v>149</v>
      </c>
      <c r="J142" s="150">
        <v>208</v>
      </c>
      <c r="K142" s="150">
        <v>218</v>
      </c>
      <c r="L142" s="150">
        <v>281</v>
      </c>
      <c r="M142" s="150">
        <v>324</v>
      </c>
      <c r="N142" s="150">
        <v>335</v>
      </c>
      <c r="O142" s="150">
        <v>374</v>
      </c>
      <c r="P142" s="150">
        <v>497</v>
      </c>
      <c r="Q142" s="150">
        <v>497</v>
      </c>
      <c r="R142" s="150">
        <v>497</v>
      </c>
      <c r="S142" s="150">
        <v>497</v>
      </c>
      <c r="T142" s="150">
        <v>497</v>
      </c>
      <c r="U142" s="150">
        <v>497</v>
      </c>
      <c r="V142" s="150">
        <v>497</v>
      </c>
      <c r="W142" s="150">
        <v>497</v>
      </c>
      <c r="X142" s="150">
        <v>497</v>
      </c>
      <c r="Y142" s="150">
        <v>497</v>
      </c>
      <c r="Z142" s="150">
        <v>497</v>
      </c>
      <c r="AA142" s="161"/>
      <c r="AB142" s="184"/>
      <c r="AC142" s="184"/>
      <c r="AD142" s="184"/>
    </row>
    <row r="143" spans="5:30" x14ac:dyDescent="0.55000000000000004">
      <c r="E143" s="144" t="s">
        <v>280</v>
      </c>
      <c r="F143" s="150">
        <v>33</v>
      </c>
      <c r="G143" s="150">
        <v>35</v>
      </c>
      <c r="H143" s="150">
        <v>224</v>
      </c>
      <c r="I143" s="150">
        <v>264</v>
      </c>
      <c r="J143" s="150">
        <v>256</v>
      </c>
      <c r="K143" s="150">
        <v>222</v>
      </c>
      <c r="L143" s="150">
        <v>312</v>
      </c>
      <c r="M143" s="150">
        <v>254</v>
      </c>
      <c r="N143" s="150">
        <v>298</v>
      </c>
      <c r="O143" s="150">
        <v>843</v>
      </c>
      <c r="P143" s="150">
        <v>865</v>
      </c>
      <c r="Q143" s="150">
        <v>865</v>
      </c>
      <c r="R143" s="150">
        <v>865</v>
      </c>
      <c r="S143" s="150">
        <v>865</v>
      </c>
      <c r="T143" s="150">
        <v>865</v>
      </c>
      <c r="U143" s="150">
        <v>865</v>
      </c>
      <c r="V143" s="150">
        <v>865</v>
      </c>
      <c r="W143" s="150">
        <v>865</v>
      </c>
      <c r="X143" s="150">
        <v>865</v>
      </c>
      <c r="Y143" s="150">
        <v>865</v>
      </c>
      <c r="Z143" s="150">
        <v>865</v>
      </c>
      <c r="AA143" s="161"/>
      <c r="AB143" s="184"/>
      <c r="AC143" s="184"/>
      <c r="AD143" s="184"/>
    </row>
    <row r="144" spans="5:30" x14ac:dyDescent="0.55000000000000004">
      <c r="E144" s="144" t="s">
        <v>281</v>
      </c>
      <c r="F144" s="150">
        <v>131</v>
      </c>
      <c r="G144" s="150">
        <v>332</v>
      </c>
      <c r="H144" s="150">
        <v>117</v>
      </c>
      <c r="I144" s="150">
        <v>232</v>
      </c>
      <c r="J144" s="150">
        <v>360</v>
      </c>
      <c r="K144" s="150">
        <v>277</v>
      </c>
      <c r="L144" s="150">
        <v>337</v>
      </c>
      <c r="M144" s="150">
        <v>432</v>
      </c>
      <c r="N144" s="150">
        <v>370</v>
      </c>
      <c r="O144" s="150">
        <v>410</v>
      </c>
      <c r="P144" s="150">
        <v>456</v>
      </c>
      <c r="Q144" s="161">
        <v>456</v>
      </c>
      <c r="R144" s="161">
        <v>456</v>
      </c>
      <c r="S144" s="161">
        <v>456</v>
      </c>
      <c r="T144" s="161">
        <v>456</v>
      </c>
      <c r="U144" s="161">
        <v>456</v>
      </c>
      <c r="V144" s="161">
        <v>456</v>
      </c>
      <c r="W144" s="161">
        <v>456</v>
      </c>
      <c r="X144" s="161">
        <v>456</v>
      </c>
      <c r="Y144" s="161">
        <v>456</v>
      </c>
      <c r="Z144" s="161">
        <v>456</v>
      </c>
      <c r="AA144" s="161"/>
      <c r="AB144" s="184"/>
      <c r="AC144" s="184"/>
      <c r="AD144" s="184"/>
    </row>
    <row r="145" spans="5:30" x14ac:dyDescent="0.55000000000000004">
      <c r="E145" s="155" t="s">
        <v>282</v>
      </c>
      <c r="F145" s="156">
        <v>6972</v>
      </c>
      <c r="G145" s="156">
        <v>5640</v>
      </c>
      <c r="H145" s="156">
        <v>6997</v>
      </c>
      <c r="I145" s="156">
        <v>8587</v>
      </c>
      <c r="J145" s="156">
        <v>9931</v>
      </c>
      <c r="K145" s="156">
        <v>10871</v>
      </c>
      <c r="L145" s="156">
        <v>11899</v>
      </c>
      <c r="M145" s="156">
        <v>14331</v>
      </c>
      <c r="N145" s="156">
        <v>18160</v>
      </c>
      <c r="O145" s="156">
        <v>19712</v>
      </c>
      <c r="P145" s="156">
        <v>20090</v>
      </c>
      <c r="Q145" s="156">
        <v>19650.836811606521</v>
      </c>
      <c r="R145" s="156">
        <v>20429.563699210943</v>
      </c>
      <c r="S145" s="156">
        <v>22277.745026620243</v>
      </c>
      <c r="T145" s="156">
        <v>24124.773956432095</v>
      </c>
      <c r="U145" s="156">
        <v>25749.938859796981</v>
      </c>
      <c r="V145" s="156">
        <v>27654.160971787824</v>
      </c>
      <c r="W145" s="156">
        <v>29712.684337140578</v>
      </c>
      <c r="X145" s="156">
        <v>31818.019281501394</v>
      </c>
      <c r="Y145" s="156">
        <v>33981.633002925853</v>
      </c>
      <c r="Z145" s="156">
        <v>36111.026494871679</v>
      </c>
      <c r="AA145" s="156"/>
      <c r="AB145" s="209"/>
      <c r="AC145" s="209"/>
      <c r="AD145" s="209"/>
    </row>
    <row r="146" spans="5:30" x14ac:dyDescent="0.55000000000000004">
      <c r="E146" s="144"/>
      <c r="F146" s="144"/>
      <c r="G146" s="144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41"/>
      <c r="AC146" s="141"/>
      <c r="AD146" s="141"/>
    </row>
    <row r="147" spans="5:30" x14ac:dyDescent="0.55000000000000004">
      <c r="E147" s="144" t="s">
        <v>283</v>
      </c>
      <c r="F147" s="150">
        <v>1008</v>
      </c>
      <c r="G147" s="150">
        <v>832</v>
      </c>
      <c r="H147" s="150">
        <v>945</v>
      </c>
      <c r="I147" s="150">
        <v>1760</v>
      </c>
      <c r="J147" s="150">
        <v>1666</v>
      </c>
      <c r="K147" s="150">
        <v>2660</v>
      </c>
      <c r="L147" s="150">
        <v>2417</v>
      </c>
      <c r="M147" s="150">
        <v>3119</v>
      </c>
      <c r="N147" s="150">
        <v>3608</v>
      </c>
      <c r="O147" s="150">
        <v>4286</v>
      </c>
      <c r="P147" s="150">
        <v>4089</v>
      </c>
      <c r="Q147" s="161">
        <v>4176.1237466777256</v>
      </c>
      <c r="R147" s="161">
        <v>4741.8698993436683</v>
      </c>
      <c r="S147" s="161">
        <v>5964.6572761092339</v>
      </c>
      <c r="T147" s="161">
        <v>6876.1236217290971</v>
      </c>
      <c r="U147" s="161">
        <v>7392.1357159574845</v>
      </c>
      <c r="V147" s="161">
        <v>8000.9335418548981</v>
      </c>
      <c r="W147" s="161">
        <v>8663.2350349479257</v>
      </c>
      <c r="X147" s="161">
        <v>9253.6513449448048</v>
      </c>
      <c r="Y147" s="161">
        <v>9790.4264819140735</v>
      </c>
      <c r="Z147" s="161">
        <v>10165.252406693333</v>
      </c>
      <c r="AA147" s="161"/>
      <c r="AB147" s="184"/>
      <c r="AC147" s="184"/>
      <c r="AD147" s="184"/>
    </row>
    <row r="148" spans="5:30" x14ac:dyDescent="0.55000000000000004">
      <c r="E148" s="149" t="s">
        <v>284</v>
      </c>
      <c r="F148" s="206">
        <v>59.132111861137894</v>
      </c>
      <c r="G148" s="206">
        <v>60.146563675975443</v>
      </c>
      <c r="H148" s="206">
        <v>61.703935599284435</v>
      </c>
      <c r="I148" s="206">
        <v>94.679439941046425</v>
      </c>
      <c r="J148" s="206">
        <v>76.63390044108381</v>
      </c>
      <c r="K148" s="206">
        <v>124.6501476441135</v>
      </c>
      <c r="L148" s="206">
        <v>106.31537719932514</v>
      </c>
      <c r="M148" s="206">
        <v>112.30492256091547</v>
      </c>
      <c r="N148" s="206">
        <v>101.23145514643707</v>
      </c>
      <c r="O148" s="206">
        <v>115.13873555604621</v>
      </c>
      <c r="P148" s="206">
        <v>106.61368669190657</v>
      </c>
      <c r="Q148" s="207">
        <v>106.61368669190657</v>
      </c>
      <c r="R148" s="207">
        <v>105</v>
      </c>
      <c r="S148" s="207">
        <v>105</v>
      </c>
      <c r="T148" s="207">
        <v>105</v>
      </c>
      <c r="U148" s="207">
        <v>105</v>
      </c>
      <c r="V148" s="207">
        <v>105</v>
      </c>
      <c r="W148" s="207">
        <v>105</v>
      </c>
      <c r="X148" s="207">
        <v>105</v>
      </c>
      <c r="Y148" s="207">
        <v>105</v>
      </c>
      <c r="Z148" s="207">
        <v>105</v>
      </c>
      <c r="AA148" s="206"/>
      <c r="AB148" s="208">
        <v>107.66129246479663</v>
      </c>
      <c r="AC148" s="153"/>
      <c r="AD148" s="208">
        <v>105.3227373383813</v>
      </c>
    </row>
    <row r="149" spans="5:30" x14ac:dyDescent="0.55000000000000004">
      <c r="E149" s="144" t="s">
        <v>285</v>
      </c>
      <c r="F149" s="150">
        <v>293</v>
      </c>
      <c r="G149" s="150">
        <v>4</v>
      </c>
      <c r="H149" s="150">
        <v>604</v>
      </c>
      <c r="I149" s="150">
        <v>0</v>
      </c>
      <c r="J149" s="150">
        <v>0</v>
      </c>
      <c r="K149" s="150">
        <v>0</v>
      </c>
      <c r="L149" s="150">
        <v>0</v>
      </c>
      <c r="M149" s="150">
        <v>159</v>
      </c>
      <c r="N149" s="150">
        <v>487</v>
      </c>
      <c r="O149" s="150">
        <v>704</v>
      </c>
      <c r="P149" s="150">
        <v>248</v>
      </c>
      <c r="Q149" s="150">
        <v>248</v>
      </c>
      <c r="R149" s="150">
        <v>248</v>
      </c>
      <c r="S149" s="150">
        <v>248</v>
      </c>
      <c r="T149" s="150">
        <v>248</v>
      </c>
      <c r="U149" s="150">
        <v>248</v>
      </c>
      <c r="V149" s="150">
        <v>248</v>
      </c>
      <c r="W149" s="150">
        <v>248</v>
      </c>
      <c r="X149" s="150">
        <v>248</v>
      </c>
      <c r="Y149" s="150">
        <v>248</v>
      </c>
      <c r="Z149" s="150">
        <v>248</v>
      </c>
      <c r="AA149" s="161"/>
      <c r="AB149" s="184"/>
      <c r="AC149" s="184"/>
      <c r="AD149" s="184"/>
    </row>
    <row r="150" spans="5:30" x14ac:dyDescent="0.55000000000000004">
      <c r="E150" s="144" t="s">
        <v>286</v>
      </c>
      <c r="F150" s="150">
        <v>33</v>
      </c>
      <c r="G150" s="150">
        <v>39</v>
      </c>
      <c r="H150" s="150">
        <v>41</v>
      </c>
      <c r="I150" s="150">
        <v>147</v>
      </c>
      <c r="J150" s="150">
        <v>191</v>
      </c>
      <c r="K150" s="150">
        <v>108</v>
      </c>
      <c r="L150" s="150">
        <v>112</v>
      </c>
      <c r="M150" s="150">
        <v>128</v>
      </c>
      <c r="N150" s="150">
        <v>86</v>
      </c>
      <c r="O150" s="150">
        <v>75</v>
      </c>
      <c r="P150" s="150">
        <v>58</v>
      </c>
      <c r="Q150" s="150">
        <v>58</v>
      </c>
      <c r="R150" s="150">
        <v>58</v>
      </c>
      <c r="S150" s="150">
        <v>58</v>
      </c>
      <c r="T150" s="150">
        <v>58</v>
      </c>
      <c r="U150" s="150">
        <v>58</v>
      </c>
      <c r="V150" s="150">
        <v>58</v>
      </c>
      <c r="W150" s="150">
        <v>58</v>
      </c>
      <c r="X150" s="150">
        <v>58</v>
      </c>
      <c r="Y150" s="150">
        <v>58</v>
      </c>
      <c r="Z150" s="150">
        <v>58</v>
      </c>
      <c r="AA150" s="161"/>
      <c r="AB150" s="184"/>
      <c r="AC150" s="184"/>
      <c r="AD150" s="184"/>
    </row>
    <row r="151" spans="5:30" x14ac:dyDescent="0.55000000000000004">
      <c r="E151" s="144" t="s">
        <v>287</v>
      </c>
      <c r="F151" s="150">
        <v>1968</v>
      </c>
      <c r="G151" s="150">
        <v>1780</v>
      </c>
      <c r="H151" s="150">
        <v>2399</v>
      </c>
      <c r="I151" s="150">
        <v>2589</v>
      </c>
      <c r="J151" s="150">
        <v>3532</v>
      </c>
      <c r="K151" s="150">
        <v>3565</v>
      </c>
      <c r="L151" s="150">
        <v>4693</v>
      </c>
      <c r="M151" s="150">
        <v>5479</v>
      </c>
      <c r="N151" s="150">
        <v>6309</v>
      </c>
      <c r="O151" s="150">
        <v>6866</v>
      </c>
      <c r="P151" s="150">
        <v>7881</v>
      </c>
      <c r="Q151" s="150">
        <v>7881</v>
      </c>
      <c r="R151" s="150">
        <v>7881</v>
      </c>
      <c r="S151" s="150">
        <v>7881</v>
      </c>
      <c r="T151" s="150">
        <v>7881</v>
      </c>
      <c r="U151" s="150">
        <v>7881</v>
      </c>
      <c r="V151" s="150">
        <v>7881</v>
      </c>
      <c r="W151" s="150">
        <v>7881</v>
      </c>
      <c r="X151" s="150">
        <v>7881</v>
      </c>
      <c r="Y151" s="150">
        <v>7881</v>
      </c>
      <c r="Z151" s="150">
        <v>7881</v>
      </c>
      <c r="AA151" s="161"/>
      <c r="AB151" s="184"/>
      <c r="AC151" s="184"/>
      <c r="AD151" s="184"/>
    </row>
    <row r="152" spans="5:30" x14ac:dyDescent="0.55000000000000004">
      <c r="E152" s="155" t="s">
        <v>288</v>
      </c>
      <c r="F152" s="156">
        <v>3302</v>
      </c>
      <c r="G152" s="156">
        <v>2655</v>
      </c>
      <c r="H152" s="156">
        <v>3989</v>
      </c>
      <c r="I152" s="156">
        <v>4496</v>
      </c>
      <c r="J152" s="156">
        <v>5389</v>
      </c>
      <c r="K152" s="156">
        <v>6333</v>
      </c>
      <c r="L152" s="156">
        <v>7222</v>
      </c>
      <c r="M152" s="156">
        <v>8885</v>
      </c>
      <c r="N152" s="156">
        <v>10490</v>
      </c>
      <c r="O152" s="156">
        <v>11931</v>
      </c>
      <c r="P152" s="156">
        <v>12276</v>
      </c>
      <c r="Q152" s="156">
        <v>12363.123746677726</v>
      </c>
      <c r="R152" s="156">
        <v>12928.869899343668</v>
      </c>
      <c r="S152" s="156">
        <v>14151.657276109234</v>
      </c>
      <c r="T152" s="156">
        <v>15063.123621729097</v>
      </c>
      <c r="U152" s="156">
        <v>15579.135715957484</v>
      </c>
      <c r="V152" s="156">
        <v>16187.933541854898</v>
      </c>
      <c r="W152" s="156">
        <v>16850.235034947924</v>
      </c>
      <c r="X152" s="156">
        <v>17440.651344944803</v>
      </c>
      <c r="Y152" s="156">
        <v>17977.426481914074</v>
      </c>
      <c r="Z152" s="156">
        <v>18352.252406693333</v>
      </c>
      <c r="AA152" s="156"/>
      <c r="AB152" s="209"/>
      <c r="AC152" s="209"/>
      <c r="AD152" s="209"/>
    </row>
    <row r="153" spans="5:30" x14ac:dyDescent="0.55000000000000004">
      <c r="E153" s="144"/>
      <c r="F153" s="144"/>
      <c r="G153" s="144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41"/>
      <c r="AC153" s="141"/>
      <c r="AD153" s="141"/>
    </row>
    <row r="154" spans="5:30" x14ac:dyDescent="0.55000000000000004">
      <c r="E154" s="144" t="s">
        <v>289</v>
      </c>
      <c r="F154" s="150">
        <v>1458</v>
      </c>
      <c r="G154" s="150">
        <v>604</v>
      </c>
      <c r="H154" s="150">
        <v>3</v>
      </c>
      <c r="I154" s="150">
        <v>495</v>
      </c>
      <c r="J154" s="150">
        <v>496</v>
      </c>
      <c r="K154" s="150">
        <v>497</v>
      </c>
      <c r="L154" s="150">
        <v>498</v>
      </c>
      <c r="M154" s="150">
        <v>661</v>
      </c>
      <c r="N154" s="150">
        <v>867</v>
      </c>
      <c r="O154" s="150">
        <v>732</v>
      </c>
      <c r="P154" s="150">
        <v>2179</v>
      </c>
      <c r="Q154" s="150">
        <v>2179</v>
      </c>
      <c r="R154" s="150">
        <v>2179</v>
      </c>
      <c r="S154" s="150">
        <v>2179</v>
      </c>
      <c r="T154" s="150">
        <v>2179</v>
      </c>
      <c r="U154" s="150">
        <v>2179</v>
      </c>
      <c r="V154" s="150">
        <v>2179</v>
      </c>
      <c r="W154" s="150">
        <v>2179</v>
      </c>
      <c r="X154" s="150">
        <v>2179</v>
      </c>
      <c r="Y154" s="150">
        <v>2179</v>
      </c>
      <c r="Z154" s="150">
        <v>2179</v>
      </c>
      <c r="AA154" s="161"/>
      <c r="AB154" s="184"/>
      <c r="AC154" s="184"/>
      <c r="AD154" s="184"/>
    </row>
    <row r="155" spans="5:30" x14ac:dyDescent="0.55000000000000004">
      <c r="E155" s="144" t="s">
        <v>290</v>
      </c>
      <c r="F155" s="150">
        <v>17</v>
      </c>
      <c r="G155" s="150">
        <v>21</v>
      </c>
      <c r="H155" s="150">
        <v>17</v>
      </c>
      <c r="I155" s="150">
        <v>20</v>
      </c>
      <c r="J155" s="150">
        <v>34</v>
      </c>
      <c r="K155" s="150">
        <v>61</v>
      </c>
      <c r="L155" s="150">
        <v>120</v>
      </c>
      <c r="M155" s="150">
        <v>147</v>
      </c>
      <c r="N155" s="150">
        <v>158</v>
      </c>
      <c r="O155" s="150">
        <v>362</v>
      </c>
      <c r="P155" s="150">
        <v>158</v>
      </c>
      <c r="Q155" s="150">
        <v>158</v>
      </c>
      <c r="R155" s="150">
        <v>158</v>
      </c>
      <c r="S155" s="150">
        <v>158</v>
      </c>
      <c r="T155" s="150">
        <v>158</v>
      </c>
      <c r="U155" s="150">
        <v>158</v>
      </c>
      <c r="V155" s="150">
        <v>158</v>
      </c>
      <c r="W155" s="150">
        <v>158</v>
      </c>
      <c r="X155" s="150">
        <v>158</v>
      </c>
      <c r="Y155" s="150">
        <v>158</v>
      </c>
      <c r="Z155" s="150">
        <v>158</v>
      </c>
      <c r="AA155" s="161"/>
      <c r="AB155" s="184"/>
      <c r="AC155" s="184"/>
      <c r="AD155" s="184"/>
    </row>
    <row r="156" spans="5:30" x14ac:dyDescent="0.55000000000000004">
      <c r="E156" s="144" t="s">
        <v>291</v>
      </c>
      <c r="F156" s="150">
        <v>0</v>
      </c>
      <c r="G156" s="150">
        <v>0</v>
      </c>
      <c r="H156" s="150">
        <v>0</v>
      </c>
      <c r="I156" s="150">
        <v>0</v>
      </c>
      <c r="J156" s="150">
        <v>0</v>
      </c>
      <c r="K156" s="150">
        <v>0</v>
      </c>
      <c r="L156" s="150">
        <v>0</v>
      </c>
      <c r="M156" s="150">
        <v>0</v>
      </c>
      <c r="N156" s="150">
        <v>0</v>
      </c>
      <c r="O156" s="150">
        <v>0</v>
      </c>
      <c r="P156" s="150">
        <v>0</v>
      </c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61"/>
      <c r="AB156" s="184"/>
      <c r="AC156" s="184"/>
      <c r="AD156" s="184"/>
    </row>
    <row r="157" spans="5:30" x14ac:dyDescent="0.55000000000000004">
      <c r="E157" s="144" t="s">
        <v>292</v>
      </c>
      <c r="F157" s="150">
        <v>573</v>
      </c>
      <c r="G157" s="150">
        <v>836</v>
      </c>
      <c r="H157" s="150">
        <v>609</v>
      </c>
      <c r="I157" s="150">
        <v>677</v>
      </c>
      <c r="J157" s="150">
        <v>822</v>
      </c>
      <c r="K157" s="150">
        <v>868</v>
      </c>
      <c r="L157" s="150">
        <v>955</v>
      </c>
      <c r="M157" s="150">
        <v>1293</v>
      </c>
      <c r="N157" s="150">
        <v>1942</v>
      </c>
      <c r="O157" s="150">
        <v>1926</v>
      </c>
      <c r="P157" s="150">
        <v>2417</v>
      </c>
      <c r="Q157" s="161">
        <v>2417</v>
      </c>
      <c r="R157" s="161">
        <v>2417</v>
      </c>
      <c r="S157" s="161">
        <v>2417</v>
      </c>
      <c r="T157" s="161">
        <v>2417</v>
      </c>
      <c r="U157" s="161">
        <v>2417</v>
      </c>
      <c r="V157" s="161">
        <v>2417</v>
      </c>
      <c r="W157" s="161">
        <v>2417</v>
      </c>
      <c r="X157" s="161">
        <v>2417</v>
      </c>
      <c r="Y157" s="161">
        <v>2417</v>
      </c>
      <c r="Z157" s="161">
        <v>2417</v>
      </c>
      <c r="AA157" s="161"/>
      <c r="AB157" s="184"/>
      <c r="AC157" s="184"/>
      <c r="AD157" s="184"/>
    </row>
    <row r="158" spans="5:30" x14ac:dyDescent="0.55000000000000004">
      <c r="E158" s="155" t="s">
        <v>293</v>
      </c>
      <c r="F158" s="156">
        <v>5350</v>
      </c>
      <c r="G158" s="156">
        <v>4116</v>
      </c>
      <c r="H158" s="156">
        <v>4618</v>
      </c>
      <c r="I158" s="156">
        <v>5688</v>
      </c>
      <c r="J158" s="156">
        <v>6741</v>
      </c>
      <c r="K158" s="156">
        <v>7759</v>
      </c>
      <c r="L158" s="156">
        <v>8795</v>
      </c>
      <c r="M158" s="156">
        <v>10986</v>
      </c>
      <c r="N158" s="156">
        <v>13457</v>
      </c>
      <c r="O158" s="156">
        <v>14951</v>
      </c>
      <c r="P158" s="156">
        <v>17030</v>
      </c>
      <c r="Q158" s="156">
        <v>17117.123746677724</v>
      </c>
      <c r="R158" s="156">
        <v>17682.86989934367</v>
      </c>
      <c r="S158" s="156">
        <v>18905.657276109232</v>
      </c>
      <c r="T158" s="156">
        <v>19817.123621729097</v>
      </c>
      <c r="U158" s="156">
        <v>20333.135715957484</v>
      </c>
      <c r="V158" s="156">
        <v>20941.933541854898</v>
      </c>
      <c r="W158" s="156">
        <v>21604.235034947924</v>
      </c>
      <c r="X158" s="156">
        <v>22194.651344944803</v>
      </c>
      <c r="Y158" s="156">
        <v>22731.426481914074</v>
      </c>
      <c r="Z158" s="156">
        <v>23106.252406693333</v>
      </c>
      <c r="AA158" s="156"/>
      <c r="AB158" s="209"/>
      <c r="AC158" s="209"/>
      <c r="AD158" s="209"/>
    </row>
    <row r="159" spans="5:30" x14ac:dyDescent="0.55000000000000004">
      <c r="E159" s="144"/>
      <c r="F159" s="144"/>
      <c r="G159" s="144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41"/>
      <c r="AC159" s="141"/>
      <c r="AD159" s="141"/>
    </row>
    <row r="160" spans="5:30" x14ac:dyDescent="0.55000000000000004">
      <c r="E160" s="144" t="s">
        <v>294</v>
      </c>
      <c r="F160" s="150">
        <v>0</v>
      </c>
      <c r="G160" s="150">
        <v>0</v>
      </c>
      <c r="H160" s="150">
        <v>0</v>
      </c>
      <c r="I160" s="150">
        <v>0</v>
      </c>
      <c r="J160" s="150">
        <v>0</v>
      </c>
      <c r="K160" s="150">
        <v>0</v>
      </c>
      <c r="L160" s="150">
        <v>0</v>
      </c>
      <c r="M160" s="150">
        <v>0</v>
      </c>
      <c r="N160" s="150">
        <v>0</v>
      </c>
      <c r="O160" s="150">
        <v>0</v>
      </c>
      <c r="P160" s="150">
        <v>0</v>
      </c>
      <c r="Q160" s="150">
        <v>0</v>
      </c>
      <c r="R160" s="150">
        <v>0</v>
      </c>
      <c r="S160" s="150">
        <v>0</v>
      </c>
      <c r="T160" s="150">
        <v>0</v>
      </c>
      <c r="U160" s="150">
        <v>0</v>
      </c>
      <c r="V160" s="150">
        <v>0</v>
      </c>
      <c r="W160" s="150">
        <v>0</v>
      </c>
      <c r="X160" s="150">
        <v>0</v>
      </c>
      <c r="Y160" s="150">
        <v>0</v>
      </c>
      <c r="Z160" s="150">
        <v>0</v>
      </c>
      <c r="AA160" s="161"/>
      <c r="AB160" s="184"/>
      <c r="AC160" s="184"/>
      <c r="AD160" s="184"/>
    </row>
    <row r="161" spans="1:30" x14ac:dyDescent="0.55000000000000004">
      <c r="A161" s="161"/>
      <c r="B161" s="161"/>
      <c r="C161" s="161"/>
      <c r="D161" s="161"/>
      <c r="E161" s="144" t="s">
        <v>295</v>
      </c>
      <c r="F161" s="150">
        <v>27</v>
      </c>
      <c r="G161" s="150">
        <v>27</v>
      </c>
      <c r="H161" s="150">
        <v>30</v>
      </c>
      <c r="I161" s="150">
        <v>30</v>
      </c>
      <c r="J161" s="150">
        <v>30</v>
      </c>
      <c r="K161" s="150">
        <v>29</v>
      </c>
      <c r="L161" s="150">
        <v>28</v>
      </c>
      <c r="M161" s="150">
        <v>27</v>
      </c>
      <c r="N161" s="150">
        <v>27</v>
      </c>
      <c r="O161" s="150">
        <v>27</v>
      </c>
      <c r="P161" s="150">
        <v>27</v>
      </c>
      <c r="Q161" s="161">
        <v>27</v>
      </c>
      <c r="R161" s="161">
        <v>27</v>
      </c>
      <c r="S161" s="161">
        <v>27</v>
      </c>
      <c r="T161" s="161">
        <v>27</v>
      </c>
      <c r="U161" s="161">
        <v>27</v>
      </c>
      <c r="V161" s="161">
        <v>27</v>
      </c>
      <c r="W161" s="161">
        <v>27</v>
      </c>
      <c r="X161" s="161">
        <v>27</v>
      </c>
      <c r="Y161" s="161">
        <v>27</v>
      </c>
      <c r="Z161" s="161">
        <v>27</v>
      </c>
      <c r="AA161" s="161"/>
      <c r="AB161" s="184"/>
      <c r="AC161" s="184"/>
      <c r="AD161" s="184"/>
    </row>
    <row r="162" spans="1:30" x14ac:dyDescent="0.55000000000000004">
      <c r="A162" s="161"/>
      <c r="B162" s="161"/>
      <c r="C162" s="161"/>
      <c r="D162" s="161"/>
      <c r="E162" s="144" t="s">
        <v>296</v>
      </c>
      <c r="F162" s="150">
        <v>0</v>
      </c>
      <c r="G162" s="150">
        <v>0</v>
      </c>
      <c r="H162" s="150">
        <v>439</v>
      </c>
      <c r="I162" s="150">
        <v>0</v>
      </c>
      <c r="J162" s="150">
        <v>0</v>
      </c>
      <c r="K162" s="150">
        <v>0</v>
      </c>
      <c r="L162" s="150">
        <v>0</v>
      </c>
      <c r="M162" s="150">
        <v>0</v>
      </c>
      <c r="N162" s="150">
        <v>0</v>
      </c>
      <c r="O162" s="150">
        <v>0</v>
      </c>
      <c r="P162" s="150">
        <v>0</v>
      </c>
      <c r="Q162" s="161">
        <v>0</v>
      </c>
      <c r="R162" s="161">
        <v>0</v>
      </c>
      <c r="S162" s="161">
        <v>0</v>
      </c>
      <c r="T162" s="161">
        <v>0</v>
      </c>
      <c r="U162" s="161">
        <v>0</v>
      </c>
      <c r="V162" s="161">
        <v>0</v>
      </c>
      <c r="W162" s="161">
        <v>0</v>
      </c>
      <c r="X162" s="161">
        <v>0</v>
      </c>
      <c r="Y162" s="161">
        <v>0</v>
      </c>
      <c r="Z162" s="161">
        <v>0</v>
      </c>
      <c r="AA162" s="161"/>
      <c r="AB162" s="184"/>
      <c r="AC162" s="184"/>
      <c r="AD162" s="184"/>
    </row>
    <row r="163" spans="1:30" x14ac:dyDescent="0.55000000000000004">
      <c r="A163" s="161"/>
      <c r="B163" s="161"/>
      <c r="C163" s="161"/>
      <c r="D163" s="161"/>
      <c r="E163" s="144" t="s">
        <v>297</v>
      </c>
      <c r="F163" s="150">
        <v>1590</v>
      </c>
      <c r="G163" s="150">
        <v>1507</v>
      </c>
      <c r="H163" s="150">
        <v>1851</v>
      </c>
      <c r="I163" s="150">
        <v>2731</v>
      </c>
      <c r="J163" s="150">
        <v>3099</v>
      </c>
      <c r="K163" s="150">
        <v>3046</v>
      </c>
      <c r="L163" s="150">
        <v>3042</v>
      </c>
      <c r="M163" s="150">
        <v>3333</v>
      </c>
      <c r="N163" s="150">
        <v>4773</v>
      </c>
      <c r="O163" s="150">
        <v>4699</v>
      </c>
      <c r="P163" s="150">
        <v>3002</v>
      </c>
      <c r="Q163" s="161">
        <v>2475.7130649287969</v>
      </c>
      <c r="R163" s="161">
        <v>2688.6937998672684</v>
      </c>
      <c r="S163" s="161">
        <v>3314.0877505110147</v>
      </c>
      <c r="T163" s="161">
        <v>4249.6503347029975</v>
      </c>
      <c r="U163" s="161">
        <v>5358.8031438394974</v>
      </c>
      <c r="V163" s="161">
        <v>6654.2274299329256</v>
      </c>
      <c r="W163" s="161">
        <v>8050.4493021926546</v>
      </c>
      <c r="X163" s="161">
        <v>9565.3679365565913</v>
      </c>
      <c r="Y163" s="161">
        <v>11192.206521011776</v>
      </c>
      <c r="Z163" s="161">
        <v>12946.77408817835</v>
      </c>
      <c r="AA163" s="161"/>
      <c r="AB163" s="184"/>
      <c r="AC163" s="184"/>
      <c r="AD163" s="184"/>
    </row>
    <row r="164" spans="1:30" x14ac:dyDescent="0.55000000000000004">
      <c r="A164" s="161"/>
      <c r="B164" s="161"/>
      <c r="C164" s="161"/>
      <c r="D164" s="161"/>
      <c r="E164" s="160" t="s">
        <v>298</v>
      </c>
      <c r="F164" s="150">
        <v>0</v>
      </c>
      <c r="G164" s="150">
        <v>0</v>
      </c>
      <c r="H164" s="150">
        <v>0</v>
      </c>
      <c r="I164" s="150">
        <v>0</v>
      </c>
      <c r="J164" s="150">
        <v>0</v>
      </c>
      <c r="K164" s="150">
        <v>0</v>
      </c>
      <c r="L164" s="150">
        <v>0</v>
      </c>
      <c r="M164" s="150">
        <v>0</v>
      </c>
      <c r="N164" s="150">
        <v>0</v>
      </c>
      <c r="O164" s="150">
        <v>0</v>
      </c>
      <c r="P164" s="150">
        <v>0</v>
      </c>
      <c r="Q164" s="161">
        <v>0</v>
      </c>
      <c r="R164" s="161">
        <v>0</v>
      </c>
      <c r="S164" s="161">
        <v>0</v>
      </c>
      <c r="T164" s="161">
        <v>0</v>
      </c>
      <c r="U164" s="161">
        <v>0</v>
      </c>
      <c r="V164" s="161">
        <v>0</v>
      </c>
      <c r="W164" s="161">
        <v>0</v>
      </c>
      <c r="X164" s="161">
        <v>0</v>
      </c>
      <c r="Y164" s="161">
        <v>0</v>
      </c>
      <c r="Z164" s="161">
        <v>0</v>
      </c>
      <c r="AA164" s="161"/>
      <c r="AB164" s="184"/>
      <c r="AC164" s="184"/>
      <c r="AD164" s="184"/>
    </row>
    <row r="165" spans="1:30" x14ac:dyDescent="0.55000000000000004">
      <c r="A165" s="161"/>
      <c r="B165" s="161"/>
      <c r="C165" s="161"/>
      <c r="D165" s="161"/>
      <c r="E165" s="144" t="s">
        <v>299</v>
      </c>
      <c r="F165" s="150">
        <v>5</v>
      </c>
      <c r="G165" s="150">
        <v>-10</v>
      </c>
      <c r="H165" s="150">
        <v>59</v>
      </c>
      <c r="I165" s="150">
        <v>138</v>
      </c>
      <c r="J165" s="150">
        <v>61</v>
      </c>
      <c r="K165" s="150">
        <v>37</v>
      </c>
      <c r="L165" s="150">
        <v>22</v>
      </c>
      <c r="M165" s="150">
        <v>-67</v>
      </c>
      <c r="N165" s="150">
        <v>-146</v>
      </c>
      <c r="O165" s="150">
        <v>22</v>
      </c>
      <c r="P165" s="150">
        <v>15</v>
      </c>
      <c r="Q165" s="150">
        <v>15</v>
      </c>
      <c r="R165" s="150">
        <v>15</v>
      </c>
      <c r="S165" s="150">
        <v>15</v>
      </c>
      <c r="T165" s="150">
        <v>15</v>
      </c>
      <c r="U165" s="150">
        <v>15</v>
      </c>
      <c r="V165" s="150">
        <v>15</v>
      </c>
      <c r="W165" s="150">
        <v>15</v>
      </c>
      <c r="X165" s="150">
        <v>15</v>
      </c>
      <c r="Y165" s="150">
        <v>15</v>
      </c>
      <c r="Z165" s="150">
        <v>15</v>
      </c>
      <c r="AA165" s="161"/>
      <c r="AB165" s="184"/>
      <c r="AC165" s="184"/>
      <c r="AD165" s="184"/>
    </row>
    <row r="166" spans="1:30" x14ac:dyDescent="0.55000000000000004">
      <c r="A166" s="156"/>
      <c r="B166" s="156"/>
      <c r="C166" s="156"/>
      <c r="D166" s="156"/>
      <c r="E166" s="155" t="s">
        <v>300</v>
      </c>
      <c r="F166" s="156">
        <v>1622</v>
      </c>
      <c r="G166" s="156">
        <v>1524</v>
      </c>
      <c r="H166" s="156">
        <v>2379</v>
      </c>
      <c r="I166" s="156">
        <v>2899</v>
      </c>
      <c r="J166" s="156">
        <v>3190</v>
      </c>
      <c r="K166" s="156">
        <v>3112</v>
      </c>
      <c r="L166" s="156">
        <v>3092</v>
      </c>
      <c r="M166" s="156">
        <v>3293</v>
      </c>
      <c r="N166" s="156">
        <v>4654</v>
      </c>
      <c r="O166" s="156">
        <v>4748</v>
      </c>
      <c r="P166" s="156">
        <v>3044</v>
      </c>
      <c r="Q166" s="156">
        <v>2517.7130649287969</v>
      </c>
      <c r="R166" s="156">
        <v>2730.6937998672684</v>
      </c>
      <c r="S166" s="156">
        <v>3356.0877505110147</v>
      </c>
      <c r="T166" s="156">
        <v>4291.6503347029975</v>
      </c>
      <c r="U166" s="156">
        <v>5400.8031438394974</v>
      </c>
      <c r="V166" s="156">
        <v>6696.2274299329256</v>
      </c>
      <c r="W166" s="156">
        <v>8092.4493021926546</v>
      </c>
      <c r="X166" s="156">
        <v>9607.3679365565913</v>
      </c>
      <c r="Y166" s="156">
        <v>11234.206521011776</v>
      </c>
      <c r="Z166" s="156">
        <v>12988.77408817835</v>
      </c>
      <c r="AA166" s="156"/>
      <c r="AB166" s="209"/>
      <c r="AC166" s="209"/>
      <c r="AD166" s="209"/>
    </row>
    <row r="167" spans="1:30" x14ac:dyDescent="0.55000000000000004">
      <c r="A167" s="161"/>
      <c r="B167" s="161"/>
      <c r="C167" s="161"/>
      <c r="D167" s="161"/>
      <c r="E167" s="144" t="s">
        <v>301</v>
      </c>
      <c r="F167" s="150">
        <v>0</v>
      </c>
      <c r="G167" s="150">
        <v>0</v>
      </c>
      <c r="H167" s="150">
        <v>0</v>
      </c>
      <c r="I167" s="150">
        <v>0</v>
      </c>
      <c r="J167" s="150">
        <v>0</v>
      </c>
      <c r="K167" s="150">
        <v>0</v>
      </c>
      <c r="L167" s="150">
        <v>0</v>
      </c>
      <c r="M167" s="150">
        <v>52</v>
      </c>
      <c r="N167" s="150">
        <v>49</v>
      </c>
      <c r="O167" s="150">
        <v>13</v>
      </c>
      <c r="P167" s="150">
        <v>16</v>
      </c>
      <c r="Q167" s="150">
        <v>16</v>
      </c>
      <c r="R167" s="150">
        <v>16</v>
      </c>
      <c r="S167" s="150">
        <v>16</v>
      </c>
      <c r="T167" s="150">
        <v>16</v>
      </c>
      <c r="U167" s="150">
        <v>16</v>
      </c>
      <c r="V167" s="150">
        <v>16</v>
      </c>
      <c r="W167" s="150">
        <v>16</v>
      </c>
      <c r="X167" s="150">
        <v>16</v>
      </c>
      <c r="Y167" s="150">
        <v>16</v>
      </c>
      <c r="Z167" s="150">
        <v>16</v>
      </c>
      <c r="AA167" s="161"/>
      <c r="AB167" s="184"/>
      <c r="AC167" s="184"/>
      <c r="AD167" s="184"/>
    </row>
    <row r="168" spans="1:30" x14ac:dyDescent="0.55000000000000004">
      <c r="A168" s="155"/>
      <c r="B168" s="155"/>
      <c r="C168" s="155"/>
      <c r="D168" s="155"/>
      <c r="E168" s="155" t="s">
        <v>302</v>
      </c>
      <c r="F168" s="156">
        <v>1622</v>
      </c>
      <c r="G168" s="156">
        <v>1524</v>
      </c>
      <c r="H168" s="156">
        <v>2379</v>
      </c>
      <c r="I168" s="156">
        <v>2899</v>
      </c>
      <c r="J168" s="156">
        <v>3190</v>
      </c>
      <c r="K168" s="156">
        <v>3112</v>
      </c>
      <c r="L168" s="156">
        <v>3092</v>
      </c>
      <c r="M168" s="156">
        <v>3345</v>
      </c>
      <c r="N168" s="156">
        <v>4703</v>
      </c>
      <c r="O168" s="156">
        <v>4761</v>
      </c>
      <c r="P168" s="156">
        <v>3060</v>
      </c>
      <c r="Q168" s="156">
        <v>2533.7130649287969</v>
      </c>
      <c r="R168" s="156">
        <v>2746.6937998672684</v>
      </c>
      <c r="S168" s="156">
        <v>3372.0877505110147</v>
      </c>
      <c r="T168" s="156">
        <v>4307.6503347029975</v>
      </c>
      <c r="U168" s="156">
        <v>5416.8031438394974</v>
      </c>
      <c r="V168" s="156">
        <v>6712.2274299329256</v>
      </c>
      <c r="W168" s="156">
        <v>8108.4493021926546</v>
      </c>
      <c r="X168" s="156">
        <v>9623.3679365565913</v>
      </c>
      <c r="Y168" s="156">
        <v>11250.206521011776</v>
      </c>
      <c r="Z168" s="156">
        <v>13004.77408817835</v>
      </c>
      <c r="AA168" s="155"/>
      <c r="AB168" s="157"/>
      <c r="AC168" s="157"/>
      <c r="AD168" s="157"/>
    </row>
    <row r="169" spans="1:30" x14ac:dyDescent="0.55000000000000004">
      <c r="A169" s="133"/>
      <c r="B169" s="133"/>
      <c r="C169" s="133"/>
      <c r="D169" s="133"/>
      <c r="E169" s="144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41"/>
      <c r="AC169" s="141"/>
      <c r="AD169" s="141"/>
    </row>
    <row r="170" spans="1:30" x14ac:dyDescent="0.55000000000000004">
      <c r="A170" s="161"/>
      <c r="B170" s="161"/>
      <c r="C170" s="161"/>
      <c r="D170" s="161"/>
      <c r="E170" s="144" t="s">
        <v>303</v>
      </c>
      <c r="F170" s="161">
        <v>0</v>
      </c>
      <c r="G170" s="161">
        <v>0</v>
      </c>
      <c r="H170" s="161">
        <v>0</v>
      </c>
      <c r="I170" s="161">
        <v>0</v>
      </c>
      <c r="J170" s="161">
        <v>0</v>
      </c>
      <c r="K170" s="161">
        <v>0</v>
      </c>
      <c r="L170" s="161">
        <v>12</v>
      </c>
      <c r="M170" s="161">
        <v>0</v>
      </c>
      <c r="N170" s="161">
        <v>0</v>
      </c>
      <c r="O170" s="161">
        <v>0</v>
      </c>
      <c r="P170" s="161">
        <v>0</v>
      </c>
      <c r="Q170" s="161">
        <v>0</v>
      </c>
      <c r="R170" s="161">
        <v>4.5474735088646412E-12</v>
      </c>
      <c r="S170" s="161">
        <v>-3.637978807091713E-12</v>
      </c>
      <c r="T170" s="161">
        <v>0</v>
      </c>
      <c r="U170" s="161">
        <v>0</v>
      </c>
      <c r="V170" s="161">
        <v>0</v>
      </c>
      <c r="W170" s="161">
        <v>0</v>
      </c>
      <c r="X170" s="161">
        <v>0</v>
      </c>
      <c r="Y170" s="161">
        <v>0</v>
      </c>
      <c r="Z170" s="161">
        <v>0</v>
      </c>
      <c r="AA170" s="161"/>
      <c r="AB170" s="184"/>
      <c r="AC170" s="184"/>
      <c r="AD170" s="184"/>
    </row>
    <row r="171" spans="1:30" x14ac:dyDescent="0.55000000000000004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41"/>
      <c r="AC171" s="141"/>
      <c r="AD171" s="141"/>
    </row>
    <row r="172" spans="1:30" x14ac:dyDescent="0.55000000000000004">
      <c r="A172" s="142"/>
      <c r="B172" s="142"/>
      <c r="C172" s="142"/>
      <c r="D172" s="142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41"/>
      <c r="AC172" s="141"/>
      <c r="AD172" s="141"/>
    </row>
    <row r="173" spans="1:30" x14ac:dyDescent="0.55000000000000004">
      <c r="A173" s="203" t="s">
        <v>304</v>
      </c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  <c r="AA173" s="203"/>
      <c r="AB173" s="204"/>
      <c r="AC173" s="204"/>
      <c r="AD173" s="204"/>
    </row>
    <row r="174" spans="1:30" x14ac:dyDescent="0.5500000000000000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41"/>
      <c r="AC174" s="141"/>
      <c r="AD174" s="141"/>
    </row>
    <row r="175" spans="1:30" x14ac:dyDescent="0.55000000000000004">
      <c r="A175" s="161"/>
      <c r="B175" s="161"/>
      <c r="C175" s="161"/>
      <c r="D175" s="161"/>
      <c r="E175" s="144" t="s">
        <v>89</v>
      </c>
      <c r="F175" s="150">
        <v>-963</v>
      </c>
      <c r="G175" s="150">
        <v>-82</v>
      </c>
      <c r="H175" s="150">
        <v>392</v>
      </c>
      <c r="I175" s="150">
        <v>685</v>
      </c>
      <c r="J175" s="150">
        <v>965</v>
      </c>
      <c r="K175" s="150">
        <v>894</v>
      </c>
      <c r="L175" s="150">
        <v>683</v>
      </c>
      <c r="M175" s="150">
        <v>700</v>
      </c>
      <c r="N175" s="150">
        <v>771</v>
      </c>
      <c r="O175" s="150">
        <v>176</v>
      </c>
      <c r="P175" s="150">
        <v>-1572</v>
      </c>
      <c r="Q175" s="161">
        <v>-526.28693507120295</v>
      </c>
      <c r="R175" s="161">
        <v>212.98073493847122</v>
      </c>
      <c r="S175" s="161">
        <v>689.28817112528759</v>
      </c>
      <c r="T175" s="161">
        <v>1142.3490355295689</v>
      </c>
      <c r="U175" s="161">
        <v>1451.8575197953703</v>
      </c>
      <c r="V175" s="161">
        <v>1730.9815420320392</v>
      </c>
      <c r="W175" s="161">
        <v>1915.5163348693407</v>
      </c>
      <c r="X175" s="161">
        <v>2089.573534824739</v>
      </c>
      <c r="Y175" s="161">
        <v>2253.7106449026078</v>
      </c>
      <c r="Z175" s="161">
        <v>2430.6807606373568</v>
      </c>
      <c r="AA175" s="161"/>
      <c r="AB175" s="184"/>
      <c r="AC175" s="184"/>
      <c r="AD175" s="184"/>
    </row>
    <row r="176" spans="1:30" x14ac:dyDescent="0.55000000000000004">
      <c r="A176" s="133"/>
      <c r="B176" s="133"/>
      <c r="C176" s="133"/>
      <c r="D176" s="133"/>
      <c r="E176" s="144"/>
      <c r="F176" s="144"/>
      <c r="G176" s="144"/>
      <c r="H176" s="133"/>
      <c r="I176" s="133"/>
      <c r="J176" s="133"/>
      <c r="K176" s="133"/>
      <c r="L176" s="133"/>
      <c r="M176" s="133"/>
      <c r="N176" s="133"/>
      <c r="O176" s="133"/>
      <c r="P176" s="133"/>
      <c r="Q176" s="205" t="s">
        <v>184</v>
      </c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41"/>
      <c r="AC176" s="141"/>
      <c r="AD176" s="141"/>
    </row>
    <row r="177" spans="5:30" x14ac:dyDescent="0.55000000000000004">
      <c r="E177" s="144" t="s">
        <v>305</v>
      </c>
      <c r="F177" s="150">
        <v>241</v>
      </c>
      <c r="G177" s="150">
        <v>179</v>
      </c>
      <c r="H177" s="150">
        <v>186</v>
      </c>
      <c r="I177" s="150">
        <v>178</v>
      </c>
      <c r="J177" s="150">
        <v>215</v>
      </c>
      <c r="K177" s="150">
        <v>243</v>
      </c>
      <c r="L177" s="150">
        <v>246</v>
      </c>
      <c r="M177" s="150">
        <v>334</v>
      </c>
      <c r="N177" s="150">
        <v>384</v>
      </c>
      <c r="O177" s="150">
        <v>533</v>
      </c>
      <c r="P177" s="150">
        <v>574</v>
      </c>
      <c r="Q177" s="150">
        <v>612.11087514371309</v>
      </c>
      <c r="R177" s="150">
        <v>752.4810975176199</v>
      </c>
      <c r="S177" s="150">
        <v>962.9316521034541</v>
      </c>
      <c r="T177" s="150">
        <v>979.94681788584205</v>
      </c>
      <c r="U177" s="150">
        <v>1062.2907396854412</v>
      </c>
      <c r="V177" s="150">
        <v>1155.8951388250205</v>
      </c>
      <c r="W177" s="150">
        <v>1251.9474825309535</v>
      </c>
      <c r="X177" s="150">
        <v>1338.0334576390671</v>
      </c>
      <c r="Y177" s="150">
        <v>1416.5800768296303</v>
      </c>
      <c r="Z177" s="150">
        <v>1474.443066760891</v>
      </c>
      <c r="AA177" s="161"/>
      <c r="AB177" s="184"/>
      <c r="AC177" s="184"/>
      <c r="AD177" s="184"/>
    </row>
    <row r="178" spans="5:30" x14ac:dyDescent="0.55000000000000004">
      <c r="E178" s="149" t="s">
        <v>306</v>
      </c>
      <c r="F178" s="151">
        <v>3.3398004434589804E-2</v>
      </c>
      <c r="G178" s="151">
        <v>2.9421433267587112E-2</v>
      </c>
      <c r="H178" s="151">
        <v>2.6917510853835022E-2</v>
      </c>
      <c r="I178" s="151">
        <v>2.1132613083224505E-2</v>
      </c>
      <c r="J178" s="151">
        <v>2.1002246751978117E-2</v>
      </c>
      <c r="K178" s="151">
        <v>2.4414749321812521E-2</v>
      </c>
      <c r="L178" s="151">
        <v>2.4274718768502072E-2</v>
      </c>
      <c r="M178" s="151">
        <v>2.7496501193710381E-2</v>
      </c>
      <c r="N178" s="151">
        <v>2.5912679667993793E-2</v>
      </c>
      <c r="O178" s="151">
        <v>3.4195162635529609E-2</v>
      </c>
      <c r="P178" s="151">
        <v>3.962446500069032E-2</v>
      </c>
      <c r="Q178" s="151">
        <v>3.9999999999999994E-2</v>
      </c>
      <c r="R178" s="151">
        <v>3.9999999999999994E-2</v>
      </c>
      <c r="S178" s="151">
        <v>3.9999999999999994E-2</v>
      </c>
      <c r="T178" s="151">
        <v>3.4999999999999996E-2</v>
      </c>
      <c r="U178" s="151">
        <v>3.4999999999999996E-2</v>
      </c>
      <c r="V178" s="151">
        <v>3.4999999999999996E-2</v>
      </c>
      <c r="W178" s="151">
        <v>3.4999999999999996E-2</v>
      </c>
      <c r="X178" s="151">
        <v>3.4999999999999996E-2</v>
      </c>
      <c r="Y178" s="151">
        <v>3.4999999999999996E-2</v>
      </c>
      <c r="Z178" s="151">
        <v>3.4999999999999996E-2</v>
      </c>
      <c r="AA178" s="154"/>
      <c r="AB178" s="152">
        <v>3.324410243473791E-2</v>
      </c>
      <c r="AC178" s="153"/>
      <c r="AD178" s="152">
        <v>3.7999999999999992E-2</v>
      </c>
    </row>
    <row r="179" spans="5:30" x14ac:dyDescent="0.55000000000000004">
      <c r="E179" s="149" t="s">
        <v>307</v>
      </c>
      <c r="F179" s="149"/>
      <c r="G179" s="206">
        <v>7.1843575418994412</v>
      </c>
      <c r="H179" s="206">
        <v>6.564516129032258</v>
      </c>
      <c r="I179" s="206">
        <v>6.3595505617977528</v>
      </c>
      <c r="J179" s="206">
        <v>5.9488372093023258</v>
      </c>
      <c r="K179" s="206">
        <v>5.4691358024691361</v>
      </c>
      <c r="L179" s="206">
        <v>5.0691056910569108</v>
      </c>
      <c r="M179" s="206">
        <v>3.9461077844311379</v>
      </c>
      <c r="N179" s="206">
        <v>4.3515625</v>
      </c>
      <c r="O179" s="206">
        <v>3.7936210131332082</v>
      </c>
      <c r="P179" s="206">
        <v>3.6428571428571428</v>
      </c>
      <c r="Q179" s="206">
        <v>2.8622265526464639</v>
      </c>
      <c r="R179" s="206">
        <v>2.3282976885130005</v>
      </c>
      <c r="S179" s="206">
        <v>1.7217627639393189</v>
      </c>
      <c r="T179" s="206">
        <v>1.5690376030962165</v>
      </c>
      <c r="U179" s="206">
        <v>1.4474129810758429</v>
      </c>
      <c r="V179" s="206">
        <v>1.1989128942535408</v>
      </c>
      <c r="W179" s="206">
        <v>0.97503268020439482</v>
      </c>
      <c r="X179" s="206">
        <v>0.7786352897662524</v>
      </c>
      <c r="Y179" s="206">
        <v>0.60052548113202475</v>
      </c>
      <c r="Z179" s="206">
        <v>0.43970761870119668</v>
      </c>
      <c r="AA179" s="206"/>
      <c r="AB179" s="208">
        <v>3.929346885330117</v>
      </c>
      <c r="AC179" s="153"/>
      <c r="AD179" s="208">
        <v>1.9857475178541684</v>
      </c>
    </row>
    <row r="180" spans="5:30" x14ac:dyDescent="0.55000000000000004">
      <c r="E180" s="144" t="s">
        <v>308</v>
      </c>
      <c r="F180" s="150">
        <v>221</v>
      </c>
      <c r="G180" s="150">
        <v>216</v>
      </c>
      <c r="H180" s="150">
        <v>180</v>
      </c>
      <c r="I180" s="150">
        <v>171</v>
      </c>
      <c r="J180" s="150">
        <v>162</v>
      </c>
      <c r="K180" s="150">
        <v>155</v>
      </c>
      <c r="L180" s="150">
        <v>180</v>
      </c>
      <c r="M180" s="150">
        <v>212</v>
      </c>
      <c r="N180" s="150">
        <v>246</v>
      </c>
      <c r="O180" s="150">
        <v>388</v>
      </c>
      <c r="P180" s="150">
        <v>325</v>
      </c>
      <c r="Q180" s="150">
        <v>325</v>
      </c>
      <c r="R180" s="150">
        <v>325</v>
      </c>
      <c r="S180" s="150">
        <v>325</v>
      </c>
      <c r="T180" s="150">
        <v>325</v>
      </c>
      <c r="U180" s="150">
        <v>325</v>
      </c>
      <c r="V180" s="150">
        <v>325</v>
      </c>
      <c r="W180" s="150">
        <v>325</v>
      </c>
      <c r="X180" s="150">
        <v>325</v>
      </c>
      <c r="Y180" s="150">
        <v>325</v>
      </c>
      <c r="Z180" s="150">
        <v>325</v>
      </c>
      <c r="AA180" s="210" t="s">
        <v>184</v>
      </c>
      <c r="AB180" s="184"/>
      <c r="AC180" s="184"/>
      <c r="AD180" s="184"/>
    </row>
    <row r="181" spans="5:30" x14ac:dyDescent="0.55000000000000004">
      <c r="E181" s="144" t="s">
        <v>309</v>
      </c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61">
        <v>0</v>
      </c>
      <c r="R181" s="161">
        <v>0</v>
      </c>
      <c r="S181" s="161">
        <v>0</v>
      </c>
      <c r="T181" s="161">
        <v>0</v>
      </c>
      <c r="U181" s="161">
        <v>0</v>
      </c>
      <c r="V181" s="161">
        <v>0</v>
      </c>
      <c r="W181" s="161">
        <v>0</v>
      </c>
      <c r="X181" s="161">
        <v>0</v>
      </c>
      <c r="Y181" s="161">
        <v>0</v>
      </c>
      <c r="Z181" s="161">
        <v>0</v>
      </c>
      <c r="AA181" s="161"/>
      <c r="AB181" s="184"/>
      <c r="AC181" s="184"/>
      <c r="AD181" s="184"/>
    </row>
    <row r="182" spans="5:30" x14ac:dyDescent="0.55000000000000004">
      <c r="E182" s="149" t="s">
        <v>310</v>
      </c>
      <c r="F182" s="151">
        <v>0</v>
      </c>
      <c r="G182" s="151">
        <v>0</v>
      </c>
      <c r="H182" s="151">
        <v>0</v>
      </c>
      <c r="I182" s="151">
        <v>0</v>
      </c>
      <c r="J182" s="151">
        <v>0</v>
      </c>
      <c r="K182" s="151">
        <v>0</v>
      </c>
      <c r="L182" s="151">
        <v>0</v>
      </c>
      <c r="M182" s="151">
        <v>0</v>
      </c>
      <c r="N182" s="151">
        <v>0</v>
      </c>
      <c r="O182" s="151">
        <v>0</v>
      </c>
      <c r="P182" s="151">
        <v>0</v>
      </c>
      <c r="Q182" s="211">
        <v>0</v>
      </c>
      <c r="R182" s="211">
        <v>0</v>
      </c>
      <c r="S182" s="211">
        <v>0</v>
      </c>
      <c r="T182" s="211">
        <v>0</v>
      </c>
      <c r="U182" s="211">
        <v>0</v>
      </c>
      <c r="V182" s="211">
        <v>0</v>
      </c>
      <c r="W182" s="211">
        <v>0</v>
      </c>
      <c r="X182" s="211">
        <v>0</v>
      </c>
      <c r="Y182" s="211">
        <v>0</v>
      </c>
      <c r="Z182" s="211">
        <v>0</v>
      </c>
      <c r="AA182" s="154"/>
      <c r="AB182" s="152">
        <v>0</v>
      </c>
      <c r="AC182" s="153"/>
      <c r="AD182" s="152">
        <v>0</v>
      </c>
    </row>
    <row r="183" spans="5:30" x14ac:dyDescent="0.55000000000000004">
      <c r="E183" s="144" t="s">
        <v>311</v>
      </c>
      <c r="F183" s="150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  <c r="AA183" s="161"/>
      <c r="AB183" s="184"/>
      <c r="AC183" s="184"/>
      <c r="AD183" s="184"/>
    </row>
    <row r="184" spans="5:30" x14ac:dyDescent="0.55000000000000004">
      <c r="E184" s="144" t="s">
        <v>312</v>
      </c>
      <c r="F184" s="150">
        <v>172</v>
      </c>
      <c r="G184" s="150">
        <v>0</v>
      </c>
      <c r="H184" s="150">
        <v>-13</v>
      </c>
      <c r="I184" s="150">
        <v>3</v>
      </c>
      <c r="J184" s="150">
        <v>0</v>
      </c>
      <c r="K184" s="150">
        <v>3</v>
      </c>
      <c r="L184" s="150">
        <v>7</v>
      </c>
      <c r="M184" s="150">
        <v>0</v>
      </c>
      <c r="N184" s="150">
        <v>24</v>
      </c>
      <c r="O184" s="150">
        <v>0</v>
      </c>
      <c r="P184" s="150">
        <v>0</v>
      </c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61"/>
      <c r="AB184" s="184"/>
      <c r="AC184" s="184"/>
      <c r="AD184" s="184"/>
    </row>
    <row r="185" spans="5:30" x14ac:dyDescent="0.55000000000000004">
      <c r="E185" s="144" t="s">
        <v>313</v>
      </c>
      <c r="F185" s="150">
        <v>153</v>
      </c>
      <c r="G185" s="150">
        <v>-11</v>
      </c>
      <c r="H185" s="150">
        <v>-17</v>
      </c>
      <c r="I185" s="150">
        <v>56</v>
      </c>
      <c r="J185" s="150">
        <v>110</v>
      </c>
      <c r="K185" s="150">
        <v>36</v>
      </c>
      <c r="L185" s="150">
        <v>32</v>
      </c>
      <c r="M185" s="150">
        <v>-42</v>
      </c>
      <c r="N185" s="150">
        <v>-56</v>
      </c>
      <c r="O185" s="150">
        <v>-93</v>
      </c>
      <c r="P185" s="150">
        <v>-290</v>
      </c>
      <c r="Q185" s="161">
        <v>0</v>
      </c>
      <c r="R185" s="161">
        <v>0</v>
      </c>
      <c r="S185" s="161">
        <v>0</v>
      </c>
      <c r="T185" s="161">
        <v>0</v>
      </c>
      <c r="U185" s="161">
        <v>0</v>
      </c>
      <c r="V185" s="161">
        <v>0</v>
      </c>
      <c r="W185" s="161">
        <v>0</v>
      </c>
      <c r="X185" s="161">
        <v>0</v>
      </c>
      <c r="Y185" s="161">
        <v>0</v>
      </c>
      <c r="Z185" s="161">
        <v>0</v>
      </c>
      <c r="AA185" s="161"/>
      <c r="AB185" s="184"/>
      <c r="AC185" s="184"/>
      <c r="AD185" s="184"/>
    </row>
    <row r="186" spans="5:30" x14ac:dyDescent="0.55000000000000004">
      <c r="E186" s="144" t="s">
        <v>314</v>
      </c>
      <c r="F186" s="150">
        <v>407</v>
      </c>
      <c r="G186" s="150">
        <v>118</v>
      </c>
      <c r="H186" s="150">
        <v>138</v>
      </c>
      <c r="I186" s="150">
        <v>-18</v>
      </c>
      <c r="J186" s="150">
        <v>341</v>
      </c>
      <c r="K186" s="150">
        <v>130</v>
      </c>
      <c r="L186" s="150">
        <v>42</v>
      </c>
      <c r="M186" s="150">
        <v>56</v>
      </c>
      <c r="N186" s="150">
        <v>-38</v>
      </c>
      <c r="O186" s="150">
        <v>-17</v>
      </c>
      <c r="P186" s="150">
        <v>957</v>
      </c>
      <c r="Q186" s="161">
        <v>0</v>
      </c>
      <c r="R186" s="161">
        <v>0</v>
      </c>
      <c r="S186" s="161">
        <v>0</v>
      </c>
      <c r="T186" s="161">
        <v>0</v>
      </c>
      <c r="U186" s="161">
        <v>0</v>
      </c>
      <c r="V186" s="161">
        <v>0</v>
      </c>
      <c r="W186" s="161">
        <v>0</v>
      </c>
      <c r="X186" s="161">
        <v>0</v>
      </c>
      <c r="Y186" s="161">
        <v>0</v>
      </c>
      <c r="Z186" s="161">
        <v>0</v>
      </c>
      <c r="AA186" s="161"/>
      <c r="AB186" s="184"/>
      <c r="AC186" s="184"/>
      <c r="AD186" s="184"/>
    </row>
    <row r="187" spans="5:30" x14ac:dyDescent="0.55000000000000004"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41"/>
      <c r="AC187" s="141"/>
      <c r="AD187" s="141"/>
    </row>
    <row r="188" spans="5:30" x14ac:dyDescent="0.55000000000000004">
      <c r="E188" s="212" t="s">
        <v>315</v>
      </c>
      <c r="F188" s="150">
        <v>3</v>
      </c>
      <c r="G188" s="150">
        <v>212</v>
      </c>
      <c r="H188" s="150">
        <v>-114</v>
      </c>
      <c r="I188" s="150">
        <v>-148</v>
      </c>
      <c r="J188" s="150">
        <v>-127</v>
      </c>
      <c r="K188" s="150">
        <v>-218</v>
      </c>
      <c r="L188" s="150">
        <v>33</v>
      </c>
      <c r="M188" s="150">
        <v>-730</v>
      </c>
      <c r="N188" s="150">
        <v>-173</v>
      </c>
      <c r="O188" s="150">
        <v>-117</v>
      </c>
      <c r="P188" s="150">
        <v>135</v>
      </c>
      <c r="Q188" s="161">
        <v>-72.170923967887802</v>
      </c>
      <c r="R188" s="161">
        <v>-310.08194918990921</v>
      </c>
      <c r="S188" s="161">
        <v>-464.89146394772138</v>
      </c>
      <c r="T188" s="161">
        <v>-346.83433568964983</v>
      </c>
      <c r="U188" s="161">
        <v>-207.88587977256248</v>
      </c>
      <c r="V188" s="161">
        <v>-236.31413758833423</v>
      </c>
      <c r="W188" s="161">
        <v>-242.49423077176925</v>
      </c>
      <c r="X188" s="161">
        <v>-217.33308640536688</v>
      </c>
      <c r="Y188" s="161">
        <v>-198.29919047734984</v>
      </c>
      <c r="Z188" s="161">
        <v>-146.08119585809663</v>
      </c>
      <c r="AA188" s="161"/>
      <c r="AB188" s="184"/>
      <c r="AC188" s="184"/>
      <c r="AD188" s="184"/>
    </row>
    <row r="189" spans="5:30" x14ac:dyDescent="0.55000000000000004">
      <c r="E189" s="212" t="s">
        <v>316</v>
      </c>
      <c r="F189" s="150">
        <v>302</v>
      </c>
      <c r="G189" s="150">
        <v>749</v>
      </c>
      <c r="H189" s="150">
        <v>-14</v>
      </c>
      <c r="I189" s="150">
        <v>-390</v>
      </c>
      <c r="J189" s="150">
        <v>-86</v>
      </c>
      <c r="K189" s="150">
        <v>-711</v>
      </c>
      <c r="L189" s="150">
        <v>-619</v>
      </c>
      <c r="M189" s="150">
        <v>-1201</v>
      </c>
      <c r="N189" s="150">
        <v>200</v>
      </c>
      <c r="O189" s="150">
        <v>-705</v>
      </c>
      <c r="P189" s="150">
        <v>-763</v>
      </c>
      <c r="Q189" s="161">
        <v>105.70149263903022</v>
      </c>
      <c r="R189" s="161">
        <v>-506.80134884427116</v>
      </c>
      <c r="S189" s="161">
        <v>-1462.8078108027476</v>
      </c>
      <c r="T189" s="161">
        <v>-603.8227037865654</v>
      </c>
      <c r="U189" s="161">
        <v>-663.44412115078376</v>
      </c>
      <c r="V189" s="161">
        <v>-782.74006186810402</v>
      </c>
      <c r="W189" s="161">
        <v>-851.53049111960536</v>
      </c>
      <c r="X189" s="161">
        <v>-759.10668428169993</v>
      </c>
      <c r="Y189" s="161">
        <v>-690.13946181763458</v>
      </c>
      <c r="Z189" s="161">
        <v>-481.91904614476152</v>
      </c>
      <c r="AA189" s="161"/>
      <c r="AB189" s="184"/>
      <c r="AC189" s="184"/>
      <c r="AD189" s="184"/>
    </row>
    <row r="190" spans="5:30" x14ac:dyDescent="0.55000000000000004">
      <c r="E190" s="161" t="s">
        <v>317</v>
      </c>
      <c r="F190" s="150">
        <v>-110</v>
      </c>
      <c r="G190" s="150">
        <v>-5</v>
      </c>
      <c r="H190" s="150">
        <v>380</v>
      </c>
      <c r="I190" s="150">
        <v>107</v>
      </c>
      <c r="J190" s="150">
        <v>800</v>
      </c>
      <c r="K190" s="150">
        <v>7</v>
      </c>
      <c r="L190" s="150">
        <v>0</v>
      </c>
      <c r="M190" s="150">
        <v>620</v>
      </c>
      <c r="N190" s="150">
        <v>-850</v>
      </c>
      <c r="O190" s="150">
        <v>115</v>
      </c>
      <c r="P190" s="150">
        <v>585</v>
      </c>
      <c r="Q190" s="161">
        <v>0</v>
      </c>
      <c r="R190" s="161">
        <v>0</v>
      </c>
      <c r="S190" s="161">
        <v>0</v>
      </c>
      <c r="T190" s="161">
        <v>0</v>
      </c>
      <c r="U190" s="161">
        <v>0</v>
      </c>
      <c r="V190" s="161">
        <v>0</v>
      </c>
      <c r="W190" s="161">
        <v>0</v>
      </c>
      <c r="X190" s="161">
        <v>0</v>
      </c>
      <c r="Y190" s="161">
        <v>0</v>
      </c>
      <c r="Z190" s="161">
        <v>0</v>
      </c>
      <c r="AA190" s="161"/>
      <c r="AB190" s="184"/>
      <c r="AC190" s="184"/>
      <c r="AD190" s="184"/>
    </row>
    <row r="191" spans="5:30" x14ac:dyDescent="0.55000000000000004">
      <c r="E191" s="161" t="s">
        <v>318</v>
      </c>
      <c r="F191" s="150">
        <v>-555</v>
      </c>
      <c r="G191" s="150">
        <v>-159</v>
      </c>
      <c r="H191" s="150">
        <v>96</v>
      </c>
      <c r="I191" s="150">
        <v>815</v>
      </c>
      <c r="J191" s="150">
        <v>-94</v>
      </c>
      <c r="K191" s="150">
        <v>994</v>
      </c>
      <c r="L191" s="150">
        <v>-243</v>
      </c>
      <c r="M191" s="150">
        <v>702</v>
      </c>
      <c r="N191" s="150">
        <v>199</v>
      </c>
      <c r="O191" s="150">
        <v>678</v>
      </c>
      <c r="P191" s="150">
        <v>-197</v>
      </c>
      <c r="Q191" s="161">
        <v>87.123746677725649</v>
      </c>
      <c r="R191" s="161">
        <v>565.74615266594265</v>
      </c>
      <c r="S191" s="161">
        <v>1222.7873767655656</v>
      </c>
      <c r="T191" s="161">
        <v>911.4663456198632</v>
      </c>
      <c r="U191" s="161">
        <v>516.01209422838747</v>
      </c>
      <c r="V191" s="161">
        <v>608.79782589741353</v>
      </c>
      <c r="W191" s="161">
        <v>662.3014930930276</v>
      </c>
      <c r="X191" s="161">
        <v>590.41630999687914</v>
      </c>
      <c r="Y191" s="161">
        <v>536.77513696926871</v>
      </c>
      <c r="Z191" s="161">
        <v>374.82592477925937</v>
      </c>
      <c r="AA191" s="161"/>
      <c r="AB191" s="184"/>
      <c r="AC191" s="184"/>
      <c r="AD191" s="184"/>
    </row>
    <row r="192" spans="5:30" x14ac:dyDescent="0.55000000000000004">
      <c r="E192" s="161" t="s">
        <v>319</v>
      </c>
      <c r="F192" s="150">
        <v>56</v>
      </c>
      <c r="G192" s="150">
        <v>32</v>
      </c>
      <c r="H192" s="150">
        <v>-88</v>
      </c>
      <c r="I192" s="150">
        <v>13</v>
      </c>
      <c r="J192" s="150">
        <v>-105</v>
      </c>
      <c r="K192" s="150">
        <v>92</v>
      </c>
      <c r="L192" s="150">
        <v>660</v>
      </c>
      <c r="M192" s="150">
        <v>172</v>
      </c>
      <c r="N192" s="150">
        <v>36</v>
      </c>
      <c r="O192" s="150">
        <v>38</v>
      </c>
      <c r="P192" s="150">
        <v>48</v>
      </c>
      <c r="Q192" s="161">
        <v>0</v>
      </c>
      <c r="R192" s="161">
        <v>0</v>
      </c>
      <c r="S192" s="161">
        <v>0</v>
      </c>
      <c r="T192" s="161">
        <v>0</v>
      </c>
      <c r="U192" s="161">
        <v>0</v>
      </c>
      <c r="V192" s="161">
        <v>0</v>
      </c>
      <c r="W192" s="161">
        <v>0</v>
      </c>
      <c r="X192" s="161">
        <v>0</v>
      </c>
      <c r="Y192" s="161">
        <v>0</v>
      </c>
      <c r="Z192" s="161">
        <v>0</v>
      </c>
      <c r="AA192" s="161"/>
      <c r="AB192" s="184"/>
      <c r="AC192" s="184"/>
      <c r="AD192" s="184"/>
    </row>
    <row r="193" spans="5:30" x14ac:dyDescent="0.55000000000000004"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41"/>
      <c r="AC193" s="141"/>
      <c r="AD193" s="141"/>
    </row>
    <row r="194" spans="5:30" x14ac:dyDescent="0.55000000000000004">
      <c r="E194" s="156" t="s">
        <v>320</v>
      </c>
      <c r="F194" s="156">
        <v>-73</v>
      </c>
      <c r="G194" s="156">
        <v>1249</v>
      </c>
      <c r="H194" s="156">
        <v>1126</v>
      </c>
      <c r="I194" s="156">
        <v>1472</v>
      </c>
      <c r="J194" s="156">
        <v>2181</v>
      </c>
      <c r="K194" s="156">
        <v>1625</v>
      </c>
      <c r="L194" s="156">
        <v>1021</v>
      </c>
      <c r="M194" s="156">
        <v>823</v>
      </c>
      <c r="N194" s="156">
        <v>743</v>
      </c>
      <c r="O194" s="156">
        <v>996</v>
      </c>
      <c r="P194" s="156">
        <v>-198</v>
      </c>
      <c r="Q194" s="156">
        <v>531.47825542137821</v>
      </c>
      <c r="R194" s="156">
        <v>1039.3246870878534</v>
      </c>
      <c r="S194" s="156">
        <v>1272.3079252438383</v>
      </c>
      <c r="T194" s="156">
        <v>2408.1051595590588</v>
      </c>
      <c r="U194" s="156">
        <v>2483.8303527858525</v>
      </c>
      <c r="V194" s="156">
        <v>2801.6203072980352</v>
      </c>
      <c r="W194" s="156">
        <v>3060.7405886019469</v>
      </c>
      <c r="X194" s="156">
        <v>3366.5835317736182</v>
      </c>
      <c r="Y194" s="156">
        <v>3643.6272064065224</v>
      </c>
      <c r="Z194" s="156">
        <v>3976.9495101746493</v>
      </c>
      <c r="AA194" s="156"/>
      <c r="AB194" s="209"/>
      <c r="AC194" s="209"/>
      <c r="AD194" s="209"/>
    </row>
    <row r="195" spans="5:30" x14ac:dyDescent="0.55000000000000004">
      <c r="E195" s="149" t="s">
        <v>321</v>
      </c>
      <c r="F195" s="178">
        <v>7.5804776739356178E-2</v>
      </c>
      <c r="G195" s="178">
        <v>-15.231707317073171</v>
      </c>
      <c r="H195" s="178">
        <v>2.8724489795918369</v>
      </c>
      <c r="I195" s="178">
        <v>2.1489051094890512</v>
      </c>
      <c r="J195" s="178">
        <v>2.260103626943005</v>
      </c>
      <c r="K195" s="178">
        <v>1.8176733780760626</v>
      </c>
      <c r="L195" s="178">
        <v>1.4948755490483163</v>
      </c>
      <c r="M195" s="178">
        <v>1.1757142857142857</v>
      </c>
      <c r="N195" s="178">
        <v>0.96368352788586253</v>
      </c>
      <c r="O195" s="178">
        <v>5.6590909090909092</v>
      </c>
      <c r="P195" s="178">
        <v>0.12595419847328243</v>
      </c>
      <c r="Q195" s="178">
        <v>-1.0098640494457134</v>
      </c>
      <c r="R195" s="178">
        <v>4.8798999937158998</v>
      </c>
      <c r="S195" s="178">
        <v>1.8458287528230031</v>
      </c>
      <c r="T195" s="178">
        <v>2.1080292315760674</v>
      </c>
      <c r="U195" s="178">
        <v>1.710794839658875</v>
      </c>
      <c r="V195" s="178">
        <v>1.6185154140980316</v>
      </c>
      <c r="W195" s="178">
        <v>1.5978671300710798</v>
      </c>
      <c r="X195" s="178">
        <v>1.6111342700633826</v>
      </c>
      <c r="Y195" s="178">
        <v>1.6167236085287153</v>
      </c>
      <c r="Z195" s="178">
        <v>1.636146372891782</v>
      </c>
      <c r="AA195" s="149"/>
      <c r="AB195" s="152">
        <v>2.2495762118166849</v>
      </c>
      <c r="AC195" s="153"/>
      <c r="AD195" s="152">
        <v>1.9069377536656265</v>
      </c>
    </row>
    <row r="196" spans="5:30" x14ac:dyDescent="0.55000000000000004"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41"/>
      <c r="AC196" s="141"/>
      <c r="AD196" s="141"/>
    </row>
    <row r="197" spans="5:30" x14ac:dyDescent="0.55000000000000004">
      <c r="E197" s="160" t="s">
        <v>322</v>
      </c>
      <c r="F197" s="150">
        <v>-167</v>
      </c>
      <c r="G197" s="150">
        <v>-73</v>
      </c>
      <c r="H197" s="150">
        <v>-163</v>
      </c>
      <c r="I197" s="150">
        <v>-220</v>
      </c>
      <c r="J197" s="150">
        <v>-287</v>
      </c>
      <c r="K197" s="150">
        <v>-268</v>
      </c>
      <c r="L197" s="150">
        <v>-312</v>
      </c>
      <c r="M197" s="150">
        <v>-451</v>
      </c>
      <c r="N197" s="150">
        <v>-379</v>
      </c>
      <c r="O197" s="150">
        <v>-476</v>
      </c>
      <c r="P197" s="150">
        <v>-371</v>
      </c>
      <c r="Q197" s="150">
        <v>-612.11087514371309</v>
      </c>
      <c r="R197" s="150">
        <v>-658.42096032791756</v>
      </c>
      <c r="S197" s="150">
        <v>-842.56519559052242</v>
      </c>
      <c r="T197" s="150">
        <v>-979.94681788584205</v>
      </c>
      <c r="U197" s="150">
        <v>-910.53491973037808</v>
      </c>
      <c r="V197" s="150">
        <v>-990.76726185001746</v>
      </c>
      <c r="W197" s="150">
        <v>-1073.0978421693887</v>
      </c>
      <c r="X197" s="150">
        <v>-1146.8858208334859</v>
      </c>
      <c r="Y197" s="150">
        <v>-1214.2114944253972</v>
      </c>
      <c r="Z197" s="150">
        <v>-1263.8083429379064</v>
      </c>
      <c r="AA197" s="161"/>
      <c r="AB197" s="184"/>
      <c r="AC197" s="184"/>
      <c r="AD197" s="184"/>
    </row>
    <row r="198" spans="5:30" x14ac:dyDescent="0.55000000000000004">
      <c r="E198" s="149" t="s">
        <v>323</v>
      </c>
      <c r="F198" s="151">
        <v>2.3143015521064302E-2</v>
      </c>
      <c r="G198" s="151">
        <v>1.1998685075608152E-2</v>
      </c>
      <c r="H198" s="151">
        <v>2.3589001447178001E-2</v>
      </c>
      <c r="I198" s="151">
        <v>2.6118959990502195E-2</v>
      </c>
      <c r="J198" s="151">
        <v>2.8035557292175443E-2</v>
      </c>
      <c r="K198" s="151">
        <v>2.69265548075957E-2</v>
      </c>
      <c r="L198" s="151">
        <v>3.078744819419775E-2</v>
      </c>
      <c r="M198" s="151">
        <v>3.7128509096896356E-2</v>
      </c>
      <c r="N198" s="151">
        <v>2.5575274984816789E-2</v>
      </c>
      <c r="O198" s="151">
        <v>3.0538269070379161E-2</v>
      </c>
      <c r="P198" s="151">
        <v>2.5610934695568136E-2</v>
      </c>
      <c r="Q198" s="151">
        <v>3.9999999999999994E-2</v>
      </c>
      <c r="R198" s="151">
        <v>3.4999999999999996E-2</v>
      </c>
      <c r="S198" s="151">
        <v>3.4999999999999996E-2</v>
      </c>
      <c r="T198" s="151">
        <v>3.4999999999999996E-2</v>
      </c>
      <c r="U198" s="151">
        <v>2.9999999999999992E-2</v>
      </c>
      <c r="V198" s="151">
        <v>2.9999999999999992E-2</v>
      </c>
      <c r="W198" s="151">
        <v>2.9999999999999995E-2</v>
      </c>
      <c r="X198" s="151">
        <v>2.9999999999999995E-2</v>
      </c>
      <c r="Y198" s="151">
        <v>2.9999999999999992E-2</v>
      </c>
      <c r="Z198" s="151">
        <v>2.9999999999999995E-2</v>
      </c>
      <c r="AA198" s="154"/>
      <c r="AB198" s="152">
        <v>2.7241492916921361E-2</v>
      </c>
      <c r="AC198" s="153"/>
      <c r="AD198" s="152">
        <v>3.4999999999999996E-2</v>
      </c>
    </row>
    <row r="199" spans="5:30" x14ac:dyDescent="0.55000000000000004">
      <c r="E199" s="149" t="s">
        <v>324</v>
      </c>
      <c r="F199" s="149"/>
      <c r="G199" s="206">
        <v>17.616438356164384</v>
      </c>
      <c r="H199" s="206">
        <v>7.4907975460122698</v>
      </c>
      <c r="I199" s="206">
        <v>5.1454545454545455</v>
      </c>
      <c r="J199" s="206">
        <v>4.4564459930313589</v>
      </c>
      <c r="K199" s="206">
        <v>4.9589552238805972</v>
      </c>
      <c r="L199" s="206">
        <v>3.9967948717948718</v>
      </c>
      <c r="M199" s="206">
        <v>2.9223946784922394</v>
      </c>
      <c r="N199" s="206">
        <v>4.4089709762532978</v>
      </c>
      <c r="O199" s="206">
        <v>4.2478991596638656</v>
      </c>
      <c r="P199" s="206">
        <v>5.6361185983827493</v>
      </c>
      <c r="Q199" s="206">
        <v>2.8622265526464639</v>
      </c>
      <c r="R199" s="206">
        <v>2.660911644014857</v>
      </c>
      <c r="S199" s="206">
        <v>1.9677288730735072</v>
      </c>
      <c r="T199" s="206">
        <v>1.5690376030962165</v>
      </c>
      <c r="U199" s="206">
        <v>1.6886484779218167</v>
      </c>
      <c r="V199" s="206">
        <v>1.3987317099624643</v>
      </c>
      <c r="W199" s="206">
        <v>1.1375381269051272</v>
      </c>
      <c r="X199" s="206">
        <v>0.90840783806062786</v>
      </c>
      <c r="Y199" s="206">
        <v>0.70061306132069567</v>
      </c>
      <c r="Z199" s="206">
        <v>0.51299222181806292</v>
      </c>
      <c r="AA199" s="206"/>
      <c r="AB199" s="208">
        <v>4.7643295780999706</v>
      </c>
      <c r="AC199" s="153"/>
      <c r="AD199" s="208">
        <v>2.1497106301505724</v>
      </c>
    </row>
    <row r="200" spans="5:30" x14ac:dyDescent="0.55000000000000004">
      <c r="E200" s="144" t="s">
        <v>325</v>
      </c>
      <c r="F200" s="150">
        <v>-124</v>
      </c>
      <c r="G200" s="150">
        <v>-169</v>
      </c>
      <c r="H200" s="150">
        <v>-107</v>
      </c>
      <c r="I200" s="150">
        <v>-147</v>
      </c>
      <c r="J200" s="150">
        <v>-181</v>
      </c>
      <c r="K200" s="150">
        <v>-215</v>
      </c>
      <c r="L200" s="150">
        <v>-287</v>
      </c>
      <c r="M200" s="150">
        <v>-321</v>
      </c>
      <c r="N200" s="150">
        <v>-308</v>
      </c>
      <c r="O200" s="150">
        <v>-397</v>
      </c>
      <c r="P200" s="150">
        <v>-400</v>
      </c>
      <c r="Q200" s="150">
        <v>-400</v>
      </c>
      <c r="R200" s="150">
        <v>-350</v>
      </c>
      <c r="S200" s="150">
        <v>-200</v>
      </c>
      <c r="T200" s="150">
        <v>-200</v>
      </c>
      <c r="U200" s="150">
        <v>-100</v>
      </c>
      <c r="V200" s="150">
        <v>-100</v>
      </c>
      <c r="W200" s="150">
        <v>-100</v>
      </c>
      <c r="X200" s="150">
        <v>-100</v>
      </c>
      <c r="Y200" s="150">
        <v>-100</v>
      </c>
      <c r="Z200" s="150">
        <v>-100</v>
      </c>
      <c r="AA200" s="161"/>
      <c r="AB200" s="184"/>
      <c r="AC200" s="184"/>
      <c r="AD200" s="184"/>
    </row>
    <row r="201" spans="5:30" x14ac:dyDescent="0.55000000000000004">
      <c r="E201" s="149" t="s">
        <v>326</v>
      </c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  <c r="AA201" s="149"/>
      <c r="AB201" s="153"/>
      <c r="AC201" s="153"/>
      <c r="AD201" s="153"/>
    </row>
    <row r="202" spans="5:30" x14ac:dyDescent="0.55000000000000004">
      <c r="E202" s="149" t="s">
        <v>327</v>
      </c>
      <c r="F202" s="149"/>
      <c r="G202" s="149"/>
      <c r="H202" s="213"/>
      <c r="I202" s="213"/>
      <c r="J202" s="213"/>
      <c r="K202" s="213"/>
      <c r="L202" s="213"/>
      <c r="M202" s="213"/>
      <c r="N202" s="213"/>
      <c r="O202" s="213"/>
      <c r="P202" s="213"/>
      <c r="Q202" s="214">
        <v>0</v>
      </c>
      <c r="R202" s="214">
        <v>0</v>
      </c>
      <c r="S202" s="214">
        <v>0</v>
      </c>
      <c r="T202" s="214">
        <v>0</v>
      </c>
      <c r="U202" s="214">
        <v>0</v>
      </c>
      <c r="V202" s="214">
        <v>0</v>
      </c>
      <c r="W202" s="214">
        <v>0</v>
      </c>
      <c r="X202" s="214">
        <v>0</v>
      </c>
      <c r="Y202" s="214">
        <v>0</v>
      </c>
      <c r="Z202" s="214">
        <v>0</v>
      </c>
      <c r="AA202" s="213"/>
      <c r="AB202" s="215"/>
      <c r="AC202" s="215"/>
      <c r="AD202" s="215"/>
    </row>
    <row r="203" spans="5:30" x14ac:dyDescent="0.55000000000000004">
      <c r="E203" s="149" t="s">
        <v>328</v>
      </c>
      <c r="F203" s="149"/>
      <c r="G203" s="149"/>
      <c r="H203" s="213"/>
      <c r="I203" s="213"/>
      <c r="J203" s="213"/>
      <c r="K203" s="213"/>
      <c r="L203" s="213"/>
      <c r="M203" s="213"/>
      <c r="N203" s="213"/>
      <c r="O203" s="213"/>
      <c r="P203" s="213"/>
      <c r="Q203" s="214">
        <v>1</v>
      </c>
      <c r="R203" s="214">
        <v>1</v>
      </c>
      <c r="S203" s="214">
        <v>1</v>
      </c>
      <c r="T203" s="214">
        <v>1</v>
      </c>
      <c r="U203" s="214">
        <v>1</v>
      </c>
      <c r="V203" s="214">
        <v>1</v>
      </c>
      <c r="W203" s="214">
        <v>1</v>
      </c>
      <c r="X203" s="214">
        <v>1</v>
      </c>
      <c r="Y203" s="214">
        <v>1</v>
      </c>
      <c r="Z203" s="214">
        <v>1</v>
      </c>
      <c r="AA203" s="213"/>
      <c r="AB203" s="215"/>
      <c r="AC203" s="215"/>
      <c r="AD203" s="215"/>
    </row>
    <row r="204" spans="5:30" x14ac:dyDescent="0.55000000000000004">
      <c r="E204" s="149" t="s">
        <v>329</v>
      </c>
      <c r="F204" s="149"/>
      <c r="G204" s="149"/>
      <c r="H204" s="213"/>
      <c r="I204" s="213"/>
      <c r="J204" s="213"/>
      <c r="K204" s="213"/>
      <c r="L204" s="213"/>
      <c r="M204" s="213"/>
      <c r="N204" s="213"/>
      <c r="O204" s="213"/>
      <c r="P204" s="213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3"/>
      <c r="AB204" s="215"/>
      <c r="AC204" s="215"/>
      <c r="AD204" s="215"/>
    </row>
    <row r="205" spans="5:30" x14ac:dyDescent="0.55000000000000004">
      <c r="E205" s="149" t="s">
        <v>330</v>
      </c>
      <c r="F205" s="149"/>
      <c r="G205" s="149"/>
      <c r="H205" s="213"/>
      <c r="I205" s="213"/>
      <c r="J205" s="213"/>
      <c r="K205" s="213"/>
      <c r="L205" s="213"/>
      <c r="M205" s="213"/>
      <c r="N205" s="213"/>
      <c r="O205" s="213"/>
      <c r="P205" s="213"/>
      <c r="Q205" s="178">
        <v>0</v>
      </c>
      <c r="R205" s="178">
        <v>0</v>
      </c>
      <c r="S205" s="178">
        <v>0</v>
      </c>
      <c r="T205" s="178">
        <v>0</v>
      </c>
      <c r="U205" s="178">
        <v>0</v>
      </c>
      <c r="V205" s="178">
        <v>0</v>
      </c>
      <c r="W205" s="178">
        <v>0</v>
      </c>
      <c r="X205" s="178">
        <v>0</v>
      </c>
      <c r="Y205" s="178">
        <v>0</v>
      </c>
      <c r="Z205" s="178">
        <v>0</v>
      </c>
      <c r="AA205" s="213"/>
      <c r="AB205" s="215"/>
      <c r="AC205" s="215"/>
      <c r="AD205" s="215"/>
    </row>
    <row r="206" spans="5:30" x14ac:dyDescent="0.55000000000000004">
      <c r="E206" s="149"/>
      <c r="F206" s="149"/>
      <c r="G206" s="149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213"/>
      <c r="Y206" s="213"/>
      <c r="Z206" s="213"/>
      <c r="AA206" s="213"/>
      <c r="AB206" s="215"/>
      <c r="AC206" s="215"/>
      <c r="AD206" s="215"/>
    </row>
    <row r="207" spans="5:30" x14ac:dyDescent="0.55000000000000004">
      <c r="E207" s="149" t="s">
        <v>331</v>
      </c>
      <c r="F207" s="149"/>
      <c r="G207" s="149"/>
      <c r="H207" s="213"/>
      <c r="I207" s="213"/>
      <c r="J207" s="213"/>
      <c r="K207" s="213"/>
      <c r="L207" s="213"/>
      <c r="M207" s="213"/>
      <c r="N207" s="213"/>
      <c r="O207" s="213"/>
      <c r="P207" s="213"/>
      <c r="Q207" s="185">
        <v>0</v>
      </c>
      <c r="R207" s="185">
        <v>0</v>
      </c>
      <c r="S207" s="185">
        <v>0</v>
      </c>
      <c r="T207" s="185">
        <v>0</v>
      </c>
      <c r="U207" s="185">
        <v>0</v>
      </c>
      <c r="V207" s="185">
        <v>0</v>
      </c>
      <c r="W207" s="185">
        <v>0</v>
      </c>
      <c r="X207" s="185">
        <v>0</v>
      </c>
      <c r="Y207" s="185">
        <v>0</v>
      </c>
      <c r="Z207" s="185">
        <v>0</v>
      </c>
      <c r="AA207" s="213"/>
      <c r="AB207" s="215"/>
      <c r="AC207" s="215"/>
      <c r="AD207" s="215"/>
    </row>
    <row r="208" spans="5:30" x14ac:dyDescent="0.55000000000000004">
      <c r="E208" s="149" t="s">
        <v>332</v>
      </c>
      <c r="F208" s="149"/>
      <c r="G208" s="149"/>
      <c r="H208" s="213"/>
      <c r="I208" s="213"/>
      <c r="J208" s="213"/>
      <c r="K208" s="213"/>
      <c r="L208" s="213"/>
      <c r="M208" s="213"/>
      <c r="N208" s="213"/>
      <c r="O208" s="213"/>
      <c r="P208" s="213"/>
      <c r="Q208" s="185">
        <v>400</v>
      </c>
      <c r="R208" s="185">
        <v>350</v>
      </c>
      <c r="S208" s="185">
        <v>200</v>
      </c>
      <c r="T208" s="185">
        <v>200</v>
      </c>
      <c r="U208" s="185">
        <v>100</v>
      </c>
      <c r="V208" s="185">
        <v>100</v>
      </c>
      <c r="W208" s="185">
        <v>100</v>
      </c>
      <c r="X208" s="185">
        <v>100</v>
      </c>
      <c r="Y208" s="185">
        <v>100</v>
      </c>
      <c r="Z208" s="185">
        <v>100</v>
      </c>
      <c r="AA208" s="213"/>
      <c r="AB208" s="215"/>
      <c r="AC208" s="215"/>
      <c r="AD208" s="215"/>
    </row>
    <row r="209" spans="5:30" x14ac:dyDescent="0.55000000000000004">
      <c r="E209" s="149" t="s">
        <v>333</v>
      </c>
      <c r="F209" s="149"/>
      <c r="G209" s="149"/>
      <c r="H209" s="213"/>
      <c r="I209" s="213"/>
      <c r="J209" s="213"/>
      <c r="K209" s="213"/>
      <c r="L209" s="213"/>
      <c r="M209" s="213"/>
      <c r="N209" s="213"/>
      <c r="O209" s="213"/>
      <c r="P209" s="213"/>
      <c r="Q209" s="185">
        <v>0</v>
      </c>
      <c r="R209" s="185">
        <v>0</v>
      </c>
      <c r="S209" s="185">
        <v>0</v>
      </c>
      <c r="T209" s="185">
        <v>0</v>
      </c>
      <c r="U209" s="185">
        <v>0</v>
      </c>
      <c r="V209" s="185">
        <v>0</v>
      </c>
      <c r="W209" s="185">
        <v>0</v>
      </c>
      <c r="X209" s="185">
        <v>0</v>
      </c>
      <c r="Y209" s="185">
        <v>0</v>
      </c>
      <c r="Z209" s="185">
        <v>0</v>
      </c>
      <c r="AA209" s="213"/>
      <c r="AB209" s="215"/>
      <c r="AC209" s="215"/>
      <c r="AD209" s="215"/>
    </row>
    <row r="210" spans="5:30" x14ac:dyDescent="0.55000000000000004">
      <c r="E210" s="149" t="s">
        <v>334</v>
      </c>
      <c r="F210" s="149"/>
      <c r="G210" s="149"/>
      <c r="H210" s="213"/>
      <c r="I210" s="213"/>
      <c r="J210" s="213"/>
      <c r="K210" s="213"/>
      <c r="L210" s="213"/>
      <c r="M210" s="213"/>
      <c r="N210" s="213"/>
      <c r="O210" s="213"/>
      <c r="P210" s="213"/>
      <c r="Q210" s="185">
        <v>0</v>
      </c>
      <c r="R210" s="185">
        <v>0</v>
      </c>
      <c r="S210" s="185">
        <v>0</v>
      </c>
      <c r="T210" s="185">
        <v>0</v>
      </c>
      <c r="U210" s="185">
        <v>0</v>
      </c>
      <c r="V210" s="185">
        <v>0</v>
      </c>
      <c r="W210" s="185">
        <v>0</v>
      </c>
      <c r="X210" s="185">
        <v>0</v>
      </c>
      <c r="Y210" s="185">
        <v>0</v>
      </c>
      <c r="Z210" s="185">
        <v>0</v>
      </c>
      <c r="AA210" s="213"/>
      <c r="AB210" s="215"/>
      <c r="AC210" s="215"/>
      <c r="AD210" s="215"/>
    </row>
    <row r="211" spans="5:30" x14ac:dyDescent="0.55000000000000004">
      <c r="E211" s="149"/>
      <c r="F211" s="149"/>
      <c r="G211" s="149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213"/>
      <c r="V211" s="213"/>
      <c r="W211" s="213"/>
      <c r="X211" s="213"/>
      <c r="Y211" s="213"/>
      <c r="Z211" s="213"/>
      <c r="AA211" s="213"/>
      <c r="AB211" s="215"/>
      <c r="AC211" s="215"/>
      <c r="AD211" s="215"/>
    </row>
    <row r="212" spans="5:30" x14ac:dyDescent="0.55000000000000004">
      <c r="E212" s="144" t="s">
        <v>335</v>
      </c>
      <c r="F212" s="150">
        <v>0</v>
      </c>
      <c r="G212" s="150">
        <v>0</v>
      </c>
      <c r="H212" s="150">
        <v>0</v>
      </c>
      <c r="I212" s="150">
        <v>-55</v>
      </c>
      <c r="J212" s="150">
        <v>-149</v>
      </c>
      <c r="K212" s="150">
        <v>-15</v>
      </c>
      <c r="L212" s="150">
        <v>-4</v>
      </c>
      <c r="M212" s="150">
        <v>41</v>
      </c>
      <c r="N212" s="150">
        <v>29</v>
      </c>
      <c r="O212" s="150">
        <v>-113</v>
      </c>
      <c r="P212" s="150">
        <v>-40</v>
      </c>
      <c r="Q212" s="161">
        <v>0</v>
      </c>
      <c r="R212" s="161">
        <v>0</v>
      </c>
      <c r="S212" s="161">
        <v>0</v>
      </c>
      <c r="T212" s="161">
        <v>0</v>
      </c>
      <c r="U212" s="161">
        <v>0</v>
      </c>
      <c r="V212" s="161">
        <v>0</v>
      </c>
      <c r="W212" s="161">
        <v>0</v>
      </c>
      <c r="X212" s="161">
        <v>0</v>
      </c>
      <c r="Y212" s="161">
        <v>0</v>
      </c>
      <c r="Z212" s="161">
        <v>0</v>
      </c>
      <c r="AA212" s="161"/>
      <c r="AB212" s="184"/>
      <c r="AC212" s="184"/>
      <c r="AD212" s="184"/>
    </row>
    <row r="213" spans="5:30" x14ac:dyDescent="0.55000000000000004">
      <c r="E213" s="144" t="s">
        <v>336</v>
      </c>
      <c r="F213" s="150">
        <v>5</v>
      </c>
      <c r="G213" s="150">
        <v>3</v>
      </c>
      <c r="H213" s="150">
        <v>-15</v>
      </c>
      <c r="I213" s="150">
        <v>-3</v>
      </c>
      <c r="J213" s="150">
        <v>-200</v>
      </c>
      <c r="K213" s="150">
        <v>91</v>
      </c>
      <c r="L213" s="150">
        <v>-487</v>
      </c>
      <c r="M213" s="150">
        <v>240</v>
      </c>
      <c r="N213" s="150">
        <v>391</v>
      </c>
      <c r="O213" s="150">
        <v>47</v>
      </c>
      <c r="P213" s="150">
        <v>132</v>
      </c>
      <c r="Q213" s="161">
        <v>0</v>
      </c>
      <c r="R213" s="161">
        <v>0</v>
      </c>
      <c r="S213" s="161">
        <v>0</v>
      </c>
      <c r="T213" s="161">
        <v>0</v>
      </c>
      <c r="U213" s="161">
        <v>0</v>
      </c>
      <c r="V213" s="161">
        <v>0</v>
      </c>
      <c r="W213" s="161">
        <v>0</v>
      </c>
      <c r="X213" s="161">
        <v>0</v>
      </c>
      <c r="Y213" s="161">
        <v>0</v>
      </c>
      <c r="Z213" s="161">
        <v>0</v>
      </c>
      <c r="AA213" s="161"/>
      <c r="AB213" s="184"/>
      <c r="AC213" s="184"/>
      <c r="AD213" s="184"/>
    </row>
    <row r="214" spans="5:30" x14ac:dyDescent="0.55000000000000004">
      <c r="E214" s="144"/>
      <c r="F214" s="144"/>
      <c r="G214" s="144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41"/>
      <c r="AC214" s="141"/>
      <c r="AD214" s="141"/>
    </row>
    <row r="215" spans="5:30" x14ac:dyDescent="0.55000000000000004">
      <c r="E215" s="155" t="s">
        <v>337</v>
      </c>
      <c r="F215" s="156">
        <v>-286</v>
      </c>
      <c r="G215" s="156">
        <v>-239</v>
      </c>
      <c r="H215" s="156">
        <v>-285</v>
      </c>
      <c r="I215" s="156">
        <v>-425</v>
      </c>
      <c r="J215" s="156">
        <v>-817</v>
      </c>
      <c r="K215" s="156">
        <v>-407</v>
      </c>
      <c r="L215" s="156">
        <v>-1090</v>
      </c>
      <c r="M215" s="156">
        <v>-491</v>
      </c>
      <c r="N215" s="156">
        <v>-267</v>
      </c>
      <c r="O215" s="156">
        <v>-939</v>
      </c>
      <c r="P215" s="156">
        <v>-679</v>
      </c>
      <c r="Q215" s="156">
        <v>-1012.1108751437131</v>
      </c>
      <c r="R215" s="156">
        <v>-1008.4209603279176</v>
      </c>
      <c r="S215" s="156">
        <v>-1042.5651955905223</v>
      </c>
      <c r="T215" s="156">
        <v>-1179.9468178858419</v>
      </c>
      <c r="U215" s="156">
        <v>-1010.5349197303781</v>
      </c>
      <c r="V215" s="156">
        <v>-1090.7672618500173</v>
      </c>
      <c r="W215" s="156">
        <v>-1173.0978421693887</v>
      </c>
      <c r="X215" s="156">
        <v>-1246.8858208334859</v>
      </c>
      <c r="Y215" s="156">
        <v>-1314.2114944253972</v>
      </c>
      <c r="Z215" s="156">
        <v>-1363.8083429379064</v>
      </c>
      <c r="AA215" s="156"/>
      <c r="AB215" s="209"/>
      <c r="AC215" s="209"/>
      <c r="AD215" s="209"/>
    </row>
    <row r="216" spans="5:30" x14ac:dyDescent="0.55000000000000004"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41"/>
      <c r="AC216" s="141"/>
      <c r="AD216" s="141"/>
    </row>
    <row r="217" spans="5:30" x14ac:dyDescent="0.55000000000000004">
      <c r="E217" s="161" t="s">
        <v>338</v>
      </c>
      <c r="F217" s="150">
        <v>0</v>
      </c>
      <c r="G217" s="150">
        <v>-7</v>
      </c>
      <c r="H217" s="150">
        <v>-43</v>
      </c>
      <c r="I217" s="150">
        <v>-136</v>
      </c>
      <c r="J217" s="150">
        <v>-406</v>
      </c>
      <c r="K217" s="150">
        <v>-696</v>
      </c>
      <c r="L217" s="150">
        <v>-402</v>
      </c>
      <c r="M217" s="150">
        <v>-201</v>
      </c>
      <c r="N217" s="150">
        <v>0</v>
      </c>
      <c r="O217" s="150">
        <v>-12</v>
      </c>
      <c r="P217" s="150">
        <v>0</v>
      </c>
      <c r="Q217" s="150">
        <v>0</v>
      </c>
      <c r="R217" s="150">
        <v>0</v>
      </c>
      <c r="S217" s="150">
        <v>0</v>
      </c>
      <c r="T217" s="150">
        <v>0</v>
      </c>
      <c r="U217" s="150">
        <v>0</v>
      </c>
      <c r="V217" s="150">
        <v>0</v>
      </c>
      <c r="W217" s="150">
        <v>0</v>
      </c>
      <c r="X217" s="150">
        <v>0</v>
      </c>
      <c r="Y217" s="150">
        <v>0</v>
      </c>
      <c r="Z217" s="150">
        <v>0</v>
      </c>
      <c r="AA217" s="161"/>
      <c r="AB217" s="184"/>
      <c r="AC217" s="184"/>
      <c r="AD217" s="184"/>
    </row>
    <row r="218" spans="5:30" x14ac:dyDescent="0.55000000000000004">
      <c r="E218" s="185" t="s">
        <v>339</v>
      </c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77">
        <v>27.526785</v>
      </c>
      <c r="R218" s="177">
        <v>30.004195650000003</v>
      </c>
      <c r="S218" s="177">
        <v>32.704573258500005</v>
      </c>
      <c r="T218" s="177">
        <v>35.64798485176501</v>
      </c>
      <c r="U218" s="177">
        <v>38.856303488423862</v>
      </c>
      <c r="V218" s="177">
        <v>42.35337080238201</v>
      </c>
      <c r="W218" s="177">
        <v>46.165174174596395</v>
      </c>
      <c r="X218" s="177">
        <v>50.320039850310074</v>
      </c>
      <c r="Y218" s="177">
        <v>54.848843436837988</v>
      </c>
      <c r="Z218" s="177">
        <v>59.785239346153411</v>
      </c>
      <c r="AA218" s="185"/>
      <c r="AB218" s="188"/>
      <c r="AC218" s="188"/>
      <c r="AD218" s="188"/>
    </row>
    <row r="219" spans="5:30" x14ac:dyDescent="0.55000000000000004">
      <c r="E219" s="185" t="s">
        <v>340</v>
      </c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>
        <v>0</v>
      </c>
      <c r="R219" s="185">
        <v>0</v>
      </c>
      <c r="S219" s="185">
        <v>0</v>
      </c>
      <c r="T219" s="185">
        <v>0</v>
      </c>
      <c r="U219" s="185">
        <v>0</v>
      </c>
      <c r="V219" s="185">
        <v>0</v>
      </c>
      <c r="W219" s="185">
        <v>0</v>
      </c>
      <c r="X219" s="185">
        <v>0</v>
      </c>
      <c r="Y219" s="185">
        <v>0</v>
      </c>
      <c r="Z219" s="185">
        <v>0</v>
      </c>
      <c r="AA219" s="185"/>
      <c r="AB219" s="188"/>
      <c r="AC219" s="188"/>
      <c r="AD219" s="188"/>
    </row>
    <row r="220" spans="5:30" x14ac:dyDescent="0.55000000000000004">
      <c r="E220" s="161" t="s">
        <v>341</v>
      </c>
      <c r="F220" s="150">
        <v>0</v>
      </c>
      <c r="G220" s="150">
        <v>0</v>
      </c>
      <c r="H220" s="150">
        <v>0</v>
      </c>
      <c r="I220" s="150">
        <v>-116</v>
      </c>
      <c r="J220" s="150">
        <v>-201</v>
      </c>
      <c r="K220" s="150">
        <v>-278</v>
      </c>
      <c r="L220" s="150">
        <v>-250</v>
      </c>
      <c r="M220" s="150">
        <v>-197</v>
      </c>
      <c r="N220" s="150">
        <v>-209</v>
      </c>
      <c r="O220" s="150">
        <v>-228</v>
      </c>
      <c r="P220" s="150">
        <v>-50</v>
      </c>
      <c r="Q220" s="161">
        <v>0</v>
      </c>
      <c r="R220" s="161">
        <v>0</v>
      </c>
      <c r="S220" s="161">
        <v>-63.89422048154136</v>
      </c>
      <c r="T220" s="161">
        <v>-206.78645133758624</v>
      </c>
      <c r="U220" s="161">
        <v>-342.70471065887068</v>
      </c>
      <c r="V220" s="161">
        <v>-435.55725593861109</v>
      </c>
      <c r="W220" s="161">
        <v>-519.29446260961174</v>
      </c>
      <c r="X220" s="161">
        <v>-574.6549004608022</v>
      </c>
      <c r="Y220" s="161">
        <v>-626.87206044742175</v>
      </c>
      <c r="Z220" s="161">
        <v>-676.11319347078233</v>
      </c>
      <c r="AA220" s="161"/>
      <c r="AB220" s="184"/>
      <c r="AC220" s="184"/>
      <c r="AD220" s="184"/>
    </row>
    <row r="221" spans="5:30" x14ac:dyDescent="0.55000000000000004">
      <c r="E221" s="161" t="s">
        <v>342</v>
      </c>
      <c r="F221" s="150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61">
        <v>0</v>
      </c>
      <c r="R221" s="161">
        <v>0</v>
      </c>
      <c r="S221" s="161">
        <v>0</v>
      </c>
      <c r="T221" s="161">
        <v>0</v>
      </c>
      <c r="U221" s="161">
        <v>0</v>
      </c>
      <c r="V221" s="161">
        <v>0</v>
      </c>
      <c r="W221" s="161">
        <v>0</v>
      </c>
      <c r="X221" s="161">
        <v>0</v>
      </c>
      <c r="Y221" s="161">
        <v>0</v>
      </c>
      <c r="Z221" s="161">
        <v>0</v>
      </c>
      <c r="AA221" s="161"/>
      <c r="AB221" s="184"/>
      <c r="AC221" s="184"/>
      <c r="AD221" s="184"/>
    </row>
    <row r="222" spans="5:30" x14ac:dyDescent="0.55000000000000004">
      <c r="E222" s="161" t="s">
        <v>343</v>
      </c>
      <c r="F222" s="150">
        <v>832</v>
      </c>
      <c r="G222" s="150">
        <v>-1143</v>
      </c>
      <c r="H222" s="150">
        <v>0</v>
      </c>
      <c r="I222" s="150">
        <v>-108</v>
      </c>
      <c r="J222" s="150">
        <v>-4</v>
      </c>
      <c r="K222" s="150">
        <v>0</v>
      </c>
      <c r="L222" s="150">
        <v>0</v>
      </c>
      <c r="M222" s="150">
        <v>92</v>
      </c>
      <c r="N222" s="150">
        <v>57</v>
      </c>
      <c r="O222" s="150">
        <v>-318</v>
      </c>
      <c r="P222" s="150">
        <v>1043</v>
      </c>
      <c r="Q222" s="161">
        <v>0</v>
      </c>
      <c r="R222" s="161">
        <v>0</v>
      </c>
      <c r="S222" s="161">
        <v>0</v>
      </c>
      <c r="T222" s="161">
        <v>0</v>
      </c>
      <c r="U222" s="161">
        <v>0</v>
      </c>
      <c r="V222" s="161">
        <v>0</v>
      </c>
      <c r="W222" s="161">
        <v>0</v>
      </c>
      <c r="X222" s="161">
        <v>0</v>
      </c>
      <c r="Y222" s="161">
        <v>0</v>
      </c>
      <c r="Z222" s="161">
        <v>0</v>
      </c>
      <c r="AA222" s="161"/>
      <c r="AB222" s="184"/>
      <c r="AC222" s="184"/>
      <c r="AD222" s="184"/>
    </row>
    <row r="223" spans="5:30" x14ac:dyDescent="0.55000000000000004">
      <c r="E223" s="161" t="s">
        <v>344</v>
      </c>
      <c r="F223" s="150">
        <v>0</v>
      </c>
      <c r="G223" s="150">
        <v>0</v>
      </c>
      <c r="H223" s="150">
        <v>432</v>
      </c>
      <c r="I223" s="150">
        <v>0</v>
      </c>
      <c r="J223" s="150">
        <v>0</v>
      </c>
      <c r="K223" s="150">
        <v>0</v>
      </c>
      <c r="L223" s="150">
        <v>13</v>
      </c>
      <c r="M223" s="150">
        <v>0</v>
      </c>
      <c r="N223" s="150">
        <v>-82</v>
      </c>
      <c r="O223" s="150">
        <v>-157</v>
      </c>
      <c r="P223" s="150">
        <v>-147</v>
      </c>
      <c r="Q223" s="161">
        <v>0</v>
      </c>
      <c r="R223" s="161">
        <v>0</v>
      </c>
      <c r="S223" s="161">
        <v>0</v>
      </c>
      <c r="T223" s="161">
        <v>0</v>
      </c>
      <c r="U223" s="161">
        <v>0</v>
      </c>
      <c r="V223" s="161">
        <v>0</v>
      </c>
      <c r="W223" s="161">
        <v>0</v>
      </c>
      <c r="X223" s="161">
        <v>0</v>
      </c>
      <c r="Y223" s="161">
        <v>0</v>
      </c>
      <c r="Z223" s="161">
        <v>0</v>
      </c>
      <c r="AA223" s="161"/>
      <c r="AB223" s="184"/>
      <c r="AC223" s="184"/>
      <c r="AD223" s="184"/>
    </row>
    <row r="224" spans="5:30" x14ac:dyDescent="0.55000000000000004"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41"/>
      <c r="AC224" s="141"/>
      <c r="AD224" s="141"/>
    </row>
    <row r="225" spans="1:68" x14ac:dyDescent="0.55000000000000004">
      <c r="A225" s="156"/>
      <c r="B225" s="156"/>
      <c r="C225" s="156"/>
      <c r="D225" s="156"/>
      <c r="E225" s="156" t="s">
        <v>345</v>
      </c>
      <c r="F225" s="156">
        <v>832</v>
      </c>
      <c r="G225" s="156">
        <v>-1150</v>
      </c>
      <c r="H225" s="156">
        <v>389</v>
      </c>
      <c r="I225" s="156">
        <v>-360</v>
      </c>
      <c r="J225" s="156">
        <v>-611</v>
      </c>
      <c r="K225" s="156">
        <v>-974</v>
      </c>
      <c r="L225" s="156">
        <v>-639</v>
      </c>
      <c r="M225" s="156">
        <v>-306</v>
      </c>
      <c r="N225" s="156">
        <v>-234</v>
      </c>
      <c r="O225" s="156">
        <v>-715</v>
      </c>
      <c r="P225" s="156">
        <v>846</v>
      </c>
      <c r="Q225" s="156">
        <v>0</v>
      </c>
      <c r="R225" s="156">
        <v>0</v>
      </c>
      <c r="S225" s="156">
        <v>-63.89422048154136</v>
      </c>
      <c r="T225" s="156">
        <v>-206.78645133758624</v>
      </c>
      <c r="U225" s="156">
        <v>-342.70471065887068</v>
      </c>
      <c r="V225" s="156">
        <v>-435.55725593861109</v>
      </c>
      <c r="W225" s="156">
        <v>-519.29446260961174</v>
      </c>
      <c r="X225" s="156">
        <v>-574.6549004608022</v>
      </c>
      <c r="Y225" s="156">
        <v>-626.87206044742175</v>
      </c>
      <c r="Z225" s="156">
        <v>-676.11319347078233</v>
      </c>
      <c r="AA225" s="156"/>
      <c r="AB225" s="209"/>
      <c r="AC225" s="209"/>
      <c r="AD225" s="209"/>
      <c r="AE225" s="156"/>
      <c r="AF225" s="156"/>
      <c r="AG225" s="156"/>
      <c r="AH225" s="156"/>
      <c r="AI225" s="156"/>
      <c r="AJ225" s="156"/>
      <c r="AK225" s="156"/>
      <c r="AL225" s="156"/>
      <c r="AM225" s="156"/>
      <c r="AN225" s="156"/>
      <c r="AO225" s="156"/>
      <c r="AP225" s="156"/>
      <c r="AQ225" s="156"/>
      <c r="AR225" s="156"/>
      <c r="AS225" s="156"/>
      <c r="AT225" s="156"/>
      <c r="AU225" s="156"/>
      <c r="AV225" s="156"/>
      <c r="AW225" s="156"/>
      <c r="AX225" s="156"/>
      <c r="AY225" s="156"/>
      <c r="AZ225" s="156"/>
      <c r="BA225" s="156"/>
      <c r="BB225" s="156"/>
      <c r="BC225" s="156"/>
      <c r="BD225" s="156"/>
      <c r="BE225" s="156"/>
      <c r="BF225" s="156"/>
      <c r="BG225" s="156"/>
      <c r="BH225" s="156"/>
      <c r="BI225" s="156"/>
      <c r="BJ225" s="156"/>
      <c r="BK225" s="156"/>
      <c r="BL225" s="156"/>
      <c r="BM225" s="156"/>
      <c r="BN225" s="156"/>
      <c r="BO225" s="156"/>
      <c r="BP225" s="156"/>
    </row>
    <row r="226" spans="1:68" x14ac:dyDescent="0.55000000000000004">
      <c r="A226" s="133"/>
      <c r="B226" s="133"/>
      <c r="C226" s="133"/>
      <c r="D226" s="133"/>
      <c r="E226" s="144"/>
      <c r="F226" s="144"/>
      <c r="G226" s="144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41"/>
      <c r="AC226" s="141"/>
      <c r="AD226" s="141"/>
      <c r="AE226" s="133"/>
      <c r="AF226" s="133"/>
      <c r="AG226" s="133"/>
      <c r="AH226" s="133"/>
      <c r="AI226" s="133"/>
      <c r="AJ226" s="133"/>
      <c r="AK226" s="133"/>
      <c r="AL226" s="133"/>
      <c r="AM226" s="133"/>
      <c r="AN226" s="133"/>
      <c r="AO226" s="133"/>
      <c r="AP226" s="133"/>
      <c r="AQ226" s="133"/>
      <c r="AR226" s="133"/>
      <c r="AS226" s="133"/>
      <c r="AT226" s="133"/>
      <c r="AU226" s="133"/>
      <c r="AV226" s="133"/>
      <c r="AW226" s="133"/>
      <c r="AX226" s="133"/>
      <c r="AY226" s="133"/>
      <c r="AZ226" s="133"/>
      <c r="BA226" s="133"/>
      <c r="BB226" s="133"/>
      <c r="BC226" s="133"/>
      <c r="BD226" s="133"/>
      <c r="BE226" s="133"/>
      <c r="BF226" s="133"/>
      <c r="BG226" s="133"/>
      <c r="BH226" s="133"/>
      <c r="BI226" s="133"/>
      <c r="BJ226" s="133"/>
      <c r="BK226" s="133"/>
      <c r="BL226" s="133"/>
      <c r="BM226" s="133"/>
      <c r="BN226" s="133"/>
      <c r="BO226" s="133"/>
      <c r="BP226" s="133"/>
    </row>
    <row r="227" spans="1:68" x14ac:dyDescent="0.55000000000000004">
      <c r="A227" s="161"/>
      <c r="B227" s="161"/>
      <c r="C227" s="161"/>
      <c r="D227" s="161"/>
      <c r="E227" s="144" t="s">
        <v>346</v>
      </c>
      <c r="F227" s="150">
        <v>4</v>
      </c>
      <c r="G227" s="150">
        <v>-16</v>
      </c>
      <c r="H227" s="150">
        <v>94</v>
      </c>
      <c r="I227" s="150">
        <v>64</v>
      </c>
      <c r="J227" s="150">
        <v>32</v>
      </c>
      <c r="K227" s="150">
        <v>-141</v>
      </c>
      <c r="L227" s="150">
        <v>-27</v>
      </c>
      <c r="M227" s="150">
        <v>5</v>
      </c>
      <c r="N227" s="150">
        <v>-67</v>
      </c>
      <c r="O227" s="150">
        <v>15</v>
      </c>
      <c r="P227" s="150">
        <v>-14</v>
      </c>
      <c r="Q227" s="161">
        <v>0</v>
      </c>
      <c r="R227" s="161">
        <v>0</v>
      </c>
      <c r="S227" s="161">
        <v>0</v>
      </c>
      <c r="T227" s="161">
        <v>0</v>
      </c>
      <c r="U227" s="161">
        <v>0</v>
      </c>
      <c r="V227" s="161">
        <v>0</v>
      </c>
      <c r="W227" s="161">
        <v>0</v>
      </c>
      <c r="X227" s="161">
        <v>0</v>
      </c>
      <c r="Y227" s="161">
        <v>0</v>
      </c>
      <c r="Z227" s="161">
        <v>0</v>
      </c>
      <c r="AA227" s="161"/>
      <c r="AB227" s="184"/>
      <c r="AC227" s="184"/>
      <c r="AD227" s="184"/>
      <c r="AE227" s="161"/>
      <c r="AF227" s="161"/>
      <c r="AG227" s="161"/>
      <c r="AH227" s="161"/>
      <c r="AI227" s="161"/>
      <c r="AJ227" s="161"/>
      <c r="AK227" s="161"/>
      <c r="AL227" s="161"/>
      <c r="AM227" s="161"/>
      <c r="AN227" s="161"/>
      <c r="AO227" s="161"/>
      <c r="AP227" s="161"/>
      <c r="AQ227" s="161"/>
      <c r="AR227" s="161"/>
      <c r="AS227" s="161"/>
      <c r="AT227" s="161"/>
      <c r="AU227" s="161"/>
      <c r="AV227" s="161"/>
      <c r="AW227" s="161"/>
      <c r="AX227" s="161"/>
      <c r="AY227" s="161"/>
      <c r="AZ227" s="161"/>
      <c r="BA227" s="161"/>
      <c r="BB227" s="161"/>
      <c r="BC227" s="161"/>
      <c r="BD227" s="161"/>
      <c r="BE227" s="161"/>
      <c r="BF227" s="161"/>
      <c r="BG227" s="161"/>
      <c r="BH227" s="161"/>
      <c r="BI227" s="161"/>
      <c r="BJ227" s="161"/>
      <c r="BK227" s="161"/>
      <c r="BL227" s="161"/>
      <c r="BM227" s="161"/>
      <c r="BN227" s="161"/>
      <c r="BO227" s="161"/>
      <c r="BP227" s="161"/>
    </row>
    <row r="228" spans="1:68" ht="16.149999999999999" thickBot="1" x14ac:dyDescent="0.6">
      <c r="A228" s="133"/>
      <c r="B228" s="133"/>
      <c r="C228" s="133"/>
      <c r="D228" s="133"/>
      <c r="E228" s="144"/>
      <c r="F228" s="144"/>
      <c r="G228" s="144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41"/>
      <c r="AC228" s="141"/>
      <c r="AD228" s="141"/>
      <c r="AE228" s="133"/>
      <c r="AF228" s="133"/>
      <c r="AG228" s="133"/>
      <c r="AH228" s="133"/>
      <c r="AI228" s="133"/>
      <c r="AJ228" s="133"/>
      <c r="AK228" s="133"/>
      <c r="AL228" s="133"/>
      <c r="AM228" s="133"/>
      <c r="AN228" s="133"/>
      <c r="AO228" s="133"/>
      <c r="AP228" s="133"/>
      <c r="AQ228" s="133"/>
      <c r="AR228" s="133"/>
      <c r="AS228" s="133"/>
      <c r="AT228" s="133"/>
      <c r="AU228" s="133"/>
      <c r="AV228" s="133"/>
      <c r="AW228" s="133"/>
      <c r="AX228" s="133"/>
      <c r="AY228" s="133"/>
      <c r="AZ228" s="133"/>
      <c r="BA228" s="133"/>
      <c r="BB228" s="133"/>
      <c r="BC228" s="133"/>
      <c r="BD228" s="133"/>
      <c r="BE228" s="133"/>
      <c r="BF228" s="133"/>
      <c r="BG228" s="133"/>
      <c r="BH228" s="133"/>
      <c r="BI228" s="133"/>
      <c r="BJ228" s="133"/>
      <c r="BK228" s="133"/>
      <c r="BL228" s="133"/>
      <c r="BM228" s="133"/>
      <c r="BN228" s="133"/>
      <c r="BO228" s="133"/>
      <c r="BP228" s="133"/>
    </row>
    <row r="229" spans="1:68" x14ac:dyDescent="0.55000000000000004">
      <c r="A229" s="216"/>
      <c r="B229" s="216"/>
      <c r="C229" s="216"/>
      <c r="D229" s="216"/>
      <c r="E229" s="217" t="s">
        <v>347</v>
      </c>
      <c r="F229" s="216">
        <v>477</v>
      </c>
      <c r="G229" s="216">
        <v>-156</v>
      </c>
      <c r="H229" s="216">
        <v>1324</v>
      </c>
      <c r="I229" s="216">
        <v>751</v>
      </c>
      <c r="J229" s="216">
        <v>785</v>
      </c>
      <c r="K229" s="216">
        <v>103</v>
      </c>
      <c r="L229" s="216">
        <v>-735</v>
      </c>
      <c r="M229" s="216">
        <v>31</v>
      </c>
      <c r="N229" s="216">
        <v>175</v>
      </c>
      <c r="O229" s="216">
        <v>-643</v>
      </c>
      <c r="P229" s="216">
        <v>-45</v>
      </c>
      <c r="Q229" s="216">
        <v>-480.63261972233488</v>
      </c>
      <c r="R229" s="216">
        <v>30.903726759935807</v>
      </c>
      <c r="S229" s="216">
        <v>165.84850917177465</v>
      </c>
      <c r="T229" s="216">
        <v>1021.3718903356307</v>
      </c>
      <c r="U229" s="216">
        <v>1130.5907223966037</v>
      </c>
      <c r="V229" s="216">
        <v>1275.2957895094069</v>
      </c>
      <c r="W229" s="216">
        <v>1368.3482838229465</v>
      </c>
      <c r="X229" s="216">
        <v>1545.04281047933</v>
      </c>
      <c r="Y229" s="216">
        <v>1702.5436515337035</v>
      </c>
      <c r="Z229" s="216">
        <v>1937.0279737659607</v>
      </c>
      <c r="AA229" s="216"/>
      <c r="AB229" s="218"/>
      <c r="AC229" s="218"/>
      <c r="AD229" s="218"/>
      <c r="AE229" s="216"/>
      <c r="AF229" s="216"/>
      <c r="AG229" s="216"/>
      <c r="AH229" s="216"/>
      <c r="AI229" s="216"/>
      <c r="AJ229" s="216"/>
      <c r="AK229" s="216"/>
      <c r="AL229" s="216"/>
      <c r="AM229" s="216"/>
      <c r="AN229" s="216"/>
      <c r="AO229" s="216"/>
      <c r="AP229" s="216"/>
      <c r="AQ229" s="216"/>
      <c r="AR229" s="216"/>
      <c r="AS229" s="216"/>
      <c r="AT229" s="216"/>
      <c r="AU229" s="216"/>
      <c r="AV229" s="216"/>
      <c r="AW229" s="216"/>
      <c r="AX229" s="216"/>
      <c r="AY229" s="216"/>
      <c r="AZ229" s="216"/>
      <c r="BA229" s="216"/>
      <c r="BB229" s="216"/>
      <c r="BC229" s="216"/>
      <c r="BD229" s="216"/>
      <c r="BE229" s="216"/>
      <c r="BF229" s="216"/>
      <c r="BG229" s="216"/>
      <c r="BH229" s="216"/>
      <c r="BI229" s="216"/>
      <c r="BJ229" s="216"/>
      <c r="BK229" s="216"/>
      <c r="BL229" s="216"/>
      <c r="BM229" s="216"/>
      <c r="BN229" s="216"/>
      <c r="BO229" s="216"/>
      <c r="BP229" s="216"/>
    </row>
    <row r="230" spans="1:68" x14ac:dyDescent="0.55000000000000004">
      <c r="A230" s="133"/>
      <c r="B230" s="133"/>
      <c r="C230" s="133"/>
      <c r="D230" s="133"/>
      <c r="E230" s="144"/>
      <c r="F230" s="144"/>
      <c r="G230" s="144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41"/>
      <c r="AC230" s="141"/>
      <c r="AD230" s="141"/>
      <c r="AE230" s="133"/>
      <c r="AF230" s="133"/>
      <c r="AG230" s="133"/>
      <c r="AH230" s="133"/>
      <c r="AI230" s="133"/>
      <c r="AJ230" s="133"/>
      <c r="AK230" s="133"/>
      <c r="AL230" s="133"/>
      <c r="AM230" s="133"/>
      <c r="AN230" s="133"/>
      <c r="AO230" s="133"/>
      <c r="AP230" s="133"/>
      <c r="AQ230" s="133"/>
      <c r="AR230" s="133"/>
      <c r="AS230" s="133"/>
      <c r="AT230" s="133"/>
      <c r="AU230" s="133"/>
      <c r="AV230" s="133"/>
      <c r="AW230" s="133"/>
      <c r="AX230" s="133"/>
      <c r="AY230" s="133"/>
      <c r="AZ230" s="133"/>
      <c r="BA230" s="133"/>
      <c r="BB230" s="133"/>
      <c r="BC230" s="133"/>
      <c r="BD230" s="133"/>
      <c r="BE230" s="133"/>
      <c r="BF230" s="133"/>
      <c r="BG230" s="133"/>
      <c r="BH230" s="133"/>
      <c r="BI230" s="133"/>
      <c r="BJ230" s="133"/>
      <c r="BK230" s="133"/>
      <c r="BL230" s="133"/>
      <c r="BM230" s="133"/>
      <c r="BN230" s="133"/>
      <c r="BO230" s="133"/>
      <c r="BP230" s="133"/>
    </row>
    <row r="231" spans="1:68" x14ac:dyDescent="0.55000000000000004">
      <c r="A231" s="161"/>
      <c r="B231" s="161"/>
      <c r="C231" s="161"/>
      <c r="D231" s="161"/>
      <c r="E231" s="144" t="s">
        <v>348</v>
      </c>
      <c r="F231" s="144"/>
      <c r="G231" s="161">
        <v>-157</v>
      </c>
      <c r="H231" s="161">
        <v>1324</v>
      </c>
      <c r="I231" s="161">
        <v>747</v>
      </c>
      <c r="J231" s="161">
        <v>785</v>
      </c>
      <c r="K231" s="161">
        <v>103</v>
      </c>
      <c r="L231" s="161">
        <v>-735</v>
      </c>
      <c r="M231" s="161">
        <v>-30</v>
      </c>
      <c r="N231" s="161">
        <v>175</v>
      </c>
      <c r="O231" s="161">
        <v>-643</v>
      </c>
      <c r="P231" s="161">
        <v>-42</v>
      </c>
      <c r="Q231" s="161">
        <v>-480.63261972233522</v>
      </c>
      <c r="R231" s="161">
        <v>30.903726759941492</v>
      </c>
      <c r="S231" s="161">
        <v>165.84850917176664</v>
      </c>
      <c r="T231" s="161">
        <v>1021.3718903356312</v>
      </c>
      <c r="U231" s="161">
        <v>1130.590722396606</v>
      </c>
      <c r="V231" s="161">
        <v>1275.2957895094078</v>
      </c>
      <c r="W231" s="161">
        <v>1368.3482838229429</v>
      </c>
      <c r="X231" s="161">
        <v>1545.0428104793318</v>
      </c>
      <c r="Y231" s="161">
        <v>1702.543651533706</v>
      </c>
      <c r="Z231" s="161">
        <v>1937.0279737659548</v>
      </c>
      <c r="AA231" s="161"/>
      <c r="AB231" s="184"/>
      <c r="AC231" s="184"/>
      <c r="AD231" s="184"/>
      <c r="AE231" s="161"/>
      <c r="AF231" s="161"/>
      <c r="AG231" s="161"/>
      <c r="AH231" s="161"/>
      <c r="AI231" s="161"/>
      <c r="AJ231" s="161"/>
      <c r="AK231" s="161"/>
      <c r="AL231" s="161"/>
      <c r="AM231" s="161"/>
      <c r="AN231" s="161"/>
      <c r="AO231" s="161"/>
      <c r="AP231" s="161"/>
      <c r="AQ231" s="161"/>
      <c r="AR231" s="161"/>
      <c r="AS231" s="161"/>
      <c r="AT231" s="161"/>
      <c r="AU231" s="161"/>
      <c r="AV231" s="161"/>
      <c r="AW231" s="161"/>
      <c r="AX231" s="161"/>
      <c r="AY231" s="161"/>
      <c r="AZ231" s="161"/>
      <c r="BA231" s="161"/>
      <c r="BB231" s="161"/>
      <c r="BC231" s="161"/>
      <c r="BD231" s="161"/>
      <c r="BE231" s="161"/>
      <c r="BF231" s="161"/>
      <c r="BG231" s="161"/>
      <c r="BH231" s="161"/>
      <c r="BI231" s="161"/>
      <c r="BJ231" s="161"/>
      <c r="BK231" s="161"/>
      <c r="BL231" s="161"/>
      <c r="BM231" s="161"/>
      <c r="BN231" s="161"/>
      <c r="BO231" s="161"/>
      <c r="BP231" s="161"/>
    </row>
    <row r="232" spans="1:68" x14ac:dyDescent="0.55000000000000004">
      <c r="A232" s="161"/>
      <c r="B232" s="161"/>
      <c r="C232" s="161"/>
      <c r="D232" s="161"/>
      <c r="E232" s="144" t="s">
        <v>70</v>
      </c>
      <c r="F232" s="144"/>
      <c r="G232" s="161">
        <v>1</v>
      </c>
      <c r="H232" s="161">
        <v>0</v>
      </c>
      <c r="I232" s="161">
        <v>4</v>
      </c>
      <c r="J232" s="161">
        <v>0</v>
      </c>
      <c r="K232" s="161">
        <v>0</v>
      </c>
      <c r="L232" s="161">
        <v>0</v>
      </c>
      <c r="M232" s="161">
        <v>61</v>
      </c>
      <c r="N232" s="161">
        <v>0</v>
      </c>
      <c r="O232" s="161">
        <v>0</v>
      </c>
      <c r="P232" s="161">
        <v>-3</v>
      </c>
      <c r="Q232" s="161">
        <v>0</v>
      </c>
      <c r="R232" s="161">
        <v>-5.6843418860808015E-12</v>
      </c>
      <c r="S232" s="161">
        <v>8.0149220593739301E-12</v>
      </c>
      <c r="T232" s="161">
        <v>0</v>
      </c>
      <c r="U232" s="161">
        <v>-2.2737367544323206E-12</v>
      </c>
      <c r="V232" s="161">
        <v>0</v>
      </c>
      <c r="W232" s="161">
        <v>3.637978807091713E-12</v>
      </c>
      <c r="X232" s="161">
        <v>-1.8189894035458565E-12</v>
      </c>
      <c r="Y232" s="161">
        <v>-2.5011104298755527E-12</v>
      </c>
      <c r="Z232" s="161">
        <v>5.9117155615240335E-12</v>
      </c>
      <c r="AA232" s="161"/>
      <c r="AB232" s="184"/>
      <c r="AC232" s="184"/>
      <c r="AD232" s="184"/>
      <c r="AE232" s="161"/>
      <c r="AF232" s="161"/>
      <c r="AG232" s="161"/>
      <c r="AH232" s="161"/>
      <c r="AI232" s="161"/>
      <c r="AJ232" s="161"/>
      <c r="AK232" s="161"/>
      <c r="AL232" s="161"/>
      <c r="AM232" s="161"/>
      <c r="AN232" s="161"/>
      <c r="AO232" s="161"/>
      <c r="AP232" s="161"/>
      <c r="AQ232" s="161"/>
      <c r="AR232" s="161"/>
      <c r="AS232" s="161"/>
      <c r="AT232" s="161"/>
      <c r="AU232" s="161"/>
      <c r="AV232" s="161"/>
      <c r="AW232" s="161"/>
      <c r="AX232" s="161"/>
      <c r="AY232" s="161"/>
      <c r="AZ232" s="161"/>
      <c r="BA232" s="161"/>
      <c r="BB232" s="161"/>
      <c r="BC232" s="161"/>
      <c r="BD232" s="161"/>
      <c r="BE232" s="161"/>
      <c r="BF232" s="161"/>
      <c r="BG232" s="161"/>
      <c r="BH232" s="161"/>
      <c r="BI232" s="161"/>
      <c r="BJ232" s="161"/>
      <c r="BK232" s="161"/>
      <c r="BL232" s="161"/>
      <c r="BM232" s="161"/>
      <c r="BN232" s="161"/>
      <c r="BO232" s="161"/>
      <c r="BP232" s="161"/>
    </row>
    <row r="233" spans="1:68" x14ac:dyDescent="0.55000000000000004">
      <c r="A233" s="133"/>
      <c r="B233" s="133"/>
      <c r="C233" s="133"/>
      <c r="D233" s="133"/>
      <c r="E233" s="144"/>
      <c r="F233" s="144"/>
      <c r="G233" s="144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41"/>
      <c r="AC233" s="141"/>
      <c r="AD233" s="141"/>
      <c r="AE233" s="133"/>
      <c r="AF233" s="133"/>
      <c r="AG233" s="133"/>
      <c r="AH233" s="133"/>
      <c r="AI233" s="133"/>
      <c r="AJ233" s="133"/>
      <c r="AK233" s="133"/>
      <c r="AL233" s="133"/>
      <c r="AM233" s="133"/>
      <c r="AN233" s="133"/>
      <c r="AO233" s="133"/>
      <c r="AP233" s="133"/>
      <c r="AQ233" s="133"/>
      <c r="AR233" s="133"/>
      <c r="AS233" s="133"/>
      <c r="AT233" s="133"/>
      <c r="AU233" s="133"/>
      <c r="AV233" s="133"/>
      <c r="AW233" s="133"/>
      <c r="AX233" s="133"/>
      <c r="AY233" s="133"/>
      <c r="AZ233" s="133"/>
      <c r="BA233" s="133"/>
      <c r="BB233" s="133"/>
      <c r="BC233" s="133"/>
      <c r="BD233" s="133"/>
      <c r="BE233" s="133"/>
      <c r="BF233" s="133"/>
      <c r="BG233" s="133"/>
      <c r="BH233" s="133"/>
      <c r="BI233" s="133"/>
      <c r="BJ233" s="133"/>
      <c r="BK233" s="133"/>
      <c r="BL233" s="133"/>
      <c r="BM233" s="133"/>
      <c r="BN233" s="133"/>
      <c r="BO233" s="133"/>
      <c r="BP233" s="133"/>
    </row>
    <row r="234" spans="1:68" x14ac:dyDescent="0.55000000000000004">
      <c r="A234" s="142"/>
      <c r="B234" s="142"/>
      <c r="C234" s="142"/>
      <c r="D234" s="142"/>
      <c r="E234" s="144"/>
      <c r="F234" s="144"/>
      <c r="G234" s="144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41"/>
      <c r="AC234" s="141"/>
      <c r="AD234" s="141"/>
      <c r="AE234" s="133"/>
      <c r="AF234" s="133"/>
      <c r="AG234" s="133"/>
      <c r="AH234" s="133"/>
      <c r="AI234" s="133"/>
      <c r="AJ234" s="133"/>
      <c r="AK234" s="133"/>
      <c r="AL234" s="133"/>
      <c r="AM234" s="133"/>
      <c r="AN234" s="133"/>
      <c r="AO234" s="133"/>
      <c r="AP234" s="133"/>
      <c r="AQ234" s="133"/>
      <c r="AR234" s="133"/>
      <c r="AS234" s="133"/>
      <c r="AT234" s="133"/>
      <c r="AU234" s="133"/>
      <c r="AV234" s="133"/>
      <c r="AW234" s="133"/>
      <c r="AX234" s="133"/>
      <c r="AY234" s="133"/>
      <c r="AZ234" s="133"/>
      <c r="BA234" s="133"/>
      <c r="BB234" s="133"/>
      <c r="BC234" s="133"/>
      <c r="BD234" s="133"/>
      <c r="BE234" s="133"/>
      <c r="BF234" s="133"/>
      <c r="BG234" s="133"/>
      <c r="BH234" s="133"/>
      <c r="BI234" s="133"/>
      <c r="BJ234" s="133"/>
      <c r="BK234" s="133"/>
      <c r="BL234" s="133"/>
      <c r="BM234" s="133"/>
      <c r="BN234" s="133"/>
      <c r="BO234" s="133"/>
      <c r="BP234" s="133"/>
    </row>
    <row r="235" spans="1:68" x14ac:dyDescent="0.55000000000000004">
      <c r="A235" s="203" t="s">
        <v>349</v>
      </c>
      <c r="B235" s="203"/>
      <c r="C235" s="20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  <c r="AA235" s="203"/>
      <c r="AB235" s="204"/>
      <c r="AC235" s="204"/>
      <c r="AD235" s="204"/>
      <c r="AE235" s="203"/>
      <c r="AF235" s="203"/>
      <c r="AG235" s="203"/>
      <c r="AH235" s="203"/>
      <c r="AI235" s="203"/>
      <c r="AJ235" s="203"/>
      <c r="AK235" s="203"/>
      <c r="AL235" s="203"/>
      <c r="AM235" s="203"/>
      <c r="AN235" s="203"/>
      <c r="AO235" s="203"/>
      <c r="AP235" s="203"/>
      <c r="AQ235" s="203"/>
      <c r="AR235" s="203"/>
      <c r="AS235" s="203"/>
      <c r="AT235" s="203"/>
      <c r="AU235" s="203"/>
      <c r="AV235" s="203"/>
      <c r="AW235" s="203"/>
      <c r="AX235" s="203"/>
      <c r="AY235" s="203"/>
      <c r="AZ235" s="203"/>
      <c r="BA235" s="203"/>
      <c r="BB235" s="203"/>
      <c r="BC235" s="203"/>
      <c r="BD235" s="203"/>
      <c r="BE235" s="203"/>
      <c r="BF235" s="203"/>
      <c r="BG235" s="203"/>
      <c r="BH235" s="203"/>
      <c r="BI235" s="203"/>
      <c r="BJ235" s="203"/>
      <c r="BK235" s="203"/>
      <c r="BL235" s="203"/>
      <c r="BM235" s="203"/>
      <c r="BN235" s="203"/>
      <c r="BO235" s="203"/>
      <c r="BP235" s="203"/>
    </row>
    <row r="236" spans="1:68" x14ac:dyDescent="0.55000000000000004">
      <c r="A236" s="133"/>
      <c r="B236" s="133"/>
      <c r="C236" s="133"/>
      <c r="D236" s="133"/>
      <c r="E236" s="144"/>
      <c r="F236" s="144"/>
      <c r="G236" s="144"/>
      <c r="H236" s="144"/>
      <c r="I236" s="133"/>
      <c r="J236" s="133"/>
      <c r="K236" s="133"/>
      <c r="L236" s="133"/>
      <c r="M236" s="133"/>
      <c r="N236" s="133"/>
      <c r="O236" s="133"/>
      <c r="P236" s="133"/>
      <c r="Q236" s="219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41"/>
      <c r="AC236" s="141"/>
      <c r="AD236" s="141"/>
      <c r="AE236" s="133"/>
      <c r="AF236" s="133"/>
      <c r="AG236" s="133"/>
      <c r="AH236" s="133"/>
      <c r="AI236" s="133"/>
      <c r="AJ236" s="133"/>
      <c r="AK236" s="133"/>
      <c r="AL236" s="133"/>
      <c r="AM236" s="133"/>
      <c r="AN236" s="133"/>
      <c r="AO236" s="133"/>
      <c r="AP236" s="133"/>
      <c r="AQ236" s="133"/>
      <c r="AR236" s="133"/>
      <c r="AS236" s="133"/>
      <c r="AT236" s="133"/>
      <c r="AU236" s="133"/>
      <c r="AV236" s="133"/>
      <c r="AW236" s="133"/>
      <c r="AX236" s="133"/>
      <c r="AY236" s="133"/>
      <c r="AZ236" s="133"/>
      <c r="BA236" s="133"/>
      <c r="BB236" s="133"/>
      <c r="BC236" s="133"/>
      <c r="BD236" s="133"/>
      <c r="BE236" s="133"/>
      <c r="BF236" s="133"/>
      <c r="BG236" s="133"/>
      <c r="BH236" s="133"/>
      <c r="BI236" s="133"/>
      <c r="BJ236" s="133"/>
      <c r="BK236" s="133"/>
      <c r="BL236" s="133"/>
      <c r="BM236" s="133"/>
      <c r="BN236" s="133"/>
      <c r="BO236" s="133"/>
      <c r="BP236" s="133"/>
    </row>
    <row r="237" spans="1:68" x14ac:dyDescent="0.55000000000000004">
      <c r="A237" s="133"/>
      <c r="B237" s="133"/>
      <c r="C237" s="133"/>
      <c r="D237" s="133"/>
      <c r="E237" s="144"/>
      <c r="F237" s="144"/>
      <c r="G237" s="144"/>
      <c r="H237" s="144"/>
      <c r="I237" s="133"/>
      <c r="J237" s="133"/>
      <c r="K237" s="133"/>
      <c r="L237" s="133"/>
      <c r="M237" s="133"/>
      <c r="N237" s="133"/>
      <c r="O237" s="133"/>
      <c r="P237" s="133"/>
      <c r="Q237" s="220"/>
      <c r="R237" s="221" t="s">
        <v>350</v>
      </c>
      <c r="S237" s="133"/>
      <c r="T237" s="133"/>
      <c r="U237" s="133"/>
      <c r="V237" s="133"/>
      <c r="W237" s="133"/>
      <c r="X237" s="133"/>
      <c r="Y237" s="133"/>
      <c r="Z237" s="133"/>
      <c r="AA237" s="133"/>
      <c r="AB237" s="141"/>
      <c r="AC237" s="141"/>
      <c r="AD237" s="141"/>
      <c r="AE237" s="133"/>
      <c r="AF237" s="133"/>
      <c r="AG237" s="133"/>
      <c r="AH237" s="133"/>
      <c r="AI237" s="133"/>
      <c r="AJ237" s="133"/>
      <c r="AK237" s="133"/>
      <c r="AL237" s="133"/>
      <c r="AM237" s="133"/>
      <c r="AN237" s="133"/>
      <c r="AO237" s="133"/>
      <c r="AP237" s="133"/>
      <c r="AQ237" s="133"/>
      <c r="AR237" s="133"/>
      <c r="AS237" s="133"/>
      <c r="AT237" s="133"/>
      <c r="AU237" s="133"/>
      <c r="AV237" s="133"/>
      <c r="AW237" s="133"/>
      <c r="AX237" s="133"/>
      <c r="AY237" s="133"/>
      <c r="AZ237" s="133"/>
      <c r="BA237" s="133"/>
      <c r="BB237" s="133"/>
      <c r="BC237" s="133"/>
      <c r="BD237" s="133"/>
      <c r="BE237" s="133"/>
      <c r="BF237" s="133"/>
      <c r="BG237" s="133"/>
      <c r="BH237" s="133"/>
      <c r="BI237" s="133"/>
      <c r="BJ237" s="133"/>
      <c r="BK237" s="133"/>
      <c r="BL237" s="133"/>
      <c r="BM237" s="133"/>
      <c r="BN237" s="133"/>
      <c r="BO237" s="133"/>
      <c r="BP237" s="133"/>
    </row>
    <row r="238" spans="1:68" x14ac:dyDescent="0.55000000000000004">
      <c r="A238" s="133"/>
      <c r="B238" s="133"/>
      <c r="C238" s="133"/>
      <c r="D238" s="133"/>
      <c r="E238" s="144" t="s">
        <v>351</v>
      </c>
      <c r="F238" s="144"/>
      <c r="G238" s="144"/>
      <c r="H238" s="144"/>
      <c r="I238" s="133"/>
      <c r="J238" s="133"/>
      <c r="K238" s="133"/>
      <c r="L238" s="133"/>
      <c r="M238" s="133"/>
      <c r="N238" s="133"/>
      <c r="O238" s="133"/>
      <c r="P238" s="133"/>
      <c r="Q238" s="222">
        <v>7709.0974446336968</v>
      </c>
      <c r="R238" s="223">
        <v>0.31603402995179447</v>
      </c>
      <c r="S238" s="133"/>
      <c r="T238" s="133"/>
      <c r="U238" s="133"/>
      <c r="V238" s="133"/>
      <c r="W238" s="133"/>
      <c r="X238" s="133"/>
      <c r="Y238" s="133"/>
      <c r="Z238" s="133"/>
      <c r="AA238" s="133"/>
      <c r="AB238" s="141"/>
      <c r="AC238" s="141"/>
      <c r="AD238" s="141"/>
      <c r="AE238" s="133"/>
      <c r="AF238" s="133"/>
      <c r="AG238" s="133"/>
      <c r="AH238" s="133"/>
      <c r="AI238" s="133"/>
      <c r="AJ238" s="133"/>
      <c r="AK238" s="133"/>
      <c r="AL238" s="133"/>
      <c r="AM238" s="133"/>
      <c r="AN238" s="133"/>
      <c r="AO238" s="133"/>
      <c r="AP238" s="133"/>
      <c r="AQ238" s="133"/>
      <c r="AR238" s="133"/>
      <c r="AS238" s="133"/>
      <c r="AT238" s="133"/>
      <c r="AU238" s="133"/>
      <c r="AV238" s="133"/>
      <c r="AW238" s="133"/>
      <c r="AX238" s="133"/>
      <c r="AY238" s="133"/>
      <c r="AZ238" s="133"/>
      <c r="BA238" s="133"/>
      <c r="BB238" s="133"/>
      <c r="BC238" s="133"/>
      <c r="BD238" s="133"/>
      <c r="BE238" s="133"/>
      <c r="BF238" s="133"/>
      <c r="BG238" s="133"/>
      <c r="BH238" s="133"/>
      <c r="BI238" s="133"/>
      <c r="BJ238" s="133"/>
      <c r="BK238" s="133"/>
      <c r="BL238" s="133"/>
      <c r="BM238" s="133"/>
      <c r="BN238" s="133"/>
      <c r="BO238" s="133"/>
      <c r="BP238" s="133"/>
    </row>
    <row r="239" spans="1:68" x14ac:dyDescent="0.55000000000000004">
      <c r="A239" s="133"/>
      <c r="B239" s="133"/>
      <c r="C239" s="133"/>
      <c r="D239" s="133"/>
      <c r="E239" s="144" t="s">
        <v>352</v>
      </c>
      <c r="F239" s="144"/>
      <c r="G239" s="144"/>
      <c r="H239" s="144"/>
      <c r="I239" s="133"/>
      <c r="J239" s="133"/>
      <c r="K239" s="133"/>
      <c r="L239" s="133"/>
      <c r="M239" s="133"/>
      <c r="N239" s="133"/>
      <c r="O239" s="133"/>
      <c r="P239" s="133"/>
      <c r="Q239" s="222">
        <v>826.73903015942778</v>
      </c>
      <c r="R239" s="223">
        <v>3.3892121522163081E-2</v>
      </c>
      <c r="S239" s="133"/>
      <c r="T239" s="133"/>
      <c r="U239" s="133"/>
      <c r="V239" s="133"/>
      <c r="W239" s="133"/>
      <c r="X239" s="133"/>
      <c r="Y239" s="133"/>
      <c r="Z239" s="144"/>
      <c r="AA239" s="133"/>
      <c r="AB239" s="141"/>
      <c r="AC239" s="141"/>
      <c r="AD239" s="224"/>
      <c r="AE239" s="142"/>
      <c r="AF239" s="142"/>
      <c r="AG239" s="142"/>
      <c r="AH239" s="225">
        <v>2023</v>
      </c>
      <c r="AI239" s="142"/>
      <c r="AJ239" s="142"/>
      <c r="AK239" s="142"/>
      <c r="AL239" s="142"/>
      <c r="AM239" s="225">
        <v>2024</v>
      </c>
      <c r="AN239" s="142"/>
      <c r="AO239" s="142"/>
      <c r="AP239" s="142"/>
      <c r="AQ239" s="142"/>
      <c r="AR239" s="225">
        <v>2025</v>
      </c>
      <c r="AS239" s="142"/>
      <c r="AT239" s="142"/>
      <c r="AU239" s="142"/>
      <c r="AV239" s="142"/>
      <c r="AW239" s="225">
        <v>2026</v>
      </c>
      <c r="AX239" s="142"/>
      <c r="AY239" s="142"/>
      <c r="AZ239" s="142"/>
      <c r="BA239" s="142"/>
      <c r="BB239" s="225">
        <v>2027</v>
      </c>
      <c r="BC239" s="142"/>
      <c r="BD239" s="142"/>
      <c r="BE239" s="133"/>
      <c r="BF239" s="133"/>
      <c r="BG239" s="133"/>
      <c r="BH239" s="133"/>
      <c r="BI239" s="133"/>
      <c r="BJ239" s="133"/>
      <c r="BK239" s="133"/>
      <c r="BL239" s="133"/>
      <c r="BM239" s="133"/>
      <c r="BN239" s="133"/>
      <c r="BO239" s="133"/>
      <c r="BP239" s="133"/>
    </row>
    <row r="240" spans="1:68" x14ac:dyDescent="0.55000000000000004">
      <c r="A240" s="133"/>
      <c r="B240" s="133"/>
      <c r="C240" s="133"/>
      <c r="D240" s="133"/>
      <c r="E240" s="144" t="s">
        <v>353</v>
      </c>
      <c r="F240" s="144"/>
      <c r="G240" s="144"/>
      <c r="H240" s="144"/>
      <c r="I240" s="133"/>
      <c r="J240" s="133"/>
      <c r="K240" s="133"/>
      <c r="L240" s="133"/>
      <c r="M240" s="133"/>
      <c r="N240" s="133"/>
      <c r="O240" s="133"/>
      <c r="P240" s="133"/>
      <c r="Q240" s="222">
        <v>15857.414612153387</v>
      </c>
      <c r="R240" s="223">
        <v>0.65007384852604244</v>
      </c>
      <c r="S240" s="133"/>
      <c r="T240" s="133"/>
      <c r="U240" s="133"/>
      <c r="V240" s="133"/>
      <c r="W240" s="133"/>
      <c r="X240" s="133"/>
      <c r="Y240" s="133"/>
      <c r="Z240" s="144"/>
      <c r="AA240" s="133"/>
      <c r="AB240" s="141"/>
      <c r="AC240" s="141"/>
      <c r="AD240" s="224"/>
      <c r="AE240" s="142" t="s">
        <v>354</v>
      </c>
      <c r="AF240" s="226"/>
      <c r="AG240" s="227">
        <v>-101.99776129131098</v>
      </c>
      <c r="AH240" s="227"/>
      <c r="AI240" s="227"/>
      <c r="AJ240" s="227"/>
      <c r="AK240" s="227"/>
      <c r="AL240" s="227">
        <v>602.21618153795066</v>
      </c>
      <c r="AM240" s="227"/>
      <c r="AN240" s="227"/>
      <c r="AO240" s="227"/>
      <c r="AP240" s="227"/>
      <c r="AQ240" s="227">
        <v>1092.0245599483078</v>
      </c>
      <c r="AR240" s="227"/>
      <c r="AS240" s="227"/>
      <c r="AT240" s="227"/>
      <c r="AU240" s="227"/>
      <c r="AV240" s="227">
        <v>1548.0951121664191</v>
      </c>
      <c r="AW240" s="227"/>
      <c r="AX240" s="227"/>
      <c r="AY240" s="227"/>
      <c r="AZ240" s="227"/>
      <c r="BA240" s="227">
        <v>1858.6304283737688</v>
      </c>
      <c r="BB240" s="227"/>
      <c r="BC240" s="227"/>
      <c r="BD240" s="142"/>
      <c r="BE240" s="144"/>
      <c r="BF240" s="144"/>
      <c r="BG240" s="144"/>
      <c r="BH240" s="144"/>
      <c r="BI240" s="144"/>
      <c r="BJ240" s="144"/>
      <c r="BK240" s="144"/>
      <c r="BL240" s="144"/>
      <c r="BM240" s="144"/>
      <c r="BN240" s="144"/>
      <c r="BO240" s="144"/>
      <c r="BP240" s="144"/>
    </row>
    <row r="241" spans="1:68" x14ac:dyDescent="0.55000000000000004">
      <c r="A241" s="176"/>
      <c r="B241" s="176"/>
      <c r="C241" s="176"/>
      <c r="D241" s="176"/>
      <c r="E241" s="176" t="s">
        <v>45</v>
      </c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228">
        <v>24393.251086946511</v>
      </c>
      <c r="R241" s="229">
        <v>1</v>
      </c>
      <c r="S241" s="176"/>
      <c r="T241" s="176"/>
      <c r="U241" s="176"/>
      <c r="V241" s="176"/>
      <c r="W241" s="176"/>
      <c r="X241" s="176"/>
      <c r="Y241" s="176"/>
      <c r="Z241" s="176"/>
      <c r="AA241" s="176"/>
      <c r="AB241" s="194"/>
      <c r="AC241" s="194"/>
      <c r="AD241" s="230"/>
      <c r="AE241" s="142" t="s">
        <v>355</v>
      </c>
      <c r="AF241" s="231"/>
      <c r="AG241" s="227"/>
      <c r="AH241" s="227">
        <v>-279.34568465113193</v>
      </c>
      <c r="AI241" s="227"/>
      <c r="AJ241" s="227"/>
      <c r="AK241" s="227"/>
      <c r="AL241" s="227"/>
      <c r="AM241" s="227">
        <v>-507.07700817853538</v>
      </c>
      <c r="AN241" s="227"/>
      <c r="AO241" s="227"/>
      <c r="AP241" s="227"/>
      <c r="AQ241" s="227"/>
      <c r="AR241" s="227">
        <v>-784.54544147197169</v>
      </c>
      <c r="AS241" s="227"/>
      <c r="AT241" s="227"/>
      <c r="AU241" s="227"/>
      <c r="AV241" s="227"/>
      <c r="AW241" s="227">
        <v>-239.19069385635203</v>
      </c>
      <c r="AX241" s="227"/>
      <c r="AY241" s="227"/>
      <c r="AZ241" s="227"/>
      <c r="BA241" s="227"/>
      <c r="BB241" s="227">
        <v>-303.56208673989568</v>
      </c>
      <c r="BC241" s="227"/>
      <c r="BD241" s="142"/>
      <c r="BE241" s="144"/>
      <c r="BF241" s="144"/>
      <c r="BG241" s="144"/>
      <c r="BH241" s="144"/>
      <c r="BI241" s="144"/>
      <c r="BJ241" s="144"/>
      <c r="BK241" s="176"/>
      <c r="BL241" s="176"/>
      <c r="BM241" s="176"/>
      <c r="BN241" s="176"/>
      <c r="BO241" s="176"/>
      <c r="BP241" s="176"/>
    </row>
    <row r="242" spans="1:68" x14ac:dyDescent="0.55000000000000004">
      <c r="A242" s="133"/>
      <c r="B242" s="133"/>
      <c r="C242" s="133"/>
      <c r="D242" s="133"/>
      <c r="E242" s="144"/>
      <c r="F242" s="144"/>
      <c r="G242" s="144"/>
      <c r="H242" s="144"/>
      <c r="I242" s="133"/>
      <c r="J242" s="133"/>
      <c r="K242" s="133"/>
      <c r="L242" s="133"/>
      <c r="M242" s="133"/>
      <c r="N242" s="133"/>
      <c r="O242" s="133"/>
      <c r="P242" s="133"/>
      <c r="Q242" s="220"/>
      <c r="R242" s="133"/>
      <c r="S242" s="133"/>
      <c r="T242" s="133"/>
      <c r="U242" s="133"/>
      <c r="V242" s="133"/>
      <c r="W242" s="133"/>
      <c r="X242" s="133"/>
      <c r="Y242" s="133"/>
      <c r="Z242" s="144"/>
      <c r="AA242" s="133"/>
      <c r="AB242" s="141"/>
      <c r="AC242" s="141"/>
      <c r="AD242" s="224"/>
      <c r="AE242" s="142" t="s">
        <v>356</v>
      </c>
      <c r="AF242" s="231"/>
      <c r="AG242" s="227"/>
      <c r="AH242" s="227"/>
      <c r="AI242" s="227">
        <v>-381.34344594244294</v>
      </c>
      <c r="AJ242" s="227"/>
      <c r="AK242" s="227"/>
      <c r="AL242" s="227"/>
      <c r="AM242" s="227"/>
      <c r="AN242" s="227">
        <v>95.139173359415281</v>
      </c>
      <c r="AO242" s="227"/>
      <c r="AP242" s="227"/>
      <c r="AQ242" s="227"/>
      <c r="AR242" s="227"/>
      <c r="AS242" s="227">
        <v>307.47911847633611</v>
      </c>
      <c r="AT242" s="227"/>
      <c r="AU242" s="227"/>
      <c r="AV242" s="227"/>
      <c r="AW242" s="227"/>
      <c r="AX242" s="227">
        <v>1308.9044183100671</v>
      </c>
      <c r="AY242" s="227"/>
      <c r="AZ242" s="227"/>
      <c r="BA242" s="227"/>
      <c r="BB242" s="227"/>
      <c r="BC242" s="227">
        <v>1555.0683416338732</v>
      </c>
      <c r="BD242" s="142"/>
      <c r="BE242" s="144"/>
      <c r="BF242" s="144"/>
      <c r="BG242" s="144"/>
      <c r="BH242" s="144"/>
      <c r="BI242" s="144"/>
      <c r="BJ242" s="144"/>
      <c r="BK242" s="144"/>
      <c r="BL242" s="144"/>
      <c r="BM242" s="144"/>
      <c r="BN242" s="144"/>
      <c r="BO242" s="144"/>
      <c r="BP242" s="144"/>
    </row>
    <row r="243" spans="1:68" x14ac:dyDescent="0.55000000000000004">
      <c r="A243" s="133"/>
      <c r="B243" s="133"/>
      <c r="C243" s="133"/>
      <c r="D243" s="133"/>
      <c r="E243" s="144" t="s">
        <v>357</v>
      </c>
      <c r="F243" s="144"/>
      <c r="G243" s="144"/>
      <c r="H243" s="144"/>
      <c r="I243" s="133"/>
      <c r="J243" s="133"/>
      <c r="K243" s="133"/>
      <c r="L243" s="133"/>
      <c r="M243" s="133"/>
      <c r="N243" s="133"/>
      <c r="O243" s="133"/>
      <c r="P243" s="133"/>
      <c r="Q243" s="222">
        <v>2378</v>
      </c>
      <c r="R243" s="133"/>
      <c r="S243" s="133"/>
      <c r="T243" s="133"/>
      <c r="U243" s="133"/>
      <c r="V243" s="133"/>
      <c r="W243" s="133"/>
      <c r="X243" s="133"/>
      <c r="Y243" s="133"/>
      <c r="Z243" s="144"/>
      <c r="AA243" s="133"/>
      <c r="AB243" s="141"/>
      <c r="AC243" s="141"/>
      <c r="AD243" s="141"/>
      <c r="AE243" s="144"/>
      <c r="AF243" s="144"/>
      <c r="AG243" s="144"/>
      <c r="AH243" s="144"/>
      <c r="AI243" s="144"/>
      <c r="AJ243" s="144"/>
      <c r="AK243" s="144"/>
      <c r="AL243" s="144"/>
      <c r="AM243" s="144"/>
      <c r="AN243" s="144"/>
      <c r="AO243" s="144"/>
      <c r="AP243" s="144"/>
      <c r="AQ243" s="144"/>
      <c r="AR243" s="144"/>
      <c r="AS243" s="144"/>
      <c r="AT243" s="144"/>
      <c r="AU243" s="144"/>
      <c r="AV243" s="144"/>
      <c r="AW243" s="144"/>
      <c r="AX243" s="144"/>
      <c r="AY243" s="144"/>
      <c r="AZ243" s="144"/>
      <c r="BA243" s="144"/>
      <c r="BB243" s="144"/>
      <c r="BC243" s="144"/>
      <c r="BD243" s="144"/>
      <c r="BE243" s="144"/>
      <c r="BF243" s="144"/>
      <c r="BG243" s="144"/>
      <c r="BH243" s="144"/>
      <c r="BI243" s="144"/>
      <c r="BJ243" s="144"/>
      <c r="BK243" s="144"/>
      <c r="BL243" s="144"/>
      <c r="BM243" s="144"/>
      <c r="BN243" s="144"/>
      <c r="BO243" s="144"/>
      <c r="BP243" s="144"/>
    </row>
    <row r="244" spans="1:68" x14ac:dyDescent="0.55000000000000004">
      <c r="A244" s="133"/>
      <c r="B244" s="133"/>
      <c r="C244" s="133"/>
      <c r="D244" s="133"/>
      <c r="E244" s="144" t="s">
        <v>100</v>
      </c>
      <c r="F244" s="144"/>
      <c r="G244" s="144"/>
      <c r="H244" s="144"/>
      <c r="I244" s="133"/>
      <c r="J244" s="133"/>
      <c r="K244" s="133"/>
      <c r="L244" s="133"/>
      <c r="M244" s="133"/>
      <c r="N244" s="133"/>
      <c r="O244" s="133"/>
      <c r="P244" s="133"/>
      <c r="Q244" s="222">
        <v>-2427</v>
      </c>
      <c r="R244" s="133"/>
      <c r="S244" s="133"/>
      <c r="T244" s="133"/>
      <c r="U244" s="133"/>
      <c r="V244" s="133"/>
      <c r="W244" s="133"/>
      <c r="X244" s="133"/>
      <c r="Y244" s="133"/>
      <c r="Z244" s="144"/>
      <c r="AA244" s="133"/>
      <c r="AB244" s="141"/>
      <c r="AC244" s="141"/>
      <c r="AD244" s="224"/>
      <c r="AE244" s="142"/>
      <c r="AF244" s="142"/>
      <c r="AG244" s="142"/>
      <c r="AH244" s="142"/>
      <c r="AI244" s="142"/>
      <c r="AJ244" s="142"/>
      <c r="AK244" s="142"/>
      <c r="AL244" s="142"/>
      <c r="AM244" s="133"/>
      <c r="AN244" s="133"/>
      <c r="AO244" s="133"/>
      <c r="AP244" s="133"/>
      <c r="AQ244" s="133"/>
      <c r="AR244" s="133"/>
      <c r="AS244" s="133"/>
      <c r="AT244" s="133"/>
      <c r="AU244" s="133"/>
      <c r="AV244" s="133"/>
      <c r="AW244" s="133"/>
      <c r="AX244" s="133"/>
      <c r="AY244" s="133"/>
      <c r="AZ244" s="133"/>
      <c r="BA244" s="133"/>
      <c r="BB244" s="133"/>
      <c r="BC244" s="133"/>
      <c r="BD244" s="133"/>
      <c r="BE244" s="133"/>
      <c r="BF244" s="133"/>
      <c r="BG244" s="133"/>
      <c r="BH244" s="133"/>
      <c r="BI244" s="133"/>
      <c r="BJ244" s="133"/>
      <c r="BK244" s="133"/>
      <c r="BL244" s="133"/>
      <c r="BM244" s="133"/>
      <c r="BN244" s="133"/>
      <c r="BO244" s="133"/>
      <c r="BP244" s="133"/>
    </row>
    <row r="245" spans="1:68" x14ac:dyDescent="0.55000000000000004">
      <c r="A245" s="133"/>
      <c r="B245" s="133"/>
      <c r="C245" s="133"/>
      <c r="D245" s="133"/>
      <c r="E245" s="144" t="s">
        <v>294</v>
      </c>
      <c r="F245" s="144"/>
      <c r="G245" s="144"/>
      <c r="H245" s="144"/>
      <c r="I245" s="133"/>
      <c r="J245" s="133"/>
      <c r="K245" s="133"/>
      <c r="L245" s="133"/>
      <c r="M245" s="133"/>
      <c r="N245" s="133"/>
      <c r="O245" s="133"/>
      <c r="P245" s="133"/>
      <c r="Q245" s="222">
        <v>0</v>
      </c>
      <c r="R245" s="133"/>
      <c r="S245" s="133"/>
      <c r="T245" s="133"/>
      <c r="U245" s="133"/>
      <c r="V245" s="133"/>
      <c r="W245" s="133"/>
      <c r="X245" s="133"/>
      <c r="Y245" s="133"/>
      <c r="Z245" s="144"/>
      <c r="AA245" s="133"/>
      <c r="AB245" s="141"/>
      <c r="AC245" s="141"/>
      <c r="AD245" s="224"/>
      <c r="AE245" s="142"/>
      <c r="AF245" s="142"/>
      <c r="AG245" s="142"/>
      <c r="AH245" s="142"/>
      <c r="AI245" s="142"/>
      <c r="AJ245" s="142"/>
      <c r="AK245" s="142"/>
      <c r="AL245" s="142"/>
      <c r="AM245" s="133"/>
      <c r="AN245" s="133"/>
      <c r="AO245" s="133"/>
      <c r="AP245" s="133"/>
      <c r="AQ245" s="133"/>
      <c r="AR245" s="133"/>
      <c r="AS245" s="133"/>
      <c r="AT245" s="133"/>
      <c r="AU245" s="133"/>
      <c r="AV245" s="133"/>
      <c r="AW245" s="133"/>
      <c r="AX245" s="133"/>
      <c r="AY245" s="133"/>
      <c r="AZ245" s="133"/>
      <c r="BA245" s="133"/>
      <c r="BB245" s="133"/>
      <c r="BC245" s="133"/>
      <c r="BD245" s="133"/>
      <c r="BE245" s="133"/>
      <c r="BF245" s="133"/>
      <c r="BG245" s="133"/>
      <c r="BH245" s="133"/>
      <c r="BI245" s="133"/>
      <c r="BJ245" s="133"/>
      <c r="BK245" s="133"/>
      <c r="BL245" s="133"/>
      <c r="BM245" s="133"/>
      <c r="BN245" s="133"/>
      <c r="BO245" s="133"/>
      <c r="BP245" s="133"/>
    </row>
    <row r="246" spans="1:68" x14ac:dyDescent="0.55000000000000004">
      <c r="A246" s="133"/>
      <c r="B246" s="133"/>
      <c r="C246" s="133"/>
      <c r="D246" s="133"/>
      <c r="E246" s="144" t="s">
        <v>358</v>
      </c>
      <c r="F246" s="144"/>
      <c r="G246" s="144"/>
      <c r="H246" s="144"/>
      <c r="I246" s="133"/>
      <c r="J246" s="133"/>
      <c r="K246" s="133"/>
      <c r="L246" s="133"/>
      <c r="M246" s="133"/>
      <c r="N246" s="133"/>
      <c r="O246" s="133"/>
      <c r="P246" s="133"/>
      <c r="Q246" s="232">
        <v>0</v>
      </c>
      <c r="R246" s="133"/>
      <c r="S246" s="133"/>
      <c r="T246" s="133"/>
      <c r="U246" s="133"/>
      <c r="V246" s="133"/>
      <c r="W246" s="133"/>
      <c r="X246" s="133"/>
      <c r="Y246" s="133"/>
      <c r="Z246" s="144"/>
      <c r="AA246" s="133"/>
      <c r="AB246" s="141"/>
      <c r="AC246" s="141"/>
      <c r="AD246" s="224"/>
      <c r="AE246" s="142"/>
      <c r="AF246" s="142"/>
      <c r="AG246" s="142"/>
      <c r="AH246" s="142"/>
      <c r="AI246" s="142"/>
      <c r="AJ246" s="142"/>
      <c r="AK246" s="142"/>
      <c r="AL246" s="142"/>
      <c r="AM246" s="133"/>
      <c r="AN246" s="133"/>
      <c r="AO246" s="133"/>
      <c r="AP246" s="133"/>
      <c r="AQ246" s="133"/>
      <c r="AR246" s="133"/>
      <c r="AS246" s="133"/>
      <c r="AT246" s="133"/>
      <c r="AU246" s="133"/>
      <c r="AV246" s="133"/>
      <c r="AW246" s="133"/>
      <c r="AX246" s="133"/>
      <c r="AY246" s="133"/>
      <c r="AZ246" s="133"/>
      <c r="BA246" s="133"/>
      <c r="BB246" s="133"/>
      <c r="BC246" s="133"/>
      <c r="BD246" s="133"/>
      <c r="BE246" s="133"/>
      <c r="BF246" s="133"/>
      <c r="BG246" s="133"/>
      <c r="BH246" s="133"/>
      <c r="BI246" s="133"/>
      <c r="BJ246" s="133"/>
      <c r="BK246" s="133"/>
      <c r="BL246" s="133"/>
      <c r="BM246" s="133"/>
      <c r="BN246" s="133"/>
      <c r="BO246" s="133"/>
      <c r="BP246" s="133"/>
    </row>
    <row r="247" spans="1:68" x14ac:dyDescent="0.55000000000000004">
      <c r="A247" s="176"/>
      <c r="B247" s="176"/>
      <c r="C247" s="176"/>
      <c r="D247" s="176"/>
      <c r="E247" s="176" t="s">
        <v>359</v>
      </c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233">
        <v>24344.251086946511</v>
      </c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94"/>
      <c r="AC247" s="194"/>
      <c r="AD247" s="194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  <c r="BG247" s="176"/>
      <c r="BH247" s="176"/>
      <c r="BI247" s="176"/>
      <c r="BJ247" s="176"/>
      <c r="BK247" s="176"/>
      <c r="BL247" s="176"/>
      <c r="BM247" s="176"/>
      <c r="BN247" s="176"/>
      <c r="BO247" s="176"/>
      <c r="BP247" s="176"/>
    </row>
    <row r="248" spans="1:68" x14ac:dyDescent="0.55000000000000004">
      <c r="A248" s="133"/>
      <c r="B248" s="133"/>
      <c r="C248" s="133"/>
      <c r="D248" s="133"/>
      <c r="E248" s="144"/>
      <c r="F248" s="144"/>
      <c r="G248" s="144"/>
      <c r="H248" s="144"/>
      <c r="I248" s="133"/>
      <c r="J248" s="133"/>
      <c r="K248" s="133"/>
      <c r="L248" s="133"/>
      <c r="M248" s="133"/>
      <c r="N248" s="133"/>
      <c r="O248" s="133"/>
      <c r="P248" s="133"/>
      <c r="Q248" s="220"/>
      <c r="R248" s="133"/>
      <c r="S248" s="133"/>
      <c r="T248" s="133"/>
      <c r="U248" s="133"/>
      <c r="V248" s="133"/>
      <c r="W248" s="133"/>
      <c r="X248" s="133"/>
      <c r="Y248" s="133"/>
      <c r="Z248" s="144"/>
      <c r="AA248" s="133"/>
      <c r="AB248" s="141"/>
      <c r="AC248" s="141"/>
      <c r="AD248" s="141"/>
      <c r="AE248" s="133"/>
      <c r="AF248" s="133"/>
      <c r="AG248" s="133"/>
      <c r="AH248" s="133"/>
      <c r="AI248" s="133"/>
      <c r="AJ248" s="133"/>
      <c r="AK248" s="133"/>
      <c r="AL248" s="133"/>
      <c r="AM248" s="133"/>
      <c r="AN248" s="133"/>
      <c r="AO248" s="133"/>
      <c r="AP248" s="133"/>
      <c r="AQ248" s="133"/>
      <c r="AR248" s="133"/>
      <c r="AS248" s="133"/>
      <c r="AT248" s="133"/>
      <c r="AU248" s="133"/>
      <c r="AV248" s="133"/>
      <c r="AW248" s="133"/>
      <c r="AX248" s="133"/>
      <c r="AY248" s="133"/>
      <c r="AZ248" s="133"/>
      <c r="BA248" s="133"/>
      <c r="BB248" s="133"/>
      <c r="BC248" s="133"/>
      <c r="BD248" s="133"/>
      <c r="BE248" s="133"/>
      <c r="BF248" s="133"/>
      <c r="BG248" s="133"/>
      <c r="BH248" s="133"/>
      <c r="BI248" s="133"/>
      <c r="BJ248" s="133"/>
      <c r="BK248" s="133"/>
      <c r="BL248" s="133"/>
      <c r="BM248" s="133"/>
      <c r="BN248" s="133"/>
      <c r="BO248" s="133"/>
      <c r="BP248" s="133"/>
    </row>
    <row r="249" spans="1:68" x14ac:dyDescent="0.55000000000000004">
      <c r="A249" s="133"/>
      <c r="B249" s="133"/>
      <c r="C249" s="133"/>
      <c r="D249" s="133"/>
      <c r="E249" s="144" t="s">
        <v>360</v>
      </c>
      <c r="F249" s="144"/>
      <c r="G249" s="144"/>
      <c r="H249" s="144"/>
      <c r="I249" s="133"/>
      <c r="J249" s="133"/>
      <c r="K249" s="133"/>
      <c r="L249" s="133"/>
      <c r="M249" s="133"/>
      <c r="N249" s="133"/>
      <c r="O249" s="133"/>
      <c r="P249" s="133"/>
      <c r="Q249" s="222">
        <v>1006.177558</v>
      </c>
      <c r="R249" s="133"/>
      <c r="S249" s="133"/>
      <c r="T249" s="133"/>
      <c r="U249" s="133"/>
      <c r="V249" s="133"/>
      <c r="W249" s="133"/>
      <c r="X249" s="133"/>
      <c r="Y249" s="133"/>
      <c r="Z249" s="144"/>
      <c r="AA249" s="133"/>
      <c r="AB249" s="141"/>
      <c r="AC249" s="141"/>
      <c r="AD249" s="141"/>
      <c r="AE249" s="133"/>
      <c r="AF249" s="133"/>
      <c r="AG249" s="133"/>
      <c r="AH249" s="133"/>
      <c r="AI249" s="133"/>
      <c r="AJ249" s="133"/>
      <c r="AK249" s="133"/>
      <c r="AL249" s="133"/>
      <c r="AM249" s="133"/>
      <c r="AN249" s="133"/>
      <c r="AO249" s="133"/>
      <c r="AP249" s="133"/>
      <c r="AQ249" s="133"/>
      <c r="AR249" s="133"/>
      <c r="AS249" s="133"/>
      <c r="AT249" s="133"/>
      <c r="AU249" s="133"/>
      <c r="AV249" s="133"/>
      <c r="AW249" s="133"/>
      <c r="AX249" s="133"/>
      <c r="AY249" s="133"/>
      <c r="AZ249" s="133"/>
      <c r="BA249" s="133"/>
      <c r="BB249" s="133"/>
      <c r="BC249" s="133"/>
      <c r="BD249" s="133"/>
      <c r="BE249" s="133"/>
      <c r="BF249" s="133"/>
      <c r="BG249" s="133"/>
      <c r="BH249" s="133"/>
      <c r="BI249" s="133"/>
      <c r="BJ249" s="133"/>
      <c r="BK249" s="133"/>
      <c r="BL249" s="133"/>
      <c r="BM249" s="133"/>
      <c r="BN249" s="133"/>
      <c r="BO249" s="133"/>
      <c r="BP249" s="133"/>
    </row>
    <row r="250" spans="1:68" x14ac:dyDescent="0.55000000000000004">
      <c r="A250" s="133"/>
      <c r="B250" s="133"/>
      <c r="C250" s="133"/>
      <c r="D250" s="133"/>
      <c r="E250" s="144"/>
      <c r="F250" s="144"/>
      <c r="G250" s="144"/>
      <c r="H250" s="144"/>
      <c r="I250" s="133"/>
      <c r="J250" s="133"/>
      <c r="K250" s="133"/>
      <c r="L250" s="133"/>
      <c r="M250" s="133"/>
      <c r="N250" s="133"/>
      <c r="O250" s="133"/>
      <c r="P250" s="133"/>
      <c r="Q250" s="220"/>
      <c r="R250" s="133"/>
      <c r="S250" s="133"/>
      <c r="T250" s="133"/>
      <c r="U250" s="133"/>
      <c r="V250" s="133"/>
      <c r="W250" s="133"/>
      <c r="X250" s="133"/>
      <c r="Y250" s="133"/>
      <c r="Z250" s="144"/>
      <c r="AA250" s="133"/>
      <c r="AB250" s="141"/>
      <c r="AC250" s="141"/>
      <c r="AD250" s="141"/>
      <c r="AE250" s="133"/>
      <c r="AF250" s="133"/>
      <c r="AG250" s="133"/>
      <c r="AH250" s="133"/>
      <c r="AI250" s="133"/>
      <c r="AJ250" s="133"/>
      <c r="AK250" s="133"/>
      <c r="AL250" s="133"/>
      <c r="AM250" s="133"/>
      <c r="AN250" s="133"/>
      <c r="AO250" s="133"/>
      <c r="AP250" s="133"/>
      <c r="AQ250" s="133"/>
      <c r="AR250" s="133"/>
      <c r="AS250" s="133"/>
      <c r="AT250" s="133"/>
      <c r="AU250" s="133"/>
      <c r="AV250" s="133"/>
      <c r="AW250" s="133"/>
      <c r="AX250" s="133"/>
      <c r="AY250" s="133"/>
      <c r="AZ250" s="133"/>
      <c r="BA250" s="133"/>
      <c r="BB250" s="133"/>
      <c r="BC250" s="133"/>
      <c r="BD250" s="133"/>
      <c r="BE250" s="133"/>
      <c r="BF250" s="133"/>
      <c r="BG250" s="133"/>
      <c r="BH250" s="133"/>
      <c r="BI250" s="133"/>
      <c r="BJ250" s="133"/>
      <c r="BK250" s="133"/>
      <c r="BL250" s="133"/>
      <c r="BM250" s="133"/>
      <c r="BN250" s="133"/>
      <c r="BO250" s="133"/>
      <c r="BP250" s="133"/>
    </row>
    <row r="251" spans="1:68" x14ac:dyDescent="0.55000000000000004">
      <c r="A251" s="176"/>
      <c r="B251" s="176"/>
      <c r="C251" s="176"/>
      <c r="D251" s="176"/>
      <c r="E251" s="176" t="s">
        <v>361</v>
      </c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234">
        <v>24.194786390720228</v>
      </c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94"/>
      <c r="AC251" s="194"/>
      <c r="AD251" s="194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  <c r="BG251" s="176"/>
      <c r="BH251" s="176"/>
      <c r="BI251" s="176"/>
      <c r="BJ251" s="176"/>
      <c r="BK251" s="176"/>
      <c r="BL251" s="176"/>
      <c r="BM251" s="176"/>
      <c r="BN251" s="176"/>
      <c r="BO251" s="176"/>
      <c r="BP251" s="176"/>
    </row>
    <row r="252" spans="1:68" x14ac:dyDescent="0.55000000000000004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235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94"/>
      <c r="AC252" s="194"/>
      <c r="AD252" s="194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  <c r="BG252" s="176"/>
      <c r="BH252" s="176"/>
      <c r="BI252" s="176"/>
      <c r="BJ252" s="176"/>
      <c r="BK252" s="176"/>
      <c r="BL252" s="176"/>
      <c r="BM252" s="176"/>
      <c r="BN252" s="176"/>
      <c r="BO252" s="176"/>
      <c r="BP252" s="176"/>
    </row>
    <row r="253" spans="1:68" x14ac:dyDescent="0.55000000000000004">
      <c r="A253" s="142"/>
      <c r="B253" s="142"/>
      <c r="C253" s="142"/>
      <c r="D253" s="142"/>
      <c r="E253" s="144"/>
      <c r="F253" s="144"/>
      <c r="G253" s="144"/>
      <c r="H253" s="144"/>
      <c r="I253" s="133"/>
      <c r="J253" s="133"/>
      <c r="K253" s="133"/>
      <c r="L253" s="133"/>
      <c r="M253" s="133"/>
      <c r="N253" s="133"/>
      <c r="O253" s="133"/>
      <c r="P253" s="133"/>
      <c r="Q253" s="236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41"/>
      <c r="AC253" s="141"/>
      <c r="AD253" s="141"/>
      <c r="AE253" s="133"/>
      <c r="AF253" s="133"/>
      <c r="AG253" s="133"/>
      <c r="AH253" s="133"/>
      <c r="AI253" s="133"/>
      <c r="AJ253" s="133"/>
      <c r="AK253" s="133"/>
      <c r="AL253" s="133"/>
      <c r="AM253" s="133"/>
      <c r="AN253" s="133"/>
      <c r="AO253" s="133"/>
      <c r="AP253" s="133"/>
      <c r="AQ253" s="133"/>
      <c r="AR253" s="133"/>
      <c r="AS253" s="133"/>
      <c r="AT253" s="133"/>
      <c r="AU253" s="133"/>
      <c r="AV253" s="133"/>
      <c r="AW253" s="133"/>
      <c r="AX253" s="133"/>
      <c r="AY253" s="133"/>
      <c r="AZ253" s="133"/>
      <c r="BA253" s="133"/>
      <c r="BB253" s="133"/>
      <c r="BC253" s="133"/>
      <c r="BD253" s="133"/>
      <c r="BE253" s="133"/>
      <c r="BF253" s="133"/>
      <c r="BG253" s="133"/>
      <c r="BH253" s="133"/>
      <c r="BI253" s="133"/>
      <c r="BJ253" s="133"/>
      <c r="BK253" s="133"/>
      <c r="BL253" s="133"/>
      <c r="BM253" s="133"/>
      <c r="BN253" s="133"/>
      <c r="BO253" s="133"/>
      <c r="BP253" s="133"/>
    </row>
    <row r="254" spans="1:68" x14ac:dyDescent="0.55000000000000004">
      <c r="A254" s="203" t="s">
        <v>362</v>
      </c>
      <c r="B254" s="203"/>
      <c r="C254" s="20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  <c r="AA254" s="203"/>
      <c r="AB254" s="204"/>
      <c r="AC254" s="204"/>
      <c r="AD254" s="204"/>
      <c r="AE254" s="203"/>
      <c r="AF254" s="203"/>
      <c r="AG254" s="203"/>
      <c r="AH254" s="203"/>
      <c r="AI254" s="203"/>
      <c r="AJ254" s="203"/>
      <c r="AK254" s="203"/>
      <c r="AL254" s="203"/>
      <c r="AM254" s="203"/>
      <c r="AN254" s="203"/>
      <c r="AO254" s="203"/>
      <c r="AP254" s="203"/>
      <c r="AQ254" s="203"/>
      <c r="AR254" s="203"/>
      <c r="AS254" s="203"/>
      <c r="AT254" s="203"/>
      <c r="AU254" s="203"/>
      <c r="AV254" s="203"/>
      <c r="AW254" s="203"/>
      <c r="AX254" s="203"/>
      <c r="AY254" s="203"/>
      <c r="AZ254" s="203"/>
      <c r="BA254" s="203"/>
      <c r="BB254" s="203"/>
      <c r="BC254" s="203"/>
      <c r="BD254" s="203"/>
      <c r="BE254" s="203"/>
      <c r="BF254" s="203"/>
      <c r="BG254" s="203"/>
      <c r="BH254" s="203"/>
      <c r="BI254" s="203"/>
      <c r="BJ254" s="203"/>
      <c r="BK254" s="203"/>
      <c r="BL254" s="203"/>
      <c r="BM254" s="203"/>
      <c r="BN254" s="203"/>
      <c r="BO254" s="203"/>
      <c r="BP254" s="203"/>
    </row>
    <row r="255" spans="1:68" x14ac:dyDescent="0.55000000000000004">
      <c r="A255" s="133"/>
      <c r="B255" s="133"/>
      <c r="C255" s="133"/>
      <c r="D255" s="133"/>
      <c r="E255" s="144"/>
      <c r="F255" s="144"/>
      <c r="G255" s="144"/>
      <c r="H255" s="144"/>
      <c r="I255" s="133"/>
      <c r="J255" s="133"/>
      <c r="K255" s="133"/>
      <c r="L255" s="133"/>
      <c r="M255" s="133"/>
      <c r="N255" s="133"/>
      <c r="O255" s="133"/>
      <c r="P255" s="237"/>
      <c r="Q255" s="219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41"/>
      <c r="AC255" s="141"/>
      <c r="AD255" s="141"/>
      <c r="AE255" s="133"/>
      <c r="AF255" s="133"/>
      <c r="AG255" s="133"/>
      <c r="AH255" s="133"/>
      <c r="AI255" s="133"/>
      <c r="AJ255" s="133"/>
      <c r="AK255" s="133"/>
      <c r="AL255" s="133"/>
      <c r="AM255" s="133"/>
      <c r="AN255" s="133"/>
      <c r="AO255" s="133"/>
      <c r="AP255" s="133"/>
      <c r="AQ255" s="133"/>
      <c r="AR255" s="133"/>
      <c r="AS255" s="133"/>
      <c r="AT255" s="133"/>
      <c r="AU255" s="133"/>
      <c r="AV255" s="133"/>
      <c r="AW255" s="133"/>
      <c r="AX255" s="133"/>
      <c r="AY255" s="133"/>
      <c r="AZ255" s="133"/>
      <c r="BA255" s="133"/>
      <c r="BB255" s="133"/>
      <c r="BC255" s="133"/>
      <c r="BD255" s="133"/>
      <c r="BE255" s="133"/>
      <c r="BF255" s="133"/>
      <c r="BG255" s="133"/>
      <c r="BH255" s="133"/>
      <c r="BI255" s="133"/>
      <c r="BJ255" s="133"/>
      <c r="BK255" s="133"/>
      <c r="BL255" s="133"/>
      <c r="BM255" s="133"/>
      <c r="BN255" s="133"/>
      <c r="BO255" s="133"/>
      <c r="BP255" s="133"/>
    </row>
    <row r="256" spans="1:68" x14ac:dyDescent="0.55000000000000004">
      <c r="A256" s="133"/>
      <c r="B256" s="133"/>
      <c r="C256" s="133"/>
      <c r="D256" s="133"/>
      <c r="E256" s="176" t="s">
        <v>363</v>
      </c>
      <c r="F256" s="176"/>
      <c r="G256" s="176"/>
      <c r="H256" s="144"/>
      <c r="I256" s="133"/>
      <c r="J256" s="133"/>
      <c r="K256" s="133"/>
      <c r="L256" s="133"/>
      <c r="M256" s="133"/>
      <c r="N256" s="133"/>
      <c r="O256" s="133"/>
      <c r="P256" s="133"/>
      <c r="Q256" s="220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41"/>
      <c r="AC256" s="141"/>
      <c r="AD256" s="141"/>
      <c r="AE256" s="133"/>
      <c r="AF256" s="133"/>
      <c r="AG256" s="133"/>
      <c r="AH256" s="133"/>
      <c r="AI256" s="133"/>
      <c r="AJ256" s="133"/>
      <c r="AK256" s="133"/>
      <c r="AL256" s="133"/>
      <c r="AM256" s="133"/>
      <c r="AN256" s="133"/>
      <c r="AO256" s="133"/>
      <c r="AP256" s="133"/>
      <c r="AQ256" s="133"/>
      <c r="AR256" s="133"/>
      <c r="AS256" s="133"/>
      <c r="AT256" s="133"/>
      <c r="AU256" s="133"/>
      <c r="AV256" s="133"/>
      <c r="AW256" s="133"/>
      <c r="AX256" s="133"/>
      <c r="AY256" s="133"/>
      <c r="AZ256" s="133"/>
      <c r="BA256" s="133"/>
      <c r="BB256" s="133"/>
      <c r="BC256" s="133"/>
      <c r="BD256" s="133"/>
      <c r="BE256" s="133"/>
      <c r="BF256" s="133"/>
      <c r="BG256" s="133"/>
      <c r="BH256" s="133"/>
      <c r="BI256" s="133"/>
      <c r="BJ256" s="133"/>
      <c r="BK256" s="133"/>
      <c r="BL256" s="133"/>
      <c r="BM256" s="133"/>
      <c r="BN256" s="133"/>
      <c r="BO256" s="133"/>
      <c r="BP256" s="133"/>
    </row>
    <row r="257" spans="5:30" x14ac:dyDescent="0.55000000000000004">
      <c r="E257" s="144"/>
      <c r="F257" s="144"/>
      <c r="G257" s="144"/>
      <c r="H257" s="144"/>
      <c r="I257" s="133"/>
      <c r="J257" s="133"/>
      <c r="K257" s="133"/>
      <c r="L257" s="133"/>
      <c r="M257" s="133"/>
      <c r="N257" s="133"/>
      <c r="O257" s="133"/>
      <c r="P257" s="133"/>
      <c r="Q257" s="220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41"/>
      <c r="AC257" s="141"/>
      <c r="AD257" s="141"/>
    </row>
    <row r="258" spans="5:30" x14ac:dyDescent="0.55000000000000004">
      <c r="E258" s="161" t="s">
        <v>364</v>
      </c>
      <c r="F258" s="161">
        <v>128</v>
      </c>
      <c r="G258" s="161">
        <v>141</v>
      </c>
      <c r="H258" s="161">
        <v>499</v>
      </c>
      <c r="I258" s="161">
        <v>876</v>
      </c>
      <c r="J258" s="161">
        <v>1373</v>
      </c>
      <c r="K258" s="161">
        <v>1206</v>
      </c>
      <c r="L258" s="161">
        <v>1013</v>
      </c>
      <c r="M258" s="161">
        <v>1118</v>
      </c>
      <c r="N258" s="161">
        <v>1165</v>
      </c>
      <c r="O258" s="161">
        <v>704</v>
      </c>
      <c r="P258" s="161">
        <v>-1142</v>
      </c>
      <c r="Q258" s="222">
        <v>-473.06017316820999</v>
      </c>
      <c r="R258" s="161">
        <v>474.71889094675771</v>
      </c>
      <c r="S258" s="161">
        <v>1085.3694501606244</v>
      </c>
      <c r="T258" s="161">
        <v>1666.2167122173951</v>
      </c>
      <c r="U258" s="161">
        <v>2063.0224612761135</v>
      </c>
      <c r="V258" s="161">
        <v>2420.8737718359453</v>
      </c>
      <c r="W258" s="161">
        <v>2657.4568395760762</v>
      </c>
      <c r="X258" s="161">
        <v>2880.6070959291501</v>
      </c>
      <c r="Y258" s="161">
        <v>3091.039288336674</v>
      </c>
      <c r="Z258" s="161">
        <v>3317.9240520991743</v>
      </c>
      <c r="AA258" s="161"/>
      <c r="AB258" s="184"/>
      <c r="AC258" s="184"/>
      <c r="AD258" s="184"/>
    </row>
    <row r="259" spans="5:30" x14ac:dyDescent="0.55000000000000004">
      <c r="E259" s="161" t="s">
        <v>365</v>
      </c>
      <c r="F259" s="161">
        <v>221</v>
      </c>
      <c r="G259" s="161">
        <v>216</v>
      </c>
      <c r="H259" s="161">
        <v>180</v>
      </c>
      <c r="I259" s="161">
        <v>171</v>
      </c>
      <c r="J259" s="161">
        <v>162</v>
      </c>
      <c r="K259" s="161">
        <v>155</v>
      </c>
      <c r="L259" s="161">
        <v>180</v>
      </c>
      <c r="M259" s="161">
        <v>212</v>
      </c>
      <c r="N259" s="161">
        <v>246</v>
      </c>
      <c r="O259" s="161">
        <v>388</v>
      </c>
      <c r="P259" s="161">
        <v>325</v>
      </c>
      <c r="Q259" s="222">
        <v>325</v>
      </c>
      <c r="R259" s="161">
        <v>325</v>
      </c>
      <c r="S259" s="161">
        <v>325</v>
      </c>
      <c r="T259" s="161">
        <v>325</v>
      </c>
      <c r="U259" s="161">
        <v>325</v>
      </c>
      <c r="V259" s="161">
        <v>325</v>
      </c>
      <c r="W259" s="161">
        <v>325</v>
      </c>
      <c r="X259" s="161">
        <v>325</v>
      </c>
      <c r="Y259" s="161">
        <v>325</v>
      </c>
      <c r="Z259" s="161">
        <v>325</v>
      </c>
      <c r="AA259" s="161"/>
      <c r="AB259" s="184"/>
      <c r="AC259" s="184"/>
      <c r="AD259" s="184"/>
    </row>
    <row r="260" spans="5:30" x14ac:dyDescent="0.55000000000000004">
      <c r="E260" s="161" t="s">
        <v>366</v>
      </c>
      <c r="F260" s="161">
        <v>475</v>
      </c>
      <c r="G260" s="161">
        <v>155</v>
      </c>
      <c r="H260" s="161">
        <v>114</v>
      </c>
      <c r="I260" s="161">
        <v>31</v>
      </c>
      <c r="J260" s="161">
        <v>341</v>
      </c>
      <c r="K260" s="161">
        <v>133</v>
      </c>
      <c r="L260" s="161">
        <v>49</v>
      </c>
      <c r="M260" s="161">
        <v>56</v>
      </c>
      <c r="N260" s="161">
        <v>-57</v>
      </c>
      <c r="O260" s="161">
        <v>-85</v>
      </c>
      <c r="P260" s="238">
        <v>628</v>
      </c>
      <c r="Q260" s="161">
        <v>0</v>
      </c>
      <c r="R260" s="161">
        <v>0</v>
      </c>
      <c r="S260" s="161">
        <v>0</v>
      </c>
      <c r="T260" s="161">
        <v>0</v>
      </c>
      <c r="U260" s="161">
        <v>0</v>
      </c>
      <c r="V260" s="161">
        <v>0</v>
      </c>
      <c r="W260" s="161">
        <v>0</v>
      </c>
      <c r="X260" s="161">
        <v>0</v>
      </c>
      <c r="Y260" s="161">
        <v>0</v>
      </c>
      <c r="Z260" s="161">
        <v>0</v>
      </c>
      <c r="AA260" s="161"/>
      <c r="AB260" s="184"/>
      <c r="AC260" s="184"/>
      <c r="AD260" s="184"/>
    </row>
    <row r="261" spans="5:30" x14ac:dyDescent="0.55000000000000004">
      <c r="E261" s="161" t="s">
        <v>367</v>
      </c>
      <c r="F261" s="161">
        <v>-597</v>
      </c>
      <c r="G261" s="161">
        <v>-146</v>
      </c>
      <c r="H261" s="161">
        <v>59</v>
      </c>
      <c r="I261" s="161">
        <v>0</v>
      </c>
      <c r="J261" s="161">
        <v>0</v>
      </c>
      <c r="K261" s="161">
        <v>0</v>
      </c>
      <c r="L261" s="161">
        <v>-38</v>
      </c>
      <c r="M261" s="161">
        <v>0</v>
      </c>
      <c r="N261" s="161">
        <v>-9</v>
      </c>
      <c r="O261" s="161">
        <v>-71</v>
      </c>
      <c r="P261" s="238">
        <v>-115</v>
      </c>
      <c r="Q261" s="161">
        <v>0</v>
      </c>
      <c r="R261" s="161">
        <v>0</v>
      </c>
      <c r="S261" s="161">
        <v>0</v>
      </c>
      <c r="T261" s="161">
        <v>0</v>
      </c>
      <c r="U261" s="161">
        <v>0</v>
      </c>
      <c r="V261" s="161">
        <v>0</v>
      </c>
      <c r="W261" s="161">
        <v>0</v>
      </c>
      <c r="X261" s="161">
        <v>0</v>
      </c>
      <c r="Y261" s="161">
        <v>0</v>
      </c>
      <c r="Z261" s="161">
        <v>0</v>
      </c>
      <c r="AA261" s="161"/>
      <c r="AB261" s="184"/>
      <c r="AC261" s="184"/>
      <c r="AD261" s="184"/>
    </row>
    <row r="262" spans="5:30" x14ac:dyDescent="0.55000000000000004">
      <c r="E262" s="161" t="s">
        <v>368</v>
      </c>
      <c r="F262" s="161">
        <v>0</v>
      </c>
      <c r="G262" s="161">
        <v>0</v>
      </c>
      <c r="H262" s="161">
        <v>0</v>
      </c>
      <c r="I262" s="161">
        <v>0</v>
      </c>
      <c r="J262" s="161">
        <v>0</v>
      </c>
      <c r="K262" s="161">
        <v>0</v>
      </c>
      <c r="L262" s="161">
        <v>0</v>
      </c>
      <c r="M262" s="161">
        <v>0</v>
      </c>
      <c r="N262" s="161">
        <v>0</v>
      </c>
      <c r="O262" s="161">
        <v>0</v>
      </c>
      <c r="P262" s="161">
        <v>0</v>
      </c>
      <c r="Q262" s="222">
        <v>0</v>
      </c>
      <c r="R262" s="161">
        <v>0</v>
      </c>
      <c r="S262" s="161">
        <v>0</v>
      </c>
      <c r="T262" s="161">
        <v>0</v>
      </c>
      <c r="U262" s="161">
        <v>0</v>
      </c>
      <c r="V262" s="161">
        <v>0</v>
      </c>
      <c r="W262" s="161">
        <v>0</v>
      </c>
      <c r="X262" s="161">
        <v>0</v>
      </c>
      <c r="Y262" s="161">
        <v>0</v>
      </c>
      <c r="Z262" s="161">
        <v>0</v>
      </c>
      <c r="AA262" s="161"/>
      <c r="AB262" s="184"/>
      <c r="AC262" s="184"/>
      <c r="AD262" s="184"/>
    </row>
    <row r="263" spans="5:30" x14ac:dyDescent="0.55000000000000004">
      <c r="E263" s="161" t="s">
        <v>369</v>
      </c>
      <c r="F263" s="161">
        <v>-91.037478705281103</v>
      </c>
      <c r="G263" s="161">
        <v>2.8867924528301927</v>
      </c>
      <c r="H263" s="161">
        <v>-162.05465587044534</v>
      </c>
      <c r="I263" s="161">
        <v>-187.9691289966924</v>
      </c>
      <c r="J263" s="161">
        <v>-219.92985074626864</v>
      </c>
      <c r="K263" s="161">
        <v>-261.50662251655632</v>
      </c>
      <c r="L263" s="161">
        <v>-207.52922077922079</v>
      </c>
      <c r="M263" s="161">
        <v>-271.08039215686273</v>
      </c>
      <c r="N263" s="161">
        <v>-234.21119842829077</v>
      </c>
      <c r="O263" s="161">
        <v>-191.63146551724139</v>
      </c>
      <c r="P263" s="238">
        <v>-174.04245283018867</v>
      </c>
      <c r="Q263" s="161">
        <v>46.062411876898999</v>
      </c>
      <c r="R263" s="161">
        <v>-197.50270940880702</v>
      </c>
      <c r="S263" s="161">
        <v>-318.34489021231673</v>
      </c>
      <c r="T263" s="161">
        <v>-443.12160005097604</v>
      </c>
      <c r="U263" s="161">
        <v>-529.39203290234468</v>
      </c>
      <c r="V263" s="161">
        <v>-607.49570432330881</v>
      </c>
      <c r="W263" s="161">
        <v>-659.22789754409905</v>
      </c>
      <c r="X263" s="161">
        <v>-708.07228912599032</v>
      </c>
      <c r="Y263" s="161">
        <v>-754.16698504558815</v>
      </c>
      <c r="Z263" s="161">
        <v>-803.89503279741837</v>
      </c>
      <c r="AA263" s="161"/>
      <c r="AB263" s="184"/>
      <c r="AC263" s="184"/>
      <c r="AD263" s="184"/>
    </row>
    <row r="264" spans="5:30" x14ac:dyDescent="0.55000000000000004">
      <c r="E264" s="185" t="s">
        <v>370</v>
      </c>
      <c r="F264" s="185">
        <v>250</v>
      </c>
      <c r="G264" s="185">
        <v>46</v>
      </c>
      <c r="H264" s="185">
        <v>131</v>
      </c>
      <c r="I264" s="185">
        <v>240</v>
      </c>
      <c r="J264" s="185">
        <v>322</v>
      </c>
      <c r="K264" s="185">
        <v>298</v>
      </c>
      <c r="L264" s="185">
        <v>227</v>
      </c>
      <c r="M264" s="185">
        <v>209</v>
      </c>
      <c r="N264" s="185">
        <v>163</v>
      </c>
      <c r="O264" s="185">
        <v>81</v>
      </c>
      <c r="P264" s="239">
        <v>-124</v>
      </c>
      <c r="Q264" s="185">
        <v>-56.773238097006988</v>
      </c>
      <c r="R264" s="185">
        <v>151.7381560082865</v>
      </c>
      <c r="S264" s="185">
        <v>286.08127903533682</v>
      </c>
      <c r="T264" s="185">
        <v>413.86767668782608</v>
      </c>
      <c r="U264" s="185">
        <v>501.16494148074327</v>
      </c>
      <c r="V264" s="185">
        <v>579.89222980390605</v>
      </c>
      <c r="W264" s="185">
        <v>631.94050470673551</v>
      </c>
      <c r="X264" s="185">
        <v>681.03356110441132</v>
      </c>
      <c r="Y264" s="185">
        <v>727.32864343406641</v>
      </c>
      <c r="Z264" s="185">
        <v>777.24329146181742</v>
      </c>
      <c r="AA264" s="185"/>
      <c r="AB264" s="188"/>
      <c r="AC264" s="188"/>
      <c r="AD264" s="188"/>
    </row>
    <row r="265" spans="5:30" x14ac:dyDescent="0.55000000000000004">
      <c r="E265" s="185" t="s">
        <v>371</v>
      </c>
      <c r="F265" s="185">
        <v>-5.9625212947189095</v>
      </c>
      <c r="G265" s="185">
        <v>-59.886792452830193</v>
      </c>
      <c r="H265" s="185">
        <v>14.054655870445345</v>
      </c>
      <c r="I265" s="185">
        <v>3.9691289966923931</v>
      </c>
      <c r="J265" s="185">
        <v>7.9298507462686567</v>
      </c>
      <c r="K265" s="185">
        <v>-0.49337748344370863</v>
      </c>
      <c r="L265" s="185">
        <v>12.529220779220779</v>
      </c>
      <c r="M265" s="185">
        <v>20.080392156862743</v>
      </c>
      <c r="N265" s="185">
        <v>15.211198428290764</v>
      </c>
      <c r="O265" s="185">
        <v>17.631465517241381</v>
      </c>
      <c r="P265" s="239">
        <v>8.0424528301886795</v>
      </c>
      <c r="Q265" s="185">
        <v>10.71082622010799</v>
      </c>
      <c r="R265" s="185">
        <v>45.764553400520526</v>
      </c>
      <c r="S265" s="185">
        <v>32.263611176979886</v>
      </c>
      <c r="T265" s="185">
        <v>29.253923363149958</v>
      </c>
      <c r="U265" s="185">
        <v>28.227091421601362</v>
      </c>
      <c r="V265" s="185">
        <v>27.603474519402763</v>
      </c>
      <c r="W265" s="185">
        <v>27.287392837363512</v>
      </c>
      <c r="X265" s="185">
        <v>27.038728021579043</v>
      </c>
      <c r="Y265" s="185">
        <v>26.838341611521738</v>
      </c>
      <c r="Z265" s="185">
        <v>26.651741335600903</v>
      </c>
      <c r="AA265" s="185"/>
      <c r="AB265" s="188"/>
      <c r="AC265" s="188"/>
      <c r="AD265" s="188"/>
    </row>
    <row r="266" spans="5:30" x14ac:dyDescent="0.55000000000000004">
      <c r="E266" s="185" t="s">
        <v>372</v>
      </c>
      <c r="F266" s="185">
        <v>-153</v>
      </c>
      <c r="G266" s="185">
        <v>11</v>
      </c>
      <c r="H266" s="185">
        <v>17</v>
      </c>
      <c r="I266" s="185">
        <v>-56</v>
      </c>
      <c r="J266" s="185">
        <v>-110</v>
      </c>
      <c r="K266" s="185">
        <v>-36</v>
      </c>
      <c r="L266" s="185">
        <v>-32</v>
      </c>
      <c r="M266" s="185">
        <v>42</v>
      </c>
      <c r="N266" s="185">
        <v>56</v>
      </c>
      <c r="O266" s="185">
        <v>93</v>
      </c>
      <c r="P266" s="239">
        <v>290</v>
      </c>
      <c r="Q266" s="185">
        <v>0</v>
      </c>
      <c r="R266" s="185">
        <v>0</v>
      </c>
      <c r="S266" s="185">
        <v>0</v>
      </c>
      <c r="T266" s="185">
        <v>0</v>
      </c>
      <c r="U266" s="185">
        <v>0</v>
      </c>
      <c r="V266" s="185">
        <v>0</v>
      </c>
      <c r="W266" s="185">
        <v>0</v>
      </c>
      <c r="X266" s="185">
        <v>0</v>
      </c>
      <c r="Y266" s="185">
        <v>0</v>
      </c>
      <c r="Z266" s="185">
        <v>0</v>
      </c>
      <c r="AA266" s="185"/>
      <c r="AB266" s="188"/>
      <c r="AC266" s="188"/>
      <c r="AD266" s="188"/>
    </row>
    <row r="267" spans="5:30" x14ac:dyDescent="0.55000000000000004">
      <c r="E267" s="161" t="s">
        <v>373</v>
      </c>
      <c r="F267" s="161">
        <v>0</v>
      </c>
      <c r="G267" s="161">
        <v>0</v>
      </c>
      <c r="H267" s="161">
        <v>0</v>
      </c>
      <c r="I267" s="161">
        <v>0</v>
      </c>
      <c r="J267" s="161">
        <v>0</v>
      </c>
      <c r="K267" s="161">
        <v>0</v>
      </c>
      <c r="L267" s="161">
        <v>0</v>
      </c>
      <c r="M267" s="161">
        <v>0</v>
      </c>
      <c r="N267" s="161">
        <v>0</v>
      </c>
      <c r="O267" s="161">
        <v>0</v>
      </c>
      <c r="P267" s="238">
        <v>0</v>
      </c>
      <c r="Q267" s="161">
        <v>0</v>
      </c>
      <c r="R267" s="161">
        <v>0</v>
      </c>
      <c r="S267" s="161">
        <v>0</v>
      </c>
      <c r="T267" s="161">
        <v>0</v>
      </c>
      <c r="U267" s="161">
        <v>0</v>
      </c>
      <c r="V267" s="161">
        <v>0</v>
      </c>
      <c r="W267" s="161">
        <v>0</v>
      </c>
      <c r="X267" s="161">
        <v>0</v>
      </c>
      <c r="Y267" s="161">
        <v>0</v>
      </c>
      <c r="Z267" s="161">
        <v>0</v>
      </c>
      <c r="AA267" s="161"/>
      <c r="AB267" s="184"/>
      <c r="AC267" s="184"/>
      <c r="AD267" s="184"/>
    </row>
    <row r="268" spans="5:30" x14ac:dyDescent="0.55000000000000004">
      <c r="E268" s="144"/>
      <c r="F268" s="144"/>
      <c r="G268" s="144"/>
      <c r="H268" s="144"/>
      <c r="I268" s="133"/>
      <c r="J268" s="133"/>
      <c r="K268" s="133"/>
      <c r="L268" s="133"/>
      <c r="M268" s="133"/>
      <c r="N268" s="133"/>
      <c r="O268" s="133"/>
      <c r="P268" s="18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41"/>
      <c r="AC268" s="141"/>
      <c r="AD268" s="141"/>
    </row>
    <row r="269" spans="5:30" x14ac:dyDescent="0.55000000000000004">
      <c r="E269" s="156" t="s">
        <v>374</v>
      </c>
      <c r="F269" s="156">
        <v>135.9625212947189</v>
      </c>
      <c r="G269" s="156">
        <v>368.88679245283021</v>
      </c>
      <c r="H269" s="156">
        <v>689.94534412955466</v>
      </c>
      <c r="I269" s="156">
        <v>890.03087100330754</v>
      </c>
      <c r="J269" s="156">
        <v>1656.0701492537314</v>
      </c>
      <c r="K269" s="156">
        <v>1232.4933774834437</v>
      </c>
      <c r="L269" s="156">
        <v>996.47077922077915</v>
      </c>
      <c r="M269" s="156">
        <v>1114.9196078431373</v>
      </c>
      <c r="N269" s="156">
        <v>1110.7888015717092</v>
      </c>
      <c r="O269" s="156">
        <v>744.36853448275861</v>
      </c>
      <c r="P269" s="156">
        <v>-478.04245283018867</v>
      </c>
      <c r="Q269" s="156">
        <v>-101.99776129131098</v>
      </c>
      <c r="R269" s="156">
        <v>602.21618153795066</v>
      </c>
      <c r="S269" s="156">
        <v>1092.0245599483078</v>
      </c>
      <c r="T269" s="156">
        <v>1548.0951121664191</v>
      </c>
      <c r="U269" s="156">
        <v>1858.6304283737688</v>
      </c>
      <c r="V269" s="156">
        <v>2138.3780675126363</v>
      </c>
      <c r="W269" s="156">
        <v>2323.2289420319771</v>
      </c>
      <c r="X269" s="156">
        <v>2497.5348068031599</v>
      </c>
      <c r="Y269" s="156">
        <v>2661.8723032910857</v>
      </c>
      <c r="Z269" s="156">
        <v>2839.0290193017559</v>
      </c>
      <c r="AA269" s="156"/>
      <c r="AB269" s="209"/>
      <c r="AC269" s="209"/>
      <c r="AD269" s="209"/>
    </row>
    <row r="270" spans="5:30" x14ac:dyDescent="0.55000000000000004">
      <c r="E270" s="149" t="s">
        <v>375</v>
      </c>
      <c r="F270" s="149"/>
      <c r="G270" s="151">
        <v>1.713150572231692</v>
      </c>
      <c r="H270" s="151">
        <v>0.87034439357917215</v>
      </c>
      <c r="I270" s="151">
        <v>0.29000199592068232</v>
      </c>
      <c r="J270" s="151">
        <v>0.86068843588187982</v>
      </c>
      <c r="K270" s="151">
        <v>-0.25577224005949417</v>
      </c>
      <c r="L270" s="151">
        <v>-0.19150009450321381</v>
      </c>
      <c r="M270" s="151">
        <v>0.11886834124226198</v>
      </c>
      <c r="N270" s="151">
        <v>-3.705026122393984E-3</v>
      </c>
      <c r="O270" s="151">
        <v>-0.32987392974297602</v>
      </c>
      <c r="P270" s="240">
        <v>-1.6422120638970417</v>
      </c>
      <c r="Q270" s="151">
        <v>-0.78663451187766609</v>
      </c>
      <c r="R270" s="151">
        <v>-6.9042097974875105</v>
      </c>
      <c r="S270" s="151">
        <v>0.81334310406518062</v>
      </c>
      <c r="T270" s="151">
        <v>0.41763763283831268</v>
      </c>
      <c r="U270" s="151">
        <v>0.20059188467611899</v>
      </c>
      <c r="V270" s="151">
        <v>0.15051278342819141</v>
      </c>
      <c r="W270" s="151">
        <v>8.6444430630716163E-2</v>
      </c>
      <c r="X270" s="151">
        <v>7.5027416204073605E-2</v>
      </c>
      <c r="Y270" s="151">
        <v>6.5799882364113049E-2</v>
      </c>
      <c r="Z270" s="151">
        <v>6.6553423990939331E-2</v>
      </c>
      <c r="AA270" s="149"/>
      <c r="AB270" s="152">
        <v>-1.7540630104458605</v>
      </c>
      <c r="AC270" s="153"/>
      <c r="AD270" s="152" t="s">
        <v>216</v>
      </c>
    </row>
    <row r="271" spans="5:30" x14ac:dyDescent="0.55000000000000004">
      <c r="E271" s="144"/>
      <c r="F271" s="144"/>
      <c r="G271" s="144"/>
      <c r="H271" s="144"/>
      <c r="I271" s="133"/>
      <c r="J271" s="133"/>
      <c r="K271" s="133"/>
      <c r="L271" s="133"/>
      <c r="M271" s="133"/>
      <c r="N271" s="133"/>
      <c r="O271" s="133"/>
      <c r="P271" s="133"/>
      <c r="Q271" s="220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41"/>
      <c r="AC271" s="141"/>
      <c r="AD271" s="141"/>
    </row>
    <row r="272" spans="5:30" x14ac:dyDescent="0.55000000000000004">
      <c r="E272" s="161" t="s">
        <v>305</v>
      </c>
      <c r="F272" s="161">
        <v>241</v>
      </c>
      <c r="G272" s="161">
        <v>179</v>
      </c>
      <c r="H272" s="161">
        <v>186</v>
      </c>
      <c r="I272" s="161">
        <v>178</v>
      </c>
      <c r="J272" s="161">
        <v>215</v>
      </c>
      <c r="K272" s="161">
        <v>243</v>
      </c>
      <c r="L272" s="161">
        <v>246</v>
      </c>
      <c r="M272" s="161">
        <v>334</v>
      </c>
      <c r="N272" s="161">
        <v>384</v>
      </c>
      <c r="O272" s="161">
        <v>533</v>
      </c>
      <c r="P272" s="161">
        <v>574</v>
      </c>
      <c r="Q272" s="222">
        <v>612.11087514371309</v>
      </c>
      <c r="R272" s="161">
        <v>752.4810975176199</v>
      </c>
      <c r="S272" s="161">
        <v>962.9316521034541</v>
      </c>
      <c r="T272" s="161">
        <v>979.94681788584205</v>
      </c>
      <c r="U272" s="161">
        <v>1062.2907396854412</v>
      </c>
      <c r="V272" s="161">
        <v>1155.8951388250205</v>
      </c>
      <c r="W272" s="161">
        <v>1251.9474825309535</v>
      </c>
      <c r="X272" s="161">
        <v>1338.0334576390671</v>
      </c>
      <c r="Y272" s="161">
        <v>1416.5800768296303</v>
      </c>
      <c r="Z272" s="161">
        <v>1474.443066760891</v>
      </c>
      <c r="AA272" s="161"/>
      <c r="AB272" s="184"/>
      <c r="AC272" s="184"/>
      <c r="AD272" s="184"/>
    </row>
    <row r="273" spans="5:30" x14ac:dyDescent="0.55000000000000004">
      <c r="E273" s="212" t="s">
        <v>322</v>
      </c>
      <c r="F273" s="161">
        <v>-167</v>
      </c>
      <c r="G273" s="161">
        <v>-73</v>
      </c>
      <c r="H273" s="161">
        <v>-163</v>
      </c>
      <c r="I273" s="161">
        <v>-220</v>
      </c>
      <c r="J273" s="161">
        <v>-287</v>
      </c>
      <c r="K273" s="161">
        <v>-268</v>
      </c>
      <c r="L273" s="161">
        <v>-312</v>
      </c>
      <c r="M273" s="161">
        <v>-451</v>
      </c>
      <c r="N273" s="161">
        <v>-379</v>
      </c>
      <c r="O273" s="161">
        <v>-476</v>
      </c>
      <c r="P273" s="161">
        <v>-371</v>
      </c>
      <c r="Q273" s="222">
        <v>-612.11087514371309</v>
      </c>
      <c r="R273" s="161">
        <v>-658.42096032791756</v>
      </c>
      <c r="S273" s="161">
        <v>-842.56519559052242</v>
      </c>
      <c r="T273" s="161">
        <v>-979.94681788584205</v>
      </c>
      <c r="U273" s="161">
        <v>-910.53491973037808</v>
      </c>
      <c r="V273" s="161">
        <v>-990.76726185001746</v>
      </c>
      <c r="W273" s="161">
        <v>-1073.0978421693887</v>
      </c>
      <c r="X273" s="161">
        <v>-1146.8858208334859</v>
      </c>
      <c r="Y273" s="161">
        <v>-1214.2114944253972</v>
      </c>
      <c r="Z273" s="161">
        <v>-1263.8083429379064</v>
      </c>
      <c r="AA273" s="161"/>
      <c r="AB273" s="184"/>
      <c r="AC273" s="184"/>
      <c r="AD273" s="184"/>
    </row>
    <row r="274" spans="5:30" x14ac:dyDescent="0.55000000000000004">
      <c r="E274" s="212" t="s">
        <v>376</v>
      </c>
      <c r="F274" s="161">
        <v>-304</v>
      </c>
      <c r="G274" s="161">
        <v>829</v>
      </c>
      <c r="H274" s="161">
        <v>260</v>
      </c>
      <c r="I274" s="161">
        <v>397</v>
      </c>
      <c r="J274" s="161">
        <v>388</v>
      </c>
      <c r="K274" s="161">
        <v>164</v>
      </c>
      <c r="L274" s="161">
        <v>-169</v>
      </c>
      <c r="M274" s="161">
        <v>-437</v>
      </c>
      <c r="N274" s="161">
        <v>-588</v>
      </c>
      <c r="O274" s="161">
        <v>9</v>
      </c>
      <c r="P274" s="161">
        <v>-192</v>
      </c>
      <c r="Q274" s="222">
        <v>120.65431534886807</v>
      </c>
      <c r="R274" s="161">
        <v>-251.13714536823773</v>
      </c>
      <c r="S274" s="161">
        <v>-704.91189798490336</v>
      </c>
      <c r="T274" s="161">
        <v>-39.190693856352027</v>
      </c>
      <c r="U274" s="161">
        <v>-355.31790669495877</v>
      </c>
      <c r="V274" s="161">
        <v>-410.25637355902472</v>
      </c>
      <c r="W274" s="161">
        <v>-431.72322879834701</v>
      </c>
      <c r="X274" s="161">
        <v>-386.02346069018768</v>
      </c>
      <c r="Y274" s="161">
        <v>-351.66351532571571</v>
      </c>
      <c r="Z274" s="161">
        <v>-253.17431722359879</v>
      </c>
      <c r="AA274" s="161"/>
      <c r="AB274" s="184"/>
      <c r="AC274" s="184"/>
      <c r="AD274" s="184"/>
    </row>
    <row r="275" spans="5:30" x14ac:dyDescent="0.55000000000000004">
      <c r="E275" s="212" t="s">
        <v>377</v>
      </c>
      <c r="F275" s="161">
        <v>5</v>
      </c>
      <c r="G275" s="161">
        <v>3</v>
      </c>
      <c r="H275" s="161">
        <v>-15</v>
      </c>
      <c r="I275" s="161">
        <v>-3</v>
      </c>
      <c r="J275" s="161">
        <v>-200</v>
      </c>
      <c r="K275" s="161">
        <v>91</v>
      </c>
      <c r="L275" s="161">
        <v>-487</v>
      </c>
      <c r="M275" s="161">
        <v>240</v>
      </c>
      <c r="N275" s="161">
        <v>391</v>
      </c>
      <c r="O275" s="161">
        <v>47</v>
      </c>
      <c r="P275" s="161">
        <v>132</v>
      </c>
      <c r="Q275" s="222">
        <v>0</v>
      </c>
      <c r="R275" s="161">
        <v>0</v>
      </c>
      <c r="S275" s="161">
        <v>0</v>
      </c>
      <c r="T275" s="161">
        <v>0</v>
      </c>
      <c r="U275" s="161">
        <v>0</v>
      </c>
      <c r="V275" s="161">
        <v>0</v>
      </c>
      <c r="W275" s="161">
        <v>0</v>
      </c>
      <c r="X275" s="161">
        <v>0</v>
      </c>
      <c r="Y275" s="161">
        <v>0</v>
      </c>
      <c r="Z275" s="161">
        <v>0</v>
      </c>
      <c r="AA275" s="161"/>
      <c r="AB275" s="184"/>
      <c r="AC275" s="184"/>
      <c r="AD275" s="184"/>
    </row>
    <row r="276" spans="5:30" x14ac:dyDescent="0.55000000000000004">
      <c r="E276" s="212" t="s">
        <v>378</v>
      </c>
      <c r="F276" s="161">
        <v>-124</v>
      </c>
      <c r="G276" s="161">
        <v>-169</v>
      </c>
      <c r="H276" s="161">
        <v>-107</v>
      </c>
      <c r="I276" s="161">
        <v>-147</v>
      </c>
      <c r="J276" s="161">
        <v>-181</v>
      </c>
      <c r="K276" s="161">
        <v>-215</v>
      </c>
      <c r="L276" s="161">
        <v>-287</v>
      </c>
      <c r="M276" s="161">
        <v>-321</v>
      </c>
      <c r="N276" s="161">
        <v>-308</v>
      </c>
      <c r="O276" s="161">
        <v>-397</v>
      </c>
      <c r="P276" s="161">
        <v>-400</v>
      </c>
      <c r="Q276" s="222">
        <v>-400</v>
      </c>
      <c r="R276" s="161">
        <v>-350</v>
      </c>
      <c r="S276" s="161">
        <v>-200</v>
      </c>
      <c r="T276" s="161">
        <v>-200</v>
      </c>
      <c r="U276" s="161">
        <v>-100</v>
      </c>
      <c r="V276" s="161">
        <v>-100</v>
      </c>
      <c r="W276" s="161">
        <v>-100</v>
      </c>
      <c r="X276" s="161">
        <v>-100</v>
      </c>
      <c r="Y276" s="161">
        <v>-100</v>
      </c>
      <c r="Z276" s="161">
        <v>-100</v>
      </c>
      <c r="AA276" s="161"/>
      <c r="AB276" s="184"/>
      <c r="AC276" s="184"/>
      <c r="AD276" s="184"/>
    </row>
    <row r="277" spans="5:30" x14ac:dyDescent="0.55000000000000004">
      <c r="E277" s="144"/>
      <c r="F277" s="144"/>
      <c r="G277" s="144"/>
      <c r="H277" s="144"/>
      <c r="I277" s="133"/>
      <c r="J277" s="133"/>
      <c r="K277" s="133"/>
      <c r="L277" s="133"/>
      <c r="M277" s="133"/>
      <c r="N277" s="133"/>
      <c r="O277" s="133"/>
      <c r="P277" s="133"/>
      <c r="Q277" s="220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41"/>
      <c r="AC277" s="141"/>
      <c r="AD277" s="141"/>
    </row>
    <row r="278" spans="5:30" x14ac:dyDescent="0.55000000000000004">
      <c r="E278" s="156" t="s">
        <v>379</v>
      </c>
      <c r="F278" s="156">
        <v>-349</v>
      </c>
      <c r="G278" s="156">
        <v>769</v>
      </c>
      <c r="H278" s="156">
        <v>161</v>
      </c>
      <c r="I278" s="156">
        <v>205</v>
      </c>
      <c r="J278" s="156">
        <v>-65</v>
      </c>
      <c r="K278" s="156">
        <v>15</v>
      </c>
      <c r="L278" s="156">
        <v>-1009</v>
      </c>
      <c r="M278" s="156">
        <v>-635</v>
      </c>
      <c r="N278" s="156">
        <v>-500</v>
      </c>
      <c r="O278" s="156">
        <v>-284</v>
      </c>
      <c r="P278" s="156">
        <v>-257</v>
      </c>
      <c r="Q278" s="156">
        <v>-279.34568465113193</v>
      </c>
      <c r="R278" s="156">
        <v>-507.07700817853538</v>
      </c>
      <c r="S278" s="156">
        <v>-784.54544147197169</v>
      </c>
      <c r="T278" s="156">
        <v>-239.19069385635203</v>
      </c>
      <c r="U278" s="156">
        <v>-303.56208673989568</v>
      </c>
      <c r="V278" s="156">
        <v>-345.12849658402172</v>
      </c>
      <c r="W278" s="156">
        <v>-352.87358843678226</v>
      </c>
      <c r="X278" s="156">
        <v>-294.87582388460646</v>
      </c>
      <c r="Y278" s="156">
        <v>-249.29493292148254</v>
      </c>
      <c r="Z278" s="156">
        <v>-142.53959340061419</v>
      </c>
      <c r="AA278" s="156"/>
      <c r="AB278" s="209"/>
      <c r="AC278" s="209"/>
      <c r="AD278" s="209"/>
    </row>
    <row r="279" spans="5:30" x14ac:dyDescent="0.55000000000000004">
      <c r="E279" s="144"/>
      <c r="F279" s="144"/>
      <c r="G279" s="144"/>
      <c r="H279" s="144"/>
      <c r="I279" s="133"/>
      <c r="J279" s="133"/>
      <c r="K279" s="133"/>
      <c r="L279" s="133"/>
      <c r="M279" s="133"/>
      <c r="N279" s="133"/>
      <c r="O279" s="133"/>
      <c r="P279" s="133"/>
      <c r="Q279" s="220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41"/>
      <c r="AC279" s="141"/>
      <c r="AD279" s="141"/>
    </row>
    <row r="280" spans="5:30" x14ac:dyDescent="0.55000000000000004">
      <c r="E280" s="241" t="s">
        <v>380</v>
      </c>
      <c r="F280" s="223">
        <v>2.5668838491417119</v>
      </c>
      <c r="G280" s="223">
        <v>-2.0846504015139891</v>
      </c>
      <c r="H280" s="223">
        <v>-0.23335181745899017</v>
      </c>
      <c r="I280" s="223">
        <v>-0.23032908933699017</v>
      </c>
      <c r="J280" s="223">
        <v>3.9249545092815481E-2</v>
      </c>
      <c r="K280" s="223">
        <v>-1.2170450790273311E-2</v>
      </c>
      <c r="L280" s="223">
        <v>1.0125735957746984</v>
      </c>
      <c r="M280" s="223">
        <v>0.56954779118867271</v>
      </c>
      <c r="N280" s="223">
        <v>0.45013057323995853</v>
      </c>
      <c r="O280" s="223">
        <v>0.38153144154238577</v>
      </c>
      <c r="P280" s="223">
        <v>-0.53760915684049537</v>
      </c>
      <c r="Q280" s="242">
        <v>-2.738743293132738</v>
      </c>
      <c r="R280" s="223">
        <v>0.84201823817412691</v>
      </c>
      <c r="S280" s="223">
        <v>0.7184320483681329</v>
      </c>
      <c r="T280" s="223">
        <v>0.15450645892268614</v>
      </c>
      <c r="U280" s="223">
        <v>0.16332568438874692</v>
      </c>
      <c r="V280" s="223">
        <v>0.16139732343283691</v>
      </c>
      <c r="W280" s="223">
        <v>0.15188928738471497</v>
      </c>
      <c r="X280" s="223">
        <v>0.1180667524958529</v>
      </c>
      <c r="Y280" s="223">
        <v>9.3653979048228295E-2</v>
      </c>
      <c r="Z280" s="223">
        <v>5.0207163234869311E-2</v>
      </c>
      <c r="AA280" s="241"/>
      <c r="AB280" s="243">
        <v>9.8017619313949658E-2</v>
      </c>
      <c r="AC280" s="153"/>
      <c r="AD280" s="243">
        <v>-0.17209217265580898</v>
      </c>
    </row>
    <row r="281" spans="5:30" x14ac:dyDescent="0.55000000000000004">
      <c r="E281" s="241" t="s">
        <v>381</v>
      </c>
      <c r="F281" s="241"/>
      <c r="G281" s="244">
        <v>-0.82179274327604612</v>
      </c>
      <c r="H281" s="244">
        <v>-3.7297519387528602</v>
      </c>
      <c r="I281" s="244">
        <v>-1.2590767269365002</v>
      </c>
      <c r="J281" s="244">
        <v>21.928621945721009</v>
      </c>
      <c r="K281" s="244">
        <v>21.015839467828808</v>
      </c>
      <c r="L281" s="244">
        <v>-0.18912214904902905</v>
      </c>
      <c r="M281" s="244">
        <v>0.20870652661856212</v>
      </c>
      <c r="N281" s="244">
        <v>-8.2310030525717809E-3</v>
      </c>
      <c r="O281" s="244">
        <v>-0.86460483678467448</v>
      </c>
      <c r="P281" s="245">
        <v>3.0546579108664136</v>
      </c>
      <c r="Q281" s="244">
        <v>0.28722462373531421</v>
      </c>
      <c r="R281" s="244">
        <v>-8.1995964985971472</v>
      </c>
      <c r="S281" s="244">
        <v>1.1321086049997788</v>
      </c>
      <c r="T281" s="244">
        <v>2.7030431980018093</v>
      </c>
      <c r="U281" s="244">
        <v>1.2281710952373619</v>
      </c>
      <c r="V281" s="244">
        <v>0.932560591631032</v>
      </c>
      <c r="W281" s="244">
        <v>0.5691278965037484</v>
      </c>
      <c r="X281" s="244">
        <v>0.63546607845175507</v>
      </c>
      <c r="Y281" s="244">
        <v>0.70258501595782252</v>
      </c>
      <c r="Z281" s="244">
        <v>1.3255762664702275</v>
      </c>
      <c r="AA281" s="241"/>
      <c r="AB281" s="152">
        <v>0.72727402367638916</v>
      </c>
      <c r="AC281" s="153"/>
      <c r="AD281" s="152">
        <v>-0.56980979532457654</v>
      </c>
    </row>
    <row r="282" spans="5:30" x14ac:dyDescent="0.55000000000000004">
      <c r="E282" s="144"/>
      <c r="F282" s="144"/>
      <c r="G282" s="144"/>
      <c r="H282" s="144"/>
      <c r="I282" s="133"/>
      <c r="J282" s="133"/>
      <c r="K282" s="133"/>
      <c r="L282" s="133"/>
      <c r="M282" s="133"/>
      <c r="N282" s="133"/>
      <c r="O282" s="133"/>
      <c r="P282" s="133"/>
      <c r="Q282" s="220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41"/>
      <c r="AC282" s="141"/>
      <c r="AD282" s="141"/>
    </row>
    <row r="283" spans="5:30" x14ac:dyDescent="0.55000000000000004">
      <c r="E283" s="246" t="s">
        <v>382</v>
      </c>
      <c r="F283" s="246">
        <v>-213.0374787052811</v>
      </c>
      <c r="G283" s="246">
        <v>1137.8867924528302</v>
      </c>
      <c r="H283" s="246">
        <v>850.94534412955466</v>
      </c>
      <c r="I283" s="246">
        <v>1095.0308710033075</v>
      </c>
      <c r="J283" s="246">
        <v>1591.0701492537314</v>
      </c>
      <c r="K283" s="246">
        <v>1247.4933774834437</v>
      </c>
      <c r="L283" s="246">
        <v>-12.52922077922085</v>
      </c>
      <c r="M283" s="246">
        <v>479.91960784313733</v>
      </c>
      <c r="N283" s="246">
        <v>610.7888015717092</v>
      </c>
      <c r="O283" s="246">
        <v>460.36853448275861</v>
      </c>
      <c r="P283" s="246">
        <v>-735.04245283018872</v>
      </c>
      <c r="Q283" s="233">
        <v>-381.34344594244294</v>
      </c>
      <c r="R283" s="246">
        <v>95.139173359415281</v>
      </c>
      <c r="S283" s="246">
        <v>307.47911847633611</v>
      </c>
      <c r="T283" s="246">
        <v>1308.9044183100671</v>
      </c>
      <c r="U283" s="246">
        <v>1555.0683416338732</v>
      </c>
      <c r="V283" s="246">
        <v>1793.2495709286145</v>
      </c>
      <c r="W283" s="246">
        <v>1970.3553535951949</v>
      </c>
      <c r="X283" s="246">
        <v>2202.6589829185532</v>
      </c>
      <c r="Y283" s="246">
        <v>2412.5773703696032</v>
      </c>
      <c r="Z283" s="246">
        <v>2696.4894259011417</v>
      </c>
      <c r="AA283" s="246"/>
      <c r="AB283" s="247"/>
      <c r="AC283" s="247"/>
      <c r="AD283" s="247"/>
    </row>
    <row r="284" spans="5:30" x14ac:dyDescent="0.55000000000000004">
      <c r="E284" s="161" t="s">
        <v>383</v>
      </c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222">
        <v>-351.79041283611315</v>
      </c>
      <c r="R284" s="161">
        <v>80.964530091843912</v>
      </c>
      <c r="S284" s="161">
        <v>241.38971741066891</v>
      </c>
      <c r="T284" s="161">
        <v>947.93549541743016</v>
      </c>
      <c r="U284" s="161">
        <v>1038.9342054223505</v>
      </c>
      <c r="V284" s="161">
        <v>1105.2156185876022</v>
      </c>
      <c r="W284" s="161">
        <v>1120.2592775517724</v>
      </c>
      <c r="X284" s="161">
        <v>1155.2845585384814</v>
      </c>
      <c r="Y284" s="161">
        <v>1167.3219902077462</v>
      </c>
      <c r="Z284" s="161">
        <v>1203.5824642419147</v>
      </c>
      <c r="AA284" s="161"/>
      <c r="AB284" s="184"/>
      <c r="AC284" s="184"/>
      <c r="AD284" s="184"/>
    </row>
    <row r="285" spans="5:30" x14ac:dyDescent="0.55000000000000004">
      <c r="E285" s="144"/>
      <c r="F285" s="144"/>
      <c r="G285" s="144"/>
      <c r="H285" s="144"/>
      <c r="I285" s="133"/>
      <c r="J285" s="133"/>
      <c r="K285" s="133"/>
      <c r="L285" s="133"/>
      <c r="M285" s="133"/>
      <c r="N285" s="133"/>
      <c r="O285" s="133"/>
      <c r="P285" s="133"/>
      <c r="Q285" s="220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41"/>
      <c r="AC285" s="141"/>
      <c r="AD285" s="141"/>
    </row>
    <row r="286" spans="5:30" x14ac:dyDescent="0.55000000000000004">
      <c r="E286" s="176" t="s">
        <v>384</v>
      </c>
      <c r="F286" s="176"/>
      <c r="G286" s="176"/>
      <c r="H286" s="144"/>
      <c r="I286" s="133"/>
      <c r="J286" s="133"/>
      <c r="K286" s="133"/>
      <c r="L286" s="133"/>
      <c r="M286" s="133"/>
      <c r="N286" s="133"/>
      <c r="O286" s="133"/>
      <c r="P286" s="133"/>
      <c r="Q286" s="220"/>
      <c r="R286" s="133"/>
      <c r="S286" s="248" t="s">
        <v>385</v>
      </c>
      <c r="T286" s="249"/>
      <c r="U286" s="249"/>
      <c r="V286" s="249"/>
      <c r="W286" s="249"/>
      <c r="X286" s="250"/>
      <c r="Y286" s="133"/>
      <c r="Z286" s="133"/>
      <c r="AA286" s="133"/>
      <c r="AB286" s="141"/>
      <c r="AC286" s="141"/>
      <c r="AD286" s="141"/>
    </row>
    <row r="287" spans="5:30" x14ac:dyDescent="0.55000000000000004">
      <c r="E287" s="144" t="s">
        <v>386</v>
      </c>
      <c r="F287" s="144"/>
      <c r="G287" s="144"/>
      <c r="H287" s="144"/>
      <c r="I287" s="133"/>
      <c r="J287" s="133"/>
      <c r="K287" s="133"/>
      <c r="L287" s="133"/>
      <c r="M287" s="133"/>
      <c r="N287" s="133"/>
      <c r="O287" s="133"/>
      <c r="P287" s="133"/>
      <c r="Q287" s="222">
        <v>1880.8567252874132</v>
      </c>
      <c r="R287" s="133"/>
      <c r="S287" s="220" t="s">
        <v>387</v>
      </c>
      <c r="T287" s="133"/>
      <c r="U287" s="144" t="s">
        <v>388</v>
      </c>
      <c r="V287" s="144"/>
      <c r="W287" s="144"/>
      <c r="X287" s="251"/>
      <c r="Y287" s="133"/>
      <c r="Z287" s="161"/>
      <c r="AA287" s="133"/>
      <c r="AB287" s="141"/>
      <c r="AC287" s="141"/>
      <c r="AD287" s="141"/>
    </row>
    <row r="288" spans="5:30" x14ac:dyDescent="0.55000000000000004">
      <c r="E288" s="144" t="s">
        <v>389</v>
      </c>
      <c r="F288" s="144"/>
      <c r="G288" s="144"/>
      <c r="H288" s="144"/>
      <c r="I288" s="133"/>
      <c r="J288" s="133"/>
      <c r="K288" s="133"/>
      <c r="L288" s="133"/>
      <c r="M288" s="133"/>
      <c r="N288" s="133"/>
      <c r="O288" s="133"/>
      <c r="P288" s="133"/>
      <c r="Q288" s="222">
        <v>1852.2146334267163</v>
      </c>
      <c r="R288" s="133"/>
      <c r="S288" s="220" t="s">
        <v>390</v>
      </c>
      <c r="T288" s="144"/>
      <c r="U288" s="144" t="s">
        <v>391</v>
      </c>
      <c r="V288" s="144"/>
      <c r="W288" s="144"/>
      <c r="X288" s="251"/>
      <c r="Y288" s="133"/>
      <c r="Z288" s="161"/>
      <c r="AA288" s="133"/>
      <c r="AB288" s="141"/>
      <c r="AC288" s="141"/>
      <c r="AD288" s="141"/>
    </row>
    <row r="289" spans="1:30" x14ac:dyDescent="0.55000000000000004">
      <c r="A289" s="133"/>
      <c r="B289" s="133"/>
      <c r="C289" s="133"/>
      <c r="D289" s="133"/>
      <c r="E289" s="144" t="s">
        <v>392</v>
      </c>
      <c r="F289" s="144"/>
      <c r="G289" s="144"/>
      <c r="H289" s="144"/>
      <c r="I289" s="133"/>
      <c r="J289" s="133"/>
      <c r="K289" s="133"/>
      <c r="L289" s="133"/>
      <c r="M289" s="133"/>
      <c r="N289" s="133"/>
      <c r="O289" s="133"/>
      <c r="P289" s="133"/>
      <c r="Q289" s="222">
        <v>826.73903015942778</v>
      </c>
      <c r="R289" s="133"/>
      <c r="S289" s="220" t="s">
        <v>393</v>
      </c>
      <c r="T289" s="144"/>
      <c r="U289" s="144"/>
      <c r="V289" s="144"/>
      <c r="W289" s="144"/>
      <c r="X289" s="251"/>
      <c r="Y289" s="133"/>
      <c r="Z289" s="161"/>
      <c r="AA289" s="133"/>
      <c r="AB289" s="141"/>
      <c r="AC289" s="141"/>
      <c r="AD289" s="141"/>
    </row>
    <row r="290" spans="1:30" x14ac:dyDescent="0.55000000000000004">
      <c r="A290" s="133"/>
      <c r="B290" s="133"/>
      <c r="C290" s="133"/>
      <c r="D290" s="133"/>
      <c r="E290" s="144" t="s">
        <v>394</v>
      </c>
      <c r="F290" s="144"/>
      <c r="G290" s="144"/>
      <c r="H290" s="144"/>
      <c r="I290" s="133"/>
      <c r="J290" s="133"/>
      <c r="K290" s="133"/>
      <c r="L290" s="133"/>
      <c r="M290" s="133"/>
      <c r="N290" s="133"/>
      <c r="O290" s="133"/>
      <c r="P290" s="133"/>
      <c r="Q290" s="222">
        <v>38511.24319705605</v>
      </c>
      <c r="R290" s="133"/>
      <c r="S290" s="220"/>
      <c r="T290" s="144"/>
      <c r="U290" s="144"/>
      <c r="V290" s="144"/>
      <c r="W290" s="144"/>
      <c r="X290" s="251"/>
      <c r="Y290" s="133"/>
      <c r="Z290" s="161"/>
      <c r="AA290" s="133"/>
      <c r="AB290" s="141"/>
      <c r="AC290" s="141"/>
      <c r="AD290" s="141"/>
    </row>
    <row r="291" spans="1:30" x14ac:dyDescent="0.55000000000000004">
      <c r="A291" s="133"/>
      <c r="B291" s="133"/>
      <c r="C291" s="133"/>
      <c r="D291" s="133"/>
      <c r="E291" s="144" t="s">
        <v>392</v>
      </c>
      <c r="F291" s="144"/>
      <c r="G291" s="144"/>
      <c r="H291" s="144"/>
      <c r="I291" s="133"/>
      <c r="J291" s="133"/>
      <c r="K291" s="133"/>
      <c r="L291" s="133"/>
      <c r="M291" s="133"/>
      <c r="N291" s="133"/>
      <c r="O291" s="133"/>
      <c r="P291" s="133"/>
      <c r="Q291" s="222">
        <v>15857.414612153387</v>
      </c>
      <c r="R291" s="133"/>
      <c r="S291" s="220"/>
      <c r="T291" s="144"/>
      <c r="U291" s="144"/>
      <c r="V291" s="144"/>
      <c r="W291" s="144"/>
      <c r="X291" s="251"/>
      <c r="Y291" s="133"/>
      <c r="Z291" s="161"/>
      <c r="AA291" s="133"/>
      <c r="AB291" s="141"/>
      <c r="AC291" s="141"/>
      <c r="AD291" s="141"/>
    </row>
    <row r="292" spans="1:30" x14ac:dyDescent="0.55000000000000004">
      <c r="A292" s="133"/>
      <c r="B292" s="133"/>
      <c r="C292" s="133"/>
      <c r="D292" s="133"/>
      <c r="E292" s="144"/>
      <c r="F292" s="144"/>
      <c r="G292" s="144"/>
      <c r="H292" s="144"/>
      <c r="I292" s="133"/>
      <c r="J292" s="133"/>
      <c r="K292" s="133"/>
      <c r="L292" s="133"/>
      <c r="M292" s="133"/>
      <c r="N292" s="133"/>
      <c r="O292" s="133"/>
      <c r="P292" s="133"/>
      <c r="Q292" s="220"/>
      <c r="R292" s="133"/>
      <c r="S292" s="220" t="s">
        <v>395</v>
      </c>
      <c r="T292" s="144"/>
      <c r="U292" s="144"/>
      <c r="V292" s="144"/>
      <c r="W292" s="144"/>
      <c r="X292" s="251"/>
      <c r="Y292" s="133"/>
      <c r="Z292" s="133"/>
      <c r="AA292" s="133"/>
      <c r="AB292" s="141"/>
      <c r="AC292" s="141"/>
      <c r="AD292" s="141"/>
    </row>
    <row r="293" spans="1:30" x14ac:dyDescent="0.55000000000000004">
      <c r="A293" s="133"/>
      <c r="B293" s="133"/>
      <c r="C293" s="133"/>
      <c r="D293" s="133"/>
      <c r="E293" s="176" t="s">
        <v>396</v>
      </c>
      <c r="F293" s="176"/>
      <c r="G293" s="176"/>
      <c r="H293" s="144"/>
      <c r="I293" s="133"/>
      <c r="J293" s="133"/>
      <c r="K293" s="133"/>
      <c r="L293" s="133"/>
      <c r="M293" s="133"/>
      <c r="N293" s="133"/>
      <c r="O293" s="133"/>
      <c r="P293" s="133"/>
      <c r="Q293" s="220"/>
      <c r="R293" s="133"/>
      <c r="S293" s="220"/>
      <c r="T293" s="144"/>
      <c r="U293" s="144"/>
      <c r="V293" s="144"/>
      <c r="W293" s="144"/>
      <c r="X293" s="251"/>
      <c r="Y293" s="133"/>
      <c r="Z293" s="133"/>
      <c r="AA293" s="133"/>
      <c r="AB293" s="141"/>
      <c r="AC293" s="141"/>
      <c r="AD293" s="141"/>
    </row>
    <row r="294" spans="1:30" x14ac:dyDescent="0.55000000000000004">
      <c r="A294" s="133"/>
      <c r="B294" s="133"/>
      <c r="C294" s="133"/>
      <c r="D294" s="133"/>
      <c r="E294" s="144" t="s">
        <v>397</v>
      </c>
      <c r="F294" s="144"/>
      <c r="G294" s="144"/>
      <c r="H294" s="144"/>
      <c r="I294" s="133"/>
      <c r="J294" s="133"/>
      <c r="K294" s="133"/>
      <c r="L294" s="133"/>
      <c r="M294" s="133"/>
      <c r="N294" s="133"/>
      <c r="O294" s="133"/>
      <c r="P294" s="133"/>
      <c r="Q294" s="222">
        <v>0</v>
      </c>
      <c r="R294" s="133"/>
      <c r="S294" s="220"/>
      <c r="T294" s="144"/>
      <c r="U294" s="144"/>
      <c r="V294" s="144"/>
      <c r="W294" s="144"/>
      <c r="X294" s="251"/>
      <c r="Y294" s="133"/>
      <c r="Z294" s="161"/>
      <c r="AA294" s="133"/>
      <c r="AB294" s="141"/>
      <c r="AC294" s="141"/>
      <c r="AD294" s="141"/>
    </row>
    <row r="295" spans="1:30" x14ac:dyDescent="0.55000000000000004">
      <c r="A295" s="133"/>
      <c r="B295" s="133"/>
      <c r="C295" s="133"/>
      <c r="D295" s="133"/>
      <c r="E295" s="144" t="s">
        <v>398</v>
      </c>
      <c r="F295" s="144"/>
      <c r="G295" s="144"/>
      <c r="H295" s="144"/>
      <c r="I295" s="133"/>
      <c r="J295" s="133"/>
      <c r="K295" s="133"/>
      <c r="L295" s="133"/>
      <c r="M295" s="133"/>
      <c r="N295" s="133"/>
      <c r="O295" s="133"/>
      <c r="P295" s="133"/>
      <c r="Q295" s="222">
        <v>0</v>
      </c>
      <c r="R295" s="133"/>
      <c r="S295" s="220"/>
      <c r="T295" s="144"/>
      <c r="U295" s="144"/>
      <c r="V295" s="144"/>
      <c r="W295" s="144"/>
      <c r="X295" s="251"/>
      <c r="Y295" s="133"/>
      <c r="Z295" s="161"/>
      <c r="AA295" s="133"/>
      <c r="AB295" s="141"/>
      <c r="AC295" s="141"/>
      <c r="AD295" s="141"/>
    </row>
    <row r="296" spans="1:30" x14ac:dyDescent="0.55000000000000004">
      <c r="A296" s="133"/>
      <c r="B296" s="133"/>
      <c r="C296" s="133"/>
      <c r="D296" s="133"/>
      <c r="E296" s="144" t="s">
        <v>399</v>
      </c>
      <c r="F296" s="144"/>
      <c r="G296" s="144"/>
      <c r="H296" s="144"/>
      <c r="I296" s="133"/>
      <c r="J296" s="133"/>
      <c r="K296" s="133"/>
      <c r="L296" s="133"/>
      <c r="M296" s="133"/>
      <c r="N296" s="133"/>
      <c r="O296" s="133"/>
      <c r="P296" s="133"/>
      <c r="Q296" s="222">
        <v>0</v>
      </c>
      <c r="R296" s="133"/>
      <c r="S296" s="220" t="s">
        <v>400</v>
      </c>
      <c r="T296" s="144"/>
      <c r="U296" s="144"/>
      <c r="V296" s="144"/>
      <c r="W296" s="144"/>
      <c r="X296" s="251"/>
      <c r="Y296" s="133"/>
      <c r="Z296" s="161"/>
      <c r="AA296" s="133"/>
      <c r="AB296" s="141"/>
      <c r="AC296" s="141"/>
      <c r="AD296" s="141"/>
    </row>
    <row r="297" spans="1:30" ht="16.149999999999999" thickBot="1" x14ac:dyDescent="0.6">
      <c r="A297" s="133"/>
      <c r="B297" s="133"/>
      <c r="C297" s="133"/>
      <c r="D297" s="133"/>
      <c r="E297" s="144" t="s">
        <v>401</v>
      </c>
      <c r="F297" s="144"/>
      <c r="G297" s="144"/>
      <c r="H297" s="144"/>
      <c r="I297" s="133"/>
      <c r="J297" s="133"/>
      <c r="K297" s="133"/>
      <c r="L297" s="133"/>
      <c r="M297" s="133"/>
      <c r="N297" s="133"/>
      <c r="O297" s="133"/>
      <c r="P297" s="133"/>
      <c r="Q297" s="222">
        <v>0</v>
      </c>
      <c r="R297" s="133"/>
      <c r="S297" s="252"/>
      <c r="T297" s="253"/>
      <c r="U297" s="253"/>
      <c r="V297" s="253"/>
      <c r="W297" s="253"/>
      <c r="X297" s="254"/>
      <c r="Y297" s="133"/>
      <c r="Z297" s="161"/>
      <c r="AA297" s="133"/>
      <c r="AB297" s="141"/>
      <c r="AC297" s="141"/>
      <c r="AD297" s="141"/>
    </row>
    <row r="298" spans="1:30" x14ac:dyDescent="0.55000000000000004">
      <c r="A298" s="133"/>
      <c r="B298" s="133"/>
      <c r="C298" s="133"/>
      <c r="D298" s="133"/>
      <c r="E298" s="144"/>
      <c r="F298" s="144"/>
      <c r="G298" s="144"/>
      <c r="H298" s="144"/>
      <c r="I298" s="133"/>
      <c r="J298" s="133"/>
      <c r="K298" s="133"/>
      <c r="L298" s="133"/>
      <c r="M298" s="133"/>
      <c r="N298" s="133"/>
      <c r="O298" s="133"/>
      <c r="P298" s="133"/>
      <c r="Q298" s="222"/>
      <c r="R298" s="133"/>
      <c r="S298" s="144"/>
      <c r="T298" s="144"/>
      <c r="U298" s="144"/>
      <c r="V298" s="144"/>
      <c r="W298" s="144"/>
      <c r="X298" s="144"/>
      <c r="Y298" s="133"/>
      <c r="Z298" s="161"/>
      <c r="AA298" s="133"/>
      <c r="AB298" s="141"/>
      <c r="AC298" s="141"/>
      <c r="AD298" s="141"/>
    </row>
    <row r="299" spans="1:30" x14ac:dyDescent="0.55000000000000004">
      <c r="A299" s="142"/>
      <c r="B299" s="142"/>
      <c r="C299" s="142"/>
      <c r="D299" s="142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9"/>
      <c r="Q299" s="236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41"/>
      <c r="AC299" s="141"/>
      <c r="AD299" s="141"/>
    </row>
    <row r="300" spans="1:30" x14ac:dyDescent="0.55000000000000004">
      <c r="A300" s="203" t="s">
        <v>402</v>
      </c>
      <c r="B300" s="203"/>
      <c r="C300" s="20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  <c r="AA300" s="203"/>
      <c r="AB300" s="204"/>
      <c r="AC300" s="204"/>
      <c r="AD300" s="204"/>
    </row>
    <row r="301" spans="1:30" x14ac:dyDescent="0.55000000000000004">
      <c r="A301" s="133"/>
      <c r="B301" s="133"/>
      <c r="C301" s="133"/>
      <c r="D301" s="133"/>
      <c r="E301" s="144"/>
      <c r="F301" s="144"/>
      <c r="G301" s="144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41"/>
      <c r="AC301" s="141"/>
      <c r="AD301" s="141"/>
    </row>
    <row r="302" spans="1:30" x14ac:dyDescent="0.55000000000000004">
      <c r="A302" s="133"/>
      <c r="B302" s="133"/>
      <c r="C302" s="133"/>
      <c r="D302" s="133"/>
      <c r="E302" s="176" t="s">
        <v>403</v>
      </c>
      <c r="F302" s="176"/>
      <c r="G302" s="176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41"/>
      <c r="AC302" s="141"/>
      <c r="AD302" s="141"/>
    </row>
    <row r="303" spans="1:30" x14ac:dyDescent="0.55000000000000004">
      <c r="A303" s="161"/>
      <c r="B303" s="161"/>
      <c r="C303" s="161"/>
      <c r="D303" s="161"/>
      <c r="E303" s="144" t="s">
        <v>354</v>
      </c>
      <c r="F303" s="161">
        <v>135.9625212947189</v>
      </c>
      <c r="G303" s="161">
        <v>368.88679245283021</v>
      </c>
      <c r="H303" s="161">
        <v>689.94534412955466</v>
      </c>
      <c r="I303" s="161">
        <v>890.03087100330754</v>
      </c>
      <c r="J303" s="161">
        <v>1656.0701492537314</v>
      </c>
      <c r="K303" s="161">
        <v>1232.4933774834437</v>
      </c>
      <c r="L303" s="161">
        <v>996.47077922077915</v>
      </c>
      <c r="M303" s="161">
        <v>1114.9196078431373</v>
      </c>
      <c r="N303" s="161">
        <v>1110.7888015717092</v>
      </c>
      <c r="O303" s="161">
        <v>744.36853448275861</v>
      </c>
      <c r="P303" s="161">
        <v>-478.04245283018867</v>
      </c>
      <c r="Q303" s="161">
        <v>-101.99776129131098</v>
      </c>
      <c r="R303" s="161">
        <v>602.21618153795066</v>
      </c>
      <c r="S303" s="161">
        <v>1092.0245599483078</v>
      </c>
      <c r="T303" s="161">
        <v>1548.0951121664191</v>
      </c>
      <c r="U303" s="161">
        <v>1858.6304283737688</v>
      </c>
      <c r="V303" s="161">
        <v>2138.3780675126363</v>
      </c>
      <c r="W303" s="161">
        <v>2323.2289420319771</v>
      </c>
      <c r="X303" s="161">
        <v>2497.5348068031599</v>
      </c>
      <c r="Y303" s="161">
        <v>2661.8723032910857</v>
      </c>
      <c r="Z303" s="161">
        <v>2839.0290193017559</v>
      </c>
      <c r="AA303" s="161"/>
      <c r="AB303" s="184"/>
      <c r="AC303" s="184"/>
      <c r="AD303" s="184"/>
    </row>
    <row r="304" spans="1:30" x14ac:dyDescent="0.55000000000000004">
      <c r="A304" s="185"/>
      <c r="B304" s="185"/>
      <c r="C304" s="185"/>
      <c r="D304" s="185"/>
      <c r="E304" s="149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8"/>
      <c r="AC304" s="188"/>
      <c r="AD304" s="188"/>
    </row>
    <row r="305" spans="5:30" x14ac:dyDescent="0.55000000000000004">
      <c r="E305" s="149"/>
      <c r="F305" s="187"/>
      <c r="G305" s="187"/>
      <c r="H305" s="187"/>
      <c r="I305" s="187"/>
      <c r="J305" s="187"/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  <c r="AA305" s="185"/>
      <c r="AB305" s="188"/>
      <c r="AC305" s="188"/>
      <c r="AD305" s="188"/>
    </row>
    <row r="306" spans="5:30" x14ac:dyDescent="0.55000000000000004">
      <c r="E306" s="144" t="s">
        <v>404</v>
      </c>
      <c r="F306" s="161">
        <v>574.96</v>
      </c>
      <c r="G306" s="161">
        <v>458.08400000000006</v>
      </c>
      <c r="H306" s="161">
        <v>662.75599999999997</v>
      </c>
      <c r="I306" s="161">
        <v>864.03800000000001</v>
      </c>
      <c r="J306" s="161">
        <v>1288.2539999999999</v>
      </c>
      <c r="K306" s="161">
        <v>993.11</v>
      </c>
      <c r="L306" s="161">
        <v>867.29599999999994</v>
      </c>
      <c r="M306" s="161">
        <v>953.4559999999999</v>
      </c>
      <c r="N306" s="161">
        <v>1043.7139999999999</v>
      </c>
      <c r="O306" s="161">
        <v>840.39400000000001</v>
      </c>
      <c r="P306" s="161">
        <v>-837.62400000000002</v>
      </c>
      <c r="Q306" s="161">
        <v>-55.332333339521675</v>
      </c>
      <c r="R306" s="161">
        <v>650.43354602900342</v>
      </c>
      <c r="S306" s="161">
        <v>1101.6924766236809</v>
      </c>
      <c r="T306" s="161">
        <v>1533.2368684073942</v>
      </c>
      <c r="U306" s="161">
        <v>1838.7772951826073</v>
      </c>
      <c r="V306" s="161">
        <v>1838.7772951826073</v>
      </c>
      <c r="W306" s="161">
        <v>2154.0548043136778</v>
      </c>
      <c r="X306" s="161">
        <v>2375.9557664735785</v>
      </c>
      <c r="Y306" s="161">
        <v>2587.5134638654458</v>
      </c>
      <c r="Z306" s="161">
        <v>2789.2782520192391</v>
      </c>
      <c r="AA306" s="161"/>
      <c r="AB306" s="184"/>
      <c r="AC306" s="184"/>
      <c r="AD306" s="184"/>
    </row>
    <row r="307" spans="5:30" x14ac:dyDescent="0.55000000000000004">
      <c r="E307" s="144"/>
      <c r="F307" s="144"/>
      <c r="G307" s="144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41"/>
      <c r="AC307" s="141"/>
      <c r="AD307" s="141"/>
    </row>
    <row r="308" spans="5:30" x14ac:dyDescent="0.55000000000000004">
      <c r="E308" s="144" t="s">
        <v>405</v>
      </c>
      <c r="F308" s="161">
        <v>5076.32</v>
      </c>
      <c r="G308" s="161">
        <v>4135.88</v>
      </c>
      <c r="H308" s="161">
        <v>3709.2</v>
      </c>
      <c r="I308" s="161">
        <v>4073.86</v>
      </c>
      <c r="J308" s="161">
        <v>3719.34</v>
      </c>
      <c r="K308" s="161">
        <v>4226.66</v>
      </c>
      <c r="L308" s="161">
        <v>4383.08</v>
      </c>
      <c r="M308" s="161">
        <v>6511.1399999999994</v>
      </c>
      <c r="N308" s="161">
        <v>8497.7799999999988</v>
      </c>
      <c r="O308" s="161">
        <v>9199.34</v>
      </c>
      <c r="P308" s="161">
        <v>9356.119999999999</v>
      </c>
      <c r="Q308" s="161">
        <v>7744.0011222229878</v>
      </c>
      <c r="R308" s="161">
        <v>8041.2632415884782</v>
      </c>
      <c r="S308" s="161">
        <v>8626.4339603533663</v>
      </c>
      <c r="T308" s="161">
        <v>8619.1284383784732</v>
      </c>
      <c r="U308" s="161">
        <v>8644.7441947181414</v>
      </c>
      <c r="V308" s="161">
        <v>8769.9609193819197</v>
      </c>
      <c r="W308" s="161">
        <v>8955.9215613649503</v>
      </c>
      <c r="X308" s="161">
        <v>9129.7893710256212</v>
      </c>
      <c r="Y308" s="161">
        <v>9305.3680863417139</v>
      </c>
      <c r="Z308" s="161">
        <v>9413.9722454173316</v>
      </c>
      <c r="AA308" s="161"/>
      <c r="AB308" s="184"/>
      <c r="AC308" s="184"/>
      <c r="AD308" s="184"/>
    </row>
    <row r="309" spans="5:30" x14ac:dyDescent="0.55000000000000004">
      <c r="E309" s="144" t="s">
        <v>406</v>
      </c>
      <c r="F309" s="161">
        <v>4860.32</v>
      </c>
      <c r="G309" s="161">
        <v>3920.88</v>
      </c>
      <c r="H309" s="161">
        <v>3494.2</v>
      </c>
      <c r="I309" s="161">
        <v>3821.86</v>
      </c>
      <c r="J309" s="161">
        <v>3410.34</v>
      </c>
      <c r="K309" s="161">
        <v>3922.66</v>
      </c>
      <c r="L309" s="161">
        <v>4004.08</v>
      </c>
      <c r="M309" s="161">
        <v>6452.1399999999994</v>
      </c>
      <c r="N309" s="161">
        <v>8119.7799999999988</v>
      </c>
      <c r="O309" s="161">
        <v>7691.34</v>
      </c>
      <c r="P309" s="161">
        <v>7842.119999999999</v>
      </c>
      <c r="Q309" s="161">
        <v>6230.0011222229878</v>
      </c>
      <c r="R309" s="161">
        <v>6527.2632415884782</v>
      </c>
      <c r="S309" s="161">
        <v>7112.4339603533663</v>
      </c>
      <c r="T309" s="161">
        <v>7105.1284383784732</v>
      </c>
      <c r="U309" s="161">
        <v>7130.7441947181414</v>
      </c>
      <c r="V309" s="161">
        <v>7255.9609193819197</v>
      </c>
      <c r="W309" s="161">
        <v>7441.9215613649503</v>
      </c>
      <c r="X309" s="161">
        <v>7615.7893710256212</v>
      </c>
      <c r="Y309" s="161">
        <v>7791.3680863417139</v>
      </c>
      <c r="Z309" s="161">
        <v>7899.9722454173316</v>
      </c>
      <c r="AA309" s="161"/>
      <c r="AB309" s="184"/>
      <c r="AC309" s="184"/>
      <c r="AD309" s="184"/>
    </row>
    <row r="310" spans="5:30" x14ac:dyDescent="0.55000000000000004">
      <c r="E310" s="149" t="s">
        <v>407</v>
      </c>
      <c r="F310" s="185">
        <v>0</v>
      </c>
      <c r="G310" s="185">
        <v>0</v>
      </c>
      <c r="H310" s="185">
        <v>0</v>
      </c>
      <c r="I310" s="185">
        <v>0</v>
      </c>
      <c r="J310" s="185">
        <v>0</v>
      </c>
      <c r="K310" s="185">
        <v>0</v>
      </c>
      <c r="L310" s="185">
        <v>0</v>
      </c>
      <c r="M310" s="185">
        <v>0</v>
      </c>
      <c r="N310" s="185">
        <v>0</v>
      </c>
      <c r="O310" s="185">
        <v>0</v>
      </c>
      <c r="P310" s="185">
        <v>0</v>
      </c>
      <c r="Q310" s="185">
        <v>0</v>
      </c>
      <c r="R310" s="185">
        <v>0</v>
      </c>
      <c r="S310" s="185">
        <v>0</v>
      </c>
      <c r="T310" s="185">
        <v>0</v>
      </c>
      <c r="U310" s="185">
        <v>0</v>
      </c>
      <c r="V310" s="185">
        <v>0</v>
      </c>
      <c r="W310" s="185">
        <v>0</v>
      </c>
      <c r="X310" s="185">
        <v>0</v>
      </c>
      <c r="Y310" s="185">
        <v>0</v>
      </c>
      <c r="Z310" s="185">
        <v>0</v>
      </c>
      <c r="AA310" s="185"/>
      <c r="AB310" s="188"/>
      <c r="AC310" s="188"/>
      <c r="AD310" s="188"/>
    </row>
    <row r="311" spans="5:30" x14ac:dyDescent="0.55000000000000004">
      <c r="E311" s="149" t="s">
        <v>408</v>
      </c>
      <c r="F311" s="187"/>
      <c r="G311" s="187"/>
      <c r="H311" s="187"/>
      <c r="I311" s="187"/>
      <c r="J311" s="187"/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  <c r="AA311" s="185"/>
      <c r="AB311" s="188"/>
      <c r="AC311" s="188"/>
      <c r="AD311" s="188"/>
    </row>
    <row r="312" spans="5:30" x14ac:dyDescent="0.55000000000000004">
      <c r="E312" s="144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84"/>
      <c r="AC312" s="184"/>
      <c r="AD312" s="184"/>
    </row>
    <row r="313" spans="5:30" x14ac:dyDescent="0.55000000000000004"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41"/>
      <c r="AC313" s="141"/>
      <c r="AD313" s="141"/>
    </row>
    <row r="314" spans="5:30" x14ac:dyDescent="0.55000000000000004">
      <c r="E314" s="144" t="s">
        <v>409</v>
      </c>
      <c r="F314" s="150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  <c r="AA314" s="133"/>
      <c r="AB314" s="141"/>
      <c r="AC314" s="141"/>
      <c r="AD314" s="141"/>
    </row>
    <row r="315" spans="5:30" x14ac:dyDescent="0.55000000000000004">
      <c r="E315" s="144" t="s">
        <v>410</v>
      </c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50">
        <v>12</v>
      </c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41"/>
      <c r="AC315" s="141"/>
      <c r="AD315" s="141"/>
    </row>
    <row r="316" spans="5:30" x14ac:dyDescent="0.55000000000000004">
      <c r="E316" s="144" t="s">
        <v>411</v>
      </c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255">
        <v>6.5000000000000002E-2</v>
      </c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41"/>
      <c r="AC316" s="141"/>
      <c r="AD316" s="141"/>
    </row>
    <row r="317" spans="5:30" x14ac:dyDescent="0.55000000000000004">
      <c r="E317" s="144" t="s">
        <v>412</v>
      </c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61">
        <v>6.7415730337078656</v>
      </c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41"/>
      <c r="AC317" s="141"/>
      <c r="AD317" s="141"/>
    </row>
    <row r="318" spans="5:30" ht="16.149999999999999" thickBot="1" x14ac:dyDescent="0.6"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41"/>
      <c r="AC318" s="141"/>
      <c r="AD318" s="141"/>
    </row>
    <row r="319" spans="5:30" x14ac:dyDescent="0.55000000000000004">
      <c r="E319" s="174"/>
      <c r="F319" s="174"/>
      <c r="G319" s="174"/>
      <c r="H319" s="174"/>
      <c r="I319" s="174"/>
      <c r="J319" s="174"/>
      <c r="K319" s="174"/>
      <c r="L319" s="174"/>
      <c r="M319" s="174"/>
      <c r="N319" s="174"/>
      <c r="O319" s="174"/>
      <c r="P319" s="256"/>
      <c r="Q319" s="174"/>
      <c r="R319" s="174"/>
      <c r="S319" s="174"/>
      <c r="T319" s="174"/>
      <c r="U319" s="174"/>
      <c r="V319" s="174"/>
      <c r="W319" s="174"/>
      <c r="X319" s="174"/>
      <c r="Y319" s="174"/>
      <c r="Z319" s="174"/>
      <c r="AA319" s="174"/>
      <c r="AB319" s="175"/>
      <c r="AC319" s="175"/>
      <c r="AD319" s="175"/>
    </row>
    <row r="320" spans="5:30" x14ac:dyDescent="0.55000000000000004">
      <c r="E320" s="176" t="s">
        <v>413</v>
      </c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83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  <c r="AA320" s="144"/>
      <c r="AB320" s="141"/>
      <c r="AC320" s="141"/>
      <c r="AD320" s="141"/>
    </row>
    <row r="321" spans="5:56" x14ac:dyDescent="0.55000000000000004">
      <c r="E321" s="144"/>
      <c r="F321" s="244"/>
      <c r="G321" s="244"/>
      <c r="H321" s="244"/>
      <c r="I321" s="244"/>
      <c r="J321" s="244"/>
      <c r="K321" s="244"/>
      <c r="L321" s="244"/>
      <c r="M321" s="244"/>
      <c r="N321" s="244"/>
      <c r="O321" s="244"/>
      <c r="P321" s="244"/>
      <c r="Q321" s="257"/>
      <c r="R321" s="244"/>
      <c r="S321" s="244"/>
      <c r="T321" s="244"/>
      <c r="U321" s="244"/>
      <c r="V321" s="244"/>
      <c r="W321" s="244"/>
      <c r="X321" s="244"/>
      <c r="Y321" s="244"/>
      <c r="Z321" s="244"/>
      <c r="AA321" s="258"/>
      <c r="AB321" s="152"/>
      <c r="AC321" s="153"/>
      <c r="AD321" s="152"/>
      <c r="AE321" s="258"/>
      <c r="AF321" s="258"/>
      <c r="AG321" s="258"/>
      <c r="AH321" s="258"/>
      <c r="AI321" s="258"/>
      <c r="AJ321" s="258"/>
      <c r="AK321" s="258"/>
      <c r="AL321" s="258"/>
      <c r="AM321" s="258"/>
      <c r="AN321" s="258"/>
      <c r="AO321" s="258"/>
      <c r="AP321" s="258"/>
      <c r="AQ321" s="258"/>
      <c r="AR321" s="258"/>
      <c r="AS321" s="258"/>
      <c r="AT321" s="258"/>
      <c r="AU321" s="258"/>
      <c r="AV321" s="258"/>
      <c r="AW321" s="258"/>
      <c r="AX321" s="258"/>
      <c r="AY321" s="258"/>
      <c r="AZ321" s="258"/>
      <c r="BA321" s="258"/>
      <c r="BB321" s="258"/>
      <c r="BC321" s="258"/>
      <c r="BD321" s="258"/>
    </row>
    <row r="322" spans="5:56" x14ac:dyDescent="0.55000000000000004">
      <c r="E322" s="144" t="s">
        <v>414</v>
      </c>
      <c r="F322" s="244">
        <v>2.7973985518385397E-2</v>
      </c>
      <c r="G322" s="244">
        <v>0.104332892998679</v>
      </c>
      <c r="H322" s="244">
        <v>0.17875896146771172</v>
      </c>
      <c r="I322" s="244">
        <v>0.23620309292159988</v>
      </c>
      <c r="J322" s="244">
        <v>0.35625508144133178</v>
      </c>
      <c r="K322" s="244">
        <v>0.27086049365880266</v>
      </c>
      <c r="L322" s="244">
        <v>0.21882791664669207</v>
      </c>
      <c r="M322" s="244">
        <v>0.18237106717341445</v>
      </c>
      <c r="N322" s="244">
        <v>0.1432500315675628</v>
      </c>
      <c r="O322" s="244">
        <v>0.10630417073553294</v>
      </c>
      <c r="P322" s="244">
        <v>-0.10784770424618856</v>
      </c>
      <c r="Q322" s="257">
        <v>-7.8641070324699924E-3</v>
      </c>
      <c r="R322" s="244">
        <v>0.10197069332106785</v>
      </c>
      <c r="S322" s="244">
        <v>0.16154207242472157</v>
      </c>
      <c r="T322" s="244">
        <v>0.21568210153157535</v>
      </c>
      <c r="U322" s="244">
        <v>0.25833011330934236</v>
      </c>
      <c r="V322" s="244">
        <v>0.25786611396670484</v>
      </c>
      <c r="W322" s="244">
        <v>0.29945074806635752</v>
      </c>
      <c r="X322" s="244">
        <v>0.32330585981836546</v>
      </c>
      <c r="Y322" s="244">
        <v>0.34367952412998681</v>
      </c>
      <c r="Z322" s="244">
        <v>0.36207564695010924</v>
      </c>
      <c r="AA322" s="258"/>
      <c r="AB322" s="152">
        <v>4.7235499352302396E-2</v>
      </c>
      <c r="AC322" s="153"/>
      <c r="AD322" s="152">
        <v>0.14593217471084743</v>
      </c>
      <c r="AE322" s="258"/>
      <c r="AF322" s="258"/>
      <c r="AG322" s="258"/>
      <c r="AH322" s="258"/>
      <c r="AI322" s="258"/>
      <c r="AJ322" s="258"/>
      <c r="AK322" s="258"/>
      <c r="AL322" s="258"/>
      <c r="AM322" s="258"/>
      <c r="AN322" s="258"/>
      <c r="AO322" s="258"/>
      <c r="AP322" s="258"/>
      <c r="AQ322" s="258"/>
      <c r="AR322" s="258"/>
      <c r="AS322" s="258"/>
      <c r="AT322" s="258"/>
      <c r="AU322" s="258"/>
      <c r="AV322" s="258"/>
      <c r="AW322" s="258"/>
      <c r="AX322" s="258"/>
      <c r="AY322" s="258"/>
      <c r="AZ322" s="258"/>
      <c r="BA322" s="258"/>
      <c r="BB322" s="258"/>
      <c r="BC322" s="258"/>
      <c r="BD322" s="258"/>
    </row>
    <row r="323" spans="5:56" x14ac:dyDescent="0.55000000000000004">
      <c r="E323" s="176" t="s">
        <v>415</v>
      </c>
      <c r="F323" s="259" t="e">
        <v>#DIV/0!</v>
      </c>
      <c r="G323" s="259">
        <v>9.9451596795553723E-2</v>
      </c>
      <c r="H323" s="259">
        <v>0.16896092837804075</v>
      </c>
      <c r="I323" s="259">
        <v>0.22203040963322912</v>
      </c>
      <c r="J323" s="259">
        <v>0.33060976235692652</v>
      </c>
      <c r="K323" s="259">
        <v>0.24996476214447522</v>
      </c>
      <c r="L323" s="259">
        <v>0.20146856931800494</v>
      </c>
      <c r="M323" s="259">
        <v>0.17503887382483552</v>
      </c>
      <c r="N323" s="259">
        <v>0.13907916092563619</v>
      </c>
      <c r="O323" s="259">
        <v>9.4975227607655921E-2</v>
      </c>
      <c r="P323" s="259">
        <v>-9.0283291279224562E-2</v>
      </c>
      <c r="Q323" s="260">
        <v>-6.4715720951956102E-3</v>
      </c>
      <c r="R323" s="259">
        <v>8.2410218927996659E-2</v>
      </c>
      <c r="S323" s="259">
        <v>0.13219492330294191</v>
      </c>
      <c r="T323" s="259">
        <v>0.17781233606161101</v>
      </c>
      <c r="U323" s="259">
        <v>0.21302025730397042</v>
      </c>
      <c r="V323" s="259">
        <v>0.2127046507988152</v>
      </c>
      <c r="W323" s="259">
        <v>0.24738343718144465</v>
      </c>
      <c r="X323" s="259">
        <v>0.2680775717715882</v>
      </c>
      <c r="Y323" s="259">
        <v>0.28613898270720928</v>
      </c>
      <c r="Z323" s="259">
        <v>0.30260422331294445</v>
      </c>
      <c r="AA323" s="261"/>
      <c r="AB323" s="262">
        <v>4.7923699084689186E-2</v>
      </c>
      <c r="AC323" s="263"/>
      <c r="AD323" s="262">
        <v>0.11979323270026487</v>
      </c>
      <c r="AE323" s="261"/>
      <c r="AF323" s="261"/>
      <c r="AG323" s="261"/>
      <c r="AH323" s="261"/>
      <c r="AI323" s="261"/>
      <c r="AJ323" s="261"/>
      <c r="AK323" s="261"/>
      <c r="AL323" s="261"/>
      <c r="AM323" s="261"/>
      <c r="AN323" s="261"/>
      <c r="AO323" s="261"/>
      <c r="AP323" s="261"/>
      <c r="AQ323" s="261"/>
      <c r="AR323" s="261"/>
      <c r="AS323" s="261"/>
      <c r="AT323" s="261"/>
      <c r="AU323" s="261"/>
      <c r="AV323" s="261"/>
      <c r="AW323" s="261"/>
      <c r="AX323" s="261"/>
      <c r="AY323" s="261"/>
      <c r="AZ323" s="261"/>
      <c r="BA323" s="261"/>
      <c r="BB323" s="261"/>
      <c r="BC323" s="261"/>
      <c r="BD323" s="261"/>
    </row>
    <row r="324" spans="5:56" x14ac:dyDescent="0.55000000000000004">
      <c r="E324" s="144"/>
      <c r="F324" s="144"/>
      <c r="G324" s="144"/>
      <c r="H324" s="133"/>
      <c r="I324" s="133"/>
      <c r="J324" s="133"/>
      <c r="K324" s="133"/>
      <c r="L324" s="133"/>
      <c r="M324" s="133"/>
      <c r="N324" s="133"/>
      <c r="O324" s="133"/>
      <c r="P324" s="133"/>
      <c r="Q324" s="220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41"/>
      <c r="AC324" s="141"/>
      <c r="AD324" s="141"/>
      <c r="AE324" s="133"/>
      <c r="AF324" s="133"/>
      <c r="AG324" s="133"/>
      <c r="AH324" s="133"/>
      <c r="AI324" s="133"/>
      <c r="AJ324" s="133"/>
      <c r="AK324" s="133"/>
      <c r="AL324" s="133"/>
      <c r="AM324" s="133"/>
      <c r="AN324" s="133"/>
      <c r="AO324" s="133"/>
      <c r="AP324" s="133"/>
      <c r="AQ324" s="133"/>
      <c r="AR324" s="133"/>
      <c r="AS324" s="133"/>
      <c r="AT324" s="133"/>
      <c r="AU324" s="133"/>
      <c r="AV324" s="133"/>
      <c r="AW324" s="133"/>
      <c r="AX324" s="133"/>
      <c r="AY324" s="133"/>
      <c r="AZ324" s="133"/>
      <c r="BA324" s="133"/>
      <c r="BB324" s="133"/>
      <c r="BC324" s="133"/>
      <c r="BD324" s="133"/>
    </row>
    <row r="325" spans="5:56" x14ac:dyDescent="0.55000000000000004">
      <c r="E325" s="144"/>
      <c r="F325" s="144"/>
      <c r="G325" s="244"/>
      <c r="H325" s="244"/>
      <c r="I325" s="244"/>
      <c r="J325" s="244"/>
      <c r="K325" s="244"/>
      <c r="L325" s="244"/>
      <c r="M325" s="244"/>
      <c r="N325" s="244"/>
      <c r="O325" s="244"/>
      <c r="P325" s="244"/>
      <c r="Q325" s="257"/>
      <c r="R325" s="244"/>
      <c r="S325" s="244"/>
      <c r="T325" s="244"/>
      <c r="U325" s="244"/>
      <c r="V325" s="244"/>
      <c r="W325" s="244"/>
      <c r="X325" s="244"/>
      <c r="Y325" s="244"/>
      <c r="Z325" s="244"/>
      <c r="AA325" s="258"/>
      <c r="AB325" s="152"/>
      <c r="AC325" s="153"/>
      <c r="AD325" s="152"/>
      <c r="AE325" s="258"/>
      <c r="AF325" s="258"/>
      <c r="AG325" s="258"/>
      <c r="AH325" s="258"/>
      <c r="AI325" s="258"/>
      <c r="AJ325" s="258"/>
      <c r="AK325" s="258"/>
      <c r="AL325" s="258"/>
      <c r="AM325" s="264"/>
      <c r="AN325" s="264"/>
      <c r="AO325" s="225"/>
      <c r="AP325" s="264"/>
      <c r="AQ325" s="264"/>
      <c r="AR325" s="225"/>
      <c r="AS325" s="264"/>
      <c r="AT325" s="264"/>
      <c r="AU325" s="225"/>
      <c r="AV325" s="264"/>
      <c r="AW325" s="264"/>
      <c r="AX325" s="225"/>
      <c r="AY325" s="264"/>
      <c r="AZ325" s="264"/>
      <c r="BA325" s="225"/>
      <c r="BB325" s="264"/>
      <c r="BC325" s="264"/>
      <c r="BD325" s="258"/>
    </row>
    <row r="326" spans="5:56" x14ac:dyDescent="0.55000000000000004">
      <c r="E326" s="144" t="s">
        <v>416</v>
      </c>
      <c r="F326" s="144"/>
      <c r="G326" s="244">
        <v>0.12427799753306966</v>
      </c>
      <c r="H326" s="244">
        <v>-0.47968500984344187</v>
      </c>
      <c r="I326" s="244">
        <v>0.55197169966544146</v>
      </c>
      <c r="J326" s="244">
        <v>-1.1965925758772407</v>
      </c>
      <c r="K326" s="244">
        <v>-0.58177087439880115</v>
      </c>
      <c r="L326" s="244">
        <v>-0.80433448408131969</v>
      </c>
      <c r="M326" s="244">
        <v>4.0487580237399297E-2</v>
      </c>
      <c r="N326" s="244">
        <v>4.5432489026698358E-2</v>
      </c>
      <c r="O326" s="244">
        <v>-0.28981127772392967</v>
      </c>
      <c r="P326" s="244">
        <v>-10.703010588085171</v>
      </c>
      <c r="Q326" s="257">
        <v>-0.48525681166837886</v>
      </c>
      <c r="R326" s="244">
        <v>2.3742207075526167</v>
      </c>
      <c r="S326" s="244">
        <v>0.77115774273043536</v>
      </c>
      <c r="T326" s="244">
        <v>-59.070986750406803</v>
      </c>
      <c r="U326" s="244">
        <v>11.927831555067424</v>
      </c>
      <c r="V326" s="244" t="e">
        <v>#DIV/0!</v>
      </c>
      <c r="W326" s="244">
        <v>2.5178546234748436</v>
      </c>
      <c r="X326" s="244">
        <v>1.1932684238643878</v>
      </c>
      <c r="Y326" s="244">
        <v>1.2167732359702117</v>
      </c>
      <c r="Z326" s="244">
        <v>1.1491414992447004</v>
      </c>
      <c r="AA326" s="258"/>
      <c r="AB326" s="152">
        <v>-3.6491297922608008</v>
      </c>
      <c r="AC326" s="153"/>
      <c r="AD326" s="152">
        <v>-8.8966067113449405</v>
      </c>
      <c r="AE326" s="258"/>
      <c r="AF326" s="258"/>
      <c r="AG326" s="258"/>
      <c r="AH326" s="258"/>
      <c r="AI326" s="258"/>
      <c r="AJ326" s="258"/>
      <c r="AK326" s="258"/>
      <c r="AL326" s="258"/>
      <c r="AM326" s="264" t="s">
        <v>417</v>
      </c>
      <c r="AN326" s="264"/>
      <c r="AO326" s="264">
        <v>-6.4715720951956102E-3</v>
      </c>
      <c r="AP326" s="264"/>
      <c r="AQ326" s="264"/>
      <c r="AR326" s="264">
        <v>8.2410218927996659E-2</v>
      </c>
      <c r="AS326" s="264"/>
      <c r="AT326" s="264"/>
      <c r="AU326" s="264">
        <v>0.13219492330294191</v>
      </c>
      <c r="AV326" s="264"/>
      <c r="AW326" s="264"/>
      <c r="AX326" s="264">
        <v>0.17781233606161101</v>
      </c>
      <c r="AY326" s="264"/>
      <c r="AZ326" s="264"/>
      <c r="BA326" s="264">
        <v>0.21302025730397042</v>
      </c>
      <c r="BB326" s="264"/>
      <c r="BC326" s="264"/>
      <c r="BD326" s="258"/>
    </row>
    <row r="327" spans="5:56" x14ac:dyDescent="0.55000000000000004">
      <c r="E327" s="144"/>
      <c r="F327" s="144"/>
      <c r="G327" s="258"/>
      <c r="H327" s="258"/>
      <c r="I327" s="258"/>
      <c r="J327" s="258"/>
      <c r="K327" s="258"/>
      <c r="L327" s="258"/>
      <c r="M327" s="258"/>
      <c r="N327" s="258"/>
      <c r="O327" s="258"/>
      <c r="P327" s="258"/>
      <c r="Q327" s="265"/>
      <c r="R327" s="258"/>
      <c r="S327" s="258"/>
      <c r="T327" s="258"/>
      <c r="U327" s="258"/>
      <c r="V327" s="258"/>
      <c r="W327" s="258"/>
      <c r="X327" s="258"/>
      <c r="Y327" s="258"/>
      <c r="Z327" s="258"/>
      <c r="AA327" s="258"/>
      <c r="AB327" s="266"/>
      <c r="AC327" s="266"/>
      <c r="AD327" s="266"/>
      <c r="AE327" s="258"/>
      <c r="AF327" s="258"/>
      <c r="AG327" s="258"/>
      <c r="AH327" s="258"/>
      <c r="AI327" s="258"/>
      <c r="AJ327" s="258"/>
      <c r="AK327" s="258"/>
      <c r="AL327" s="258"/>
      <c r="AM327" s="264"/>
      <c r="AN327" s="264"/>
      <c r="AO327" s="264"/>
      <c r="AP327" s="264"/>
      <c r="AQ327" s="264"/>
      <c r="AR327" s="264"/>
      <c r="AS327" s="264"/>
      <c r="AT327" s="264"/>
      <c r="AU327" s="264"/>
      <c r="AV327" s="264"/>
      <c r="AW327" s="264"/>
      <c r="AX327" s="264"/>
      <c r="AY327" s="264"/>
      <c r="AZ327" s="264"/>
      <c r="BA327" s="264"/>
      <c r="BB327" s="264"/>
      <c r="BC327" s="264"/>
      <c r="BD327" s="258"/>
    </row>
    <row r="328" spans="5:56" x14ac:dyDescent="0.55000000000000004"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220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41"/>
      <c r="AC328" s="141"/>
      <c r="AD328" s="141"/>
      <c r="AE328" s="133"/>
      <c r="AF328" s="133"/>
      <c r="AG328" s="133"/>
      <c r="AH328" s="133"/>
      <c r="AI328" s="133"/>
      <c r="AJ328" s="133"/>
      <c r="AK328" s="133"/>
      <c r="AL328" s="133"/>
      <c r="AM328" s="142" t="s">
        <v>418</v>
      </c>
      <c r="AN328" s="142"/>
      <c r="AO328" s="142"/>
      <c r="AP328" s="264">
        <v>-0.48525681166837886</v>
      </c>
      <c r="AQ328" s="142"/>
      <c r="AR328" s="142"/>
      <c r="AS328" s="264">
        <v>2.3742207075526167</v>
      </c>
      <c r="AT328" s="142"/>
      <c r="AU328" s="142"/>
      <c r="AV328" s="264">
        <v>0.77115774273043536</v>
      </c>
      <c r="AW328" s="142"/>
      <c r="AX328" s="142"/>
      <c r="AY328" s="264">
        <v>-59.070986750406803</v>
      </c>
      <c r="AZ328" s="142"/>
      <c r="BA328" s="142"/>
      <c r="BB328" s="264">
        <v>11.927831555067424</v>
      </c>
      <c r="BC328" s="264"/>
      <c r="BD328" s="133"/>
    </row>
    <row r="329" spans="5:56" x14ac:dyDescent="0.55000000000000004">
      <c r="E329" s="176" t="s">
        <v>419</v>
      </c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220"/>
      <c r="R329" s="221" t="s">
        <v>420</v>
      </c>
      <c r="S329" s="133"/>
      <c r="T329" s="133"/>
      <c r="U329" s="133"/>
      <c r="V329" s="133"/>
      <c r="W329" s="133"/>
      <c r="X329" s="133"/>
      <c r="Y329" s="133"/>
      <c r="Z329" s="133"/>
      <c r="AA329" s="133"/>
      <c r="AB329" s="141"/>
      <c r="AC329" s="141"/>
      <c r="AD329" s="141"/>
      <c r="AE329" s="133"/>
      <c r="AF329" s="133"/>
      <c r="AG329" s="133"/>
      <c r="AH329" s="133"/>
      <c r="AI329" s="133"/>
      <c r="AJ329" s="133"/>
      <c r="AK329" s="133"/>
      <c r="AL329" s="133"/>
      <c r="AM329" s="142" t="s">
        <v>21</v>
      </c>
      <c r="AN329" s="264">
        <v>8.4007499999999999E-2</v>
      </c>
      <c r="AO329" s="264">
        <v>8.4007499999999999E-2</v>
      </c>
      <c r="AP329" s="264">
        <v>8.4007499999999999E-2</v>
      </c>
      <c r="AQ329" s="264">
        <v>8.4007499999999999E-2</v>
      </c>
      <c r="AR329" s="264">
        <v>8.4007499999999999E-2</v>
      </c>
      <c r="AS329" s="264">
        <v>8.4007499999999999E-2</v>
      </c>
      <c r="AT329" s="264">
        <v>8.4007499999999999E-2</v>
      </c>
      <c r="AU329" s="264">
        <v>8.4007499999999999E-2</v>
      </c>
      <c r="AV329" s="264">
        <v>8.4007499999999999E-2</v>
      </c>
      <c r="AW329" s="264">
        <v>8.4007499999999999E-2</v>
      </c>
      <c r="AX329" s="264">
        <v>8.4007499999999999E-2</v>
      </c>
      <c r="AY329" s="264">
        <v>8.4007499999999999E-2</v>
      </c>
      <c r="AZ329" s="264">
        <v>8.4007499999999999E-2</v>
      </c>
      <c r="BA329" s="264">
        <v>8.4007499999999999E-2</v>
      </c>
      <c r="BB329" s="264">
        <v>8.4007499999999999E-2</v>
      </c>
      <c r="BC329" s="264">
        <v>8.4007499999999999E-2</v>
      </c>
      <c r="BD329" s="258"/>
    </row>
    <row r="330" spans="5:56" x14ac:dyDescent="0.55000000000000004">
      <c r="E330" s="144" t="s">
        <v>421</v>
      </c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222">
        <v>17736.504558277127</v>
      </c>
      <c r="R330" s="244">
        <v>0.72710703854347691</v>
      </c>
      <c r="S330" s="133"/>
      <c r="T330" s="133"/>
      <c r="U330" s="133"/>
      <c r="V330" s="133"/>
      <c r="W330" s="133"/>
      <c r="X330" s="133"/>
      <c r="Y330" s="133"/>
      <c r="Z330" s="133"/>
      <c r="AA330" s="133"/>
      <c r="AB330" s="141"/>
      <c r="AC330" s="141"/>
      <c r="AD330" s="141"/>
      <c r="AE330" s="133"/>
      <c r="AF330" s="133"/>
      <c r="AG330" s="133"/>
      <c r="AH330" s="133"/>
      <c r="AI330" s="133"/>
      <c r="AJ330" s="133"/>
      <c r="AK330" s="133"/>
      <c r="AL330" s="133"/>
      <c r="AM330" s="133"/>
      <c r="AN330" s="133"/>
      <c r="AO330" s="133"/>
      <c r="AP330" s="133"/>
      <c r="AQ330" s="133"/>
      <c r="AR330" s="133"/>
      <c r="AS330" s="133"/>
      <c r="AT330" s="133"/>
      <c r="AU330" s="133"/>
      <c r="AV330" s="133"/>
      <c r="AW330" s="133"/>
      <c r="AX330" s="133"/>
      <c r="AY330" s="133"/>
      <c r="AZ330" s="133"/>
      <c r="BA330" s="133"/>
      <c r="BB330" s="133"/>
      <c r="BC330" s="133"/>
      <c r="BD330" s="133"/>
    </row>
    <row r="331" spans="5:56" x14ac:dyDescent="0.55000000000000004">
      <c r="E331" s="144" t="s">
        <v>422</v>
      </c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232">
        <v>6656.7465286693841</v>
      </c>
      <c r="R331" s="244">
        <v>0.27289296145652309</v>
      </c>
      <c r="S331" s="133"/>
      <c r="T331" s="133"/>
      <c r="U331" s="133"/>
      <c r="V331" s="133"/>
      <c r="W331" s="133"/>
      <c r="X331" s="133"/>
      <c r="Y331" s="133"/>
      <c r="Z331" s="133"/>
      <c r="AA331" s="133"/>
      <c r="AB331" s="141"/>
      <c r="AC331" s="141"/>
      <c r="AD331" s="141"/>
      <c r="AE331" s="133"/>
      <c r="AF331" s="133"/>
      <c r="AG331" s="133"/>
      <c r="AH331" s="133"/>
      <c r="AI331" s="133"/>
      <c r="AJ331" s="133"/>
      <c r="AK331" s="133"/>
      <c r="AL331" s="133"/>
      <c r="AM331" s="133"/>
      <c r="AN331" s="133"/>
      <c r="AO331" s="133"/>
      <c r="AP331" s="133"/>
      <c r="AQ331" s="133"/>
      <c r="AR331" s="133"/>
      <c r="AS331" s="133"/>
      <c r="AT331" s="133"/>
      <c r="AU331" s="133"/>
      <c r="AV331" s="133"/>
      <c r="AW331" s="133"/>
      <c r="AX331" s="133"/>
      <c r="AY331" s="133"/>
      <c r="AZ331" s="133"/>
      <c r="BA331" s="133"/>
      <c r="BB331" s="133"/>
      <c r="BC331" s="133"/>
      <c r="BD331" s="133"/>
    </row>
    <row r="332" spans="5:56" x14ac:dyDescent="0.55000000000000004">
      <c r="E332" s="144" t="s">
        <v>45</v>
      </c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222">
        <v>24393.251086946511</v>
      </c>
      <c r="R332" s="144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41"/>
      <c r="AC332" s="141"/>
      <c r="AD332" s="141"/>
      <c r="AE332" s="133"/>
      <c r="AF332" s="133"/>
      <c r="AG332" s="133"/>
      <c r="AH332" s="133"/>
      <c r="AI332" s="133"/>
      <c r="AJ332" s="133"/>
      <c r="AK332" s="133"/>
      <c r="AL332" s="133"/>
      <c r="AM332" s="133"/>
      <c r="AN332" s="133"/>
      <c r="AO332" s="133"/>
      <c r="AP332" s="133"/>
      <c r="AQ332" s="133"/>
      <c r="AR332" s="133"/>
      <c r="AS332" s="133"/>
      <c r="AT332" s="133"/>
      <c r="AU332" s="133"/>
      <c r="AV332" s="133"/>
      <c r="AW332" s="133"/>
      <c r="AX332" s="133"/>
      <c r="AY332" s="133"/>
      <c r="AZ332" s="133"/>
      <c r="BA332" s="133"/>
      <c r="BB332" s="133"/>
      <c r="BC332" s="133"/>
      <c r="BD332" s="133"/>
    </row>
    <row r="333" spans="5:56" x14ac:dyDescent="0.55000000000000004"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220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41"/>
      <c r="AC333" s="141"/>
      <c r="AD333" s="141"/>
      <c r="AE333" s="133"/>
      <c r="AF333" s="133"/>
      <c r="AG333" s="133"/>
      <c r="AH333" s="133"/>
      <c r="AI333" s="133"/>
      <c r="AJ333" s="133"/>
      <c r="AK333" s="133"/>
      <c r="AL333" s="133"/>
      <c r="AM333" s="133"/>
      <c r="AN333" s="133"/>
      <c r="AO333" s="133"/>
      <c r="AP333" s="133"/>
      <c r="AQ333" s="133"/>
      <c r="AR333" s="133"/>
      <c r="AS333" s="133"/>
      <c r="AT333" s="133"/>
      <c r="AU333" s="133"/>
      <c r="AV333" s="133"/>
      <c r="AW333" s="133"/>
      <c r="AX333" s="133"/>
      <c r="AY333" s="133"/>
      <c r="AZ333" s="133"/>
      <c r="BA333" s="133"/>
      <c r="BB333" s="133"/>
      <c r="BC333" s="133"/>
      <c r="BD333" s="133"/>
    </row>
    <row r="334" spans="5:56" x14ac:dyDescent="0.55000000000000004">
      <c r="E334" s="176" t="s">
        <v>423</v>
      </c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233"/>
      <c r="R334" s="221" t="s">
        <v>420</v>
      </c>
      <c r="S334" s="176"/>
      <c r="T334" s="176"/>
      <c r="U334" s="176"/>
      <c r="V334" s="176"/>
      <c r="W334" s="176"/>
      <c r="X334" s="176"/>
      <c r="Y334" s="176"/>
      <c r="Z334" s="176"/>
      <c r="AA334" s="176"/>
      <c r="AB334" s="194"/>
      <c r="AC334" s="194"/>
      <c r="AD334" s="194"/>
      <c r="AE334" s="176"/>
      <c r="AF334" s="176"/>
      <c r="AG334" s="176"/>
      <c r="AH334" s="176"/>
      <c r="AI334" s="176"/>
      <c r="AJ334" s="176"/>
      <c r="AK334" s="176"/>
      <c r="AL334" s="176"/>
      <c r="AM334" s="176"/>
      <c r="AN334" s="176"/>
      <c r="AO334" s="176"/>
      <c r="AP334" s="176"/>
      <c r="AQ334" s="176"/>
      <c r="AR334" s="176"/>
      <c r="AS334" s="176"/>
      <c r="AT334" s="176"/>
      <c r="AU334" s="176"/>
      <c r="AV334" s="176"/>
      <c r="AW334" s="176"/>
      <c r="AX334" s="176"/>
      <c r="AY334" s="176"/>
      <c r="AZ334" s="176"/>
      <c r="BA334" s="176"/>
      <c r="BB334" s="176"/>
      <c r="BC334" s="176"/>
      <c r="BD334" s="176"/>
    </row>
    <row r="335" spans="5:56" x14ac:dyDescent="0.55000000000000004">
      <c r="E335" s="144" t="s">
        <v>424</v>
      </c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222">
        <v>9356.119999999999</v>
      </c>
      <c r="R335" s="244">
        <v>0.38355362992211856</v>
      </c>
      <c r="S335" s="133"/>
      <c r="T335" s="133"/>
      <c r="U335" s="133"/>
      <c r="V335" s="133"/>
      <c r="W335" s="133"/>
      <c r="X335" s="133"/>
      <c r="Y335" s="133"/>
      <c r="Z335" s="133"/>
      <c r="AA335" s="133"/>
      <c r="AB335" s="141"/>
      <c r="AC335" s="141"/>
      <c r="AD335" s="141"/>
      <c r="AE335" s="133"/>
      <c r="AF335" s="133"/>
      <c r="AG335" s="133"/>
      <c r="AH335" s="133"/>
      <c r="AI335" s="133"/>
      <c r="AJ335" s="133"/>
      <c r="AK335" s="133"/>
      <c r="AL335" s="133"/>
      <c r="AM335" s="133"/>
      <c r="AN335" s="133"/>
      <c r="AO335" s="133"/>
      <c r="AP335" s="133"/>
      <c r="AQ335" s="133"/>
      <c r="AR335" s="133"/>
      <c r="AS335" s="133"/>
      <c r="AT335" s="133"/>
      <c r="AU335" s="133"/>
      <c r="AV335" s="133"/>
      <c r="AW335" s="133"/>
      <c r="AX335" s="133"/>
      <c r="AY335" s="133"/>
      <c r="AZ335" s="133"/>
      <c r="BA335" s="133"/>
      <c r="BB335" s="133"/>
      <c r="BC335" s="133"/>
      <c r="BD335" s="133"/>
    </row>
    <row r="336" spans="5:56" x14ac:dyDescent="0.55000000000000004">
      <c r="E336" s="144" t="s">
        <v>422</v>
      </c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232">
        <v>15037.131086946512</v>
      </c>
      <c r="R336" s="244">
        <v>0.61644637007788139</v>
      </c>
      <c r="S336" s="133"/>
      <c r="T336" s="133"/>
      <c r="U336" s="133"/>
      <c r="V336" s="133"/>
      <c r="W336" s="133"/>
      <c r="X336" s="133"/>
      <c r="Y336" s="133"/>
      <c r="Z336" s="133"/>
      <c r="AA336" s="133"/>
      <c r="AB336" s="141"/>
      <c r="AC336" s="141"/>
      <c r="AD336" s="141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</row>
    <row r="337" spans="1:30" x14ac:dyDescent="0.55000000000000004">
      <c r="A337" s="133"/>
      <c r="B337" s="133"/>
      <c r="C337" s="133"/>
      <c r="D337" s="133"/>
      <c r="E337" s="144" t="s">
        <v>45</v>
      </c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222">
        <v>24393.251086946511</v>
      </c>
      <c r="R337" s="144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41"/>
      <c r="AC337" s="141"/>
      <c r="AD337" s="141"/>
    </row>
    <row r="338" spans="1:30" x14ac:dyDescent="0.55000000000000004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222"/>
      <c r="R338" s="144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41"/>
      <c r="AC338" s="141"/>
      <c r="AD338" s="141"/>
    </row>
    <row r="339" spans="1:30" x14ac:dyDescent="0.55000000000000004">
      <c r="A339" s="133"/>
      <c r="B339" s="133"/>
      <c r="C339" s="133"/>
      <c r="D339" s="133"/>
      <c r="E339" s="176" t="s">
        <v>425</v>
      </c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83"/>
      <c r="Q339" s="267">
        <v>182.41147566148516</v>
      </c>
      <c r="R339" s="144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41"/>
      <c r="AC339" s="141"/>
      <c r="AD339" s="141"/>
    </row>
    <row r="340" spans="1:30" x14ac:dyDescent="0.55000000000000004">
      <c r="A340" s="133"/>
      <c r="B340" s="133"/>
      <c r="C340" s="133"/>
      <c r="D340" s="133"/>
      <c r="E340" s="144" t="s">
        <v>426</v>
      </c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268">
        <v>0.1</v>
      </c>
      <c r="Q340" s="164" t="e">
        <v>#DIV/0!</v>
      </c>
      <c r="R340" s="144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41"/>
      <c r="AC340" s="141"/>
      <c r="AD340" s="141"/>
    </row>
    <row r="341" spans="1:30" x14ac:dyDescent="0.55000000000000004">
      <c r="A341" s="133"/>
      <c r="B341" s="133"/>
      <c r="C341" s="133"/>
      <c r="D341" s="133"/>
      <c r="E341" s="144" t="s">
        <v>427</v>
      </c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269" t="e">
        <v>#DIV/0!</v>
      </c>
      <c r="R341" s="144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41"/>
      <c r="AC341" s="141"/>
      <c r="AD341" s="141"/>
    </row>
    <row r="342" spans="1:30" x14ac:dyDescent="0.55000000000000004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220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41"/>
      <c r="AC342" s="141"/>
      <c r="AD342" s="141"/>
    </row>
    <row r="343" spans="1:30" x14ac:dyDescent="0.55000000000000004">
      <c r="A343" s="142"/>
      <c r="B343" s="142"/>
      <c r="C343" s="142"/>
      <c r="D343" s="142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236"/>
      <c r="R343" s="144"/>
      <c r="S343" s="144"/>
      <c r="T343" s="144"/>
      <c r="U343" s="144"/>
      <c r="V343" s="144"/>
      <c r="W343" s="144"/>
      <c r="X343" s="144"/>
      <c r="Y343" s="144"/>
      <c r="Z343" s="144"/>
      <c r="AA343" s="144"/>
      <c r="AB343" s="141"/>
      <c r="AC343" s="141"/>
      <c r="AD343" s="141"/>
    </row>
    <row r="344" spans="1:30" x14ac:dyDescent="0.55000000000000004">
      <c r="A344" s="203" t="s">
        <v>428</v>
      </c>
      <c r="B344" s="203"/>
      <c r="C344" s="20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  <c r="AA344" s="203"/>
      <c r="AB344" s="204"/>
      <c r="AC344" s="204"/>
      <c r="AD344" s="204"/>
    </row>
    <row r="345" spans="1:30" x14ac:dyDescent="0.55000000000000004">
      <c r="A345" s="133"/>
      <c r="B345" s="133"/>
      <c r="C345" s="133"/>
      <c r="D345" s="133"/>
      <c r="E345" s="144"/>
      <c r="F345" s="144"/>
      <c r="G345" s="144"/>
      <c r="H345" s="144"/>
      <c r="I345" s="133"/>
      <c r="J345" s="133"/>
      <c r="K345" s="133"/>
      <c r="L345" s="133"/>
      <c r="M345" s="133"/>
      <c r="N345" s="133"/>
      <c r="O345" s="133"/>
      <c r="P345" s="133"/>
      <c r="Q345" s="219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41"/>
      <c r="AC345" s="141"/>
      <c r="AD345" s="141"/>
    </row>
    <row r="346" spans="1:30" x14ac:dyDescent="0.55000000000000004">
      <c r="A346" s="133"/>
      <c r="B346" s="133"/>
      <c r="C346" s="133"/>
      <c r="D346" s="133"/>
      <c r="E346" s="176" t="s">
        <v>429</v>
      </c>
      <c r="F346" s="176"/>
      <c r="G346" s="176"/>
      <c r="H346" s="144"/>
      <c r="I346" s="133"/>
      <c r="J346" s="133"/>
      <c r="K346" s="133"/>
      <c r="L346" s="133"/>
      <c r="M346" s="133"/>
      <c r="N346" s="133"/>
      <c r="O346" s="133"/>
      <c r="P346" s="133"/>
      <c r="Q346" s="220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221"/>
      <c r="AC346" s="141"/>
      <c r="AD346" s="221"/>
    </row>
    <row r="347" spans="1:30" x14ac:dyDescent="0.55000000000000004">
      <c r="A347" s="133"/>
      <c r="B347" s="133"/>
      <c r="C347" s="133"/>
      <c r="D347" s="133"/>
      <c r="E347" s="144" t="s">
        <v>90</v>
      </c>
      <c r="F347" s="144"/>
      <c r="G347" s="244">
        <v>-0.15687361419068735</v>
      </c>
      <c r="H347" s="244">
        <v>0.13576594345825121</v>
      </c>
      <c r="I347" s="244">
        <v>0.21895803183791607</v>
      </c>
      <c r="J347" s="244">
        <v>0.2153626973762317</v>
      </c>
      <c r="K347" s="244">
        <v>-2.7742502686333936E-2</v>
      </c>
      <c r="L347" s="244">
        <v>1.818547171707019E-2</v>
      </c>
      <c r="M347" s="244">
        <v>0.19863824748371828</v>
      </c>
      <c r="N347" s="244">
        <v>0.2199720095496831</v>
      </c>
      <c r="O347" s="244">
        <v>5.1825359335987642E-2</v>
      </c>
      <c r="P347" s="244">
        <v>-7.0635786232116526E-2</v>
      </c>
      <c r="Q347" s="257">
        <v>5.6383534349912168E-2</v>
      </c>
      <c r="R347" s="244">
        <v>0.22932156260244585</v>
      </c>
      <c r="S347" s="244">
        <v>0.27967553640894782</v>
      </c>
      <c r="T347" s="244">
        <v>0.16305162260949313</v>
      </c>
      <c r="U347" s="244">
        <v>8.4028970038649398E-2</v>
      </c>
      <c r="V347" s="244">
        <v>8.8115612461515669E-2</v>
      </c>
      <c r="W347" s="244">
        <v>8.3097800552713874E-2</v>
      </c>
      <c r="X347" s="244">
        <v>6.8761650396133911E-2</v>
      </c>
      <c r="Y347" s="244">
        <v>5.8703030736732886E-2</v>
      </c>
      <c r="Z347" s="244">
        <v>4.0846960138505306E-2</v>
      </c>
      <c r="AA347" s="133"/>
      <c r="AB347" s="270">
        <v>6.0457211451204529E-2</v>
      </c>
      <c r="AC347" s="141"/>
      <c r="AD347" s="270">
        <v>0.15943224420568591</v>
      </c>
    </row>
    <row r="348" spans="1:30" x14ac:dyDescent="0.55000000000000004">
      <c r="A348" s="133"/>
      <c r="B348" s="133"/>
      <c r="C348" s="133"/>
      <c r="D348" s="133"/>
      <c r="E348" s="144" t="s">
        <v>430</v>
      </c>
      <c r="F348" s="144"/>
      <c r="G348" s="244">
        <v>0.1015625</v>
      </c>
      <c r="H348" s="244">
        <v>2.5390070921985815</v>
      </c>
      <c r="I348" s="244">
        <v>0.75551102204408815</v>
      </c>
      <c r="J348" s="244">
        <v>0.56735159817351599</v>
      </c>
      <c r="K348" s="244">
        <v>-0.12163146394756008</v>
      </c>
      <c r="L348" s="244">
        <v>-0.16003316749585406</v>
      </c>
      <c r="M348" s="244">
        <v>0.10365251727541946</v>
      </c>
      <c r="N348" s="244">
        <v>4.2039355992844474E-2</v>
      </c>
      <c r="O348" s="244">
        <v>-0.39570815450643781</v>
      </c>
      <c r="P348" s="244">
        <v>-2.6221590909090908</v>
      </c>
      <c r="Q348" s="257">
        <v>-0.58576166973011379</v>
      </c>
      <c r="R348" s="244">
        <v>-2.0035063568497824</v>
      </c>
      <c r="S348" s="244">
        <v>1.2863413924733709</v>
      </c>
      <c r="T348" s="244">
        <v>0.53516087261421519</v>
      </c>
      <c r="U348" s="244">
        <v>0.23814774281710971</v>
      </c>
      <c r="V348" s="244">
        <v>0.17345972585217395</v>
      </c>
      <c r="W348" s="244">
        <v>9.7726312909206747E-2</v>
      </c>
      <c r="X348" s="244">
        <v>8.3971356761026961E-2</v>
      </c>
      <c r="Y348" s="244">
        <v>7.3051334458248407E-2</v>
      </c>
      <c r="Z348" s="244">
        <v>7.3400802318688729E-2</v>
      </c>
      <c r="AA348" s="133"/>
      <c r="AB348" s="270">
        <v>-2.0071050339969041</v>
      </c>
      <c r="AC348" s="141"/>
      <c r="AD348" s="270" t="s">
        <v>216</v>
      </c>
    </row>
    <row r="349" spans="1:30" x14ac:dyDescent="0.55000000000000004">
      <c r="A349" s="133"/>
      <c r="B349" s="133"/>
      <c r="C349" s="133"/>
      <c r="D349" s="133"/>
      <c r="E349" s="144" t="s">
        <v>431</v>
      </c>
      <c r="F349" s="144"/>
      <c r="G349" s="244">
        <v>-0.81839904420549581</v>
      </c>
      <c r="H349" s="244">
        <v>-3.388157894736842</v>
      </c>
      <c r="I349" s="244">
        <v>0.83746556473829203</v>
      </c>
      <c r="J349" s="244">
        <v>0.52623688155922044</v>
      </c>
      <c r="K349" s="244">
        <v>-0.10609037328094306</v>
      </c>
      <c r="L349" s="244">
        <v>-0.23406593406593401</v>
      </c>
      <c r="M349" s="244">
        <v>0.163558106169297</v>
      </c>
      <c r="N349" s="244">
        <v>5.4254007398273796E-2</v>
      </c>
      <c r="O349" s="244">
        <v>-0.55204678362573101</v>
      </c>
      <c r="P349" s="244">
        <v>-5.1044386422976498</v>
      </c>
      <c r="Q349" s="257">
        <v>-0.66521187336437471</v>
      </c>
      <c r="R349" s="244">
        <v>-1.4046855826083853</v>
      </c>
      <c r="S349" s="244">
        <v>2.2363874193805304</v>
      </c>
      <c r="T349" s="244">
        <v>0.65728803043963935</v>
      </c>
      <c r="U349" s="244">
        <v>0.27094038217690608</v>
      </c>
      <c r="V349" s="244">
        <v>0.19225304028181056</v>
      </c>
      <c r="W349" s="244">
        <v>0.10660702517987097</v>
      </c>
      <c r="X349" s="244">
        <v>9.0866988073620814E-2</v>
      </c>
      <c r="Y349" s="244">
        <v>7.8550530690768783E-2</v>
      </c>
      <c r="Z349" s="244">
        <v>7.8523885102560032E-2</v>
      </c>
      <c r="AA349" s="133"/>
      <c r="AB349" s="270">
        <v>-2.2468395292322501</v>
      </c>
      <c r="AC349" s="141"/>
      <c r="AD349" s="270" t="s">
        <v>216</v>
      </c>
    </row>
    <row r="350" spans="1:30" x14ac:dyDescent="0.55000000000000004">
      <c r="A350" s="133"/>
      <c r="B350" s="133"/>
      <c r="C350" s="133"/>
      <c r="D350" s="133"/>
      <c r="E350" s="144" t="s">
        <v>432</v>
      </c>
      <c r="F350" s="144"/>
      <c r="G350" s="244">
        <v>-0.97353531254931125</v>
      </c>
      <c r="H350" s="244">
        <v>75.182559130619751</v>
      </c>
      <c r="I350" s="244">
        <v>0.93200018419862651</v>
      </c>
      <c r="J350" s="244">
        <v>0.60777799253683251</v>
      </c>
      <c r="K350" s="244">
        <v>-0.10609037328094306</v>
      </c>
      <c r="L350" s="244">
        <v>-0.20256648113790965</v>
      </c>
      <c r="M350" s="244">
        <v>0.11759635145574876</v>
      </c>
      <c r="N350" s="244">
        <v>0.10810588203944294</v>
      </c>
      <c r="O350" s="244">
        <v>-0.44614511423579895</v>
      </c>
      <c r="P350" s="245">
        <v>-3.3314865644191474</v>
      </c>
      <c r="Q350" s="244">
        <v>-0.54648509363097397</v>
      </c>
      <c r="R350" s="244">
        <v>-1.4046855826083853</v>
      </c>
      <c r="S350" s="244">
        <v>2.2363874193805304</v>
      </c>
      <c r="T350" s="244">
        <v>0.65728803043963935</v>
      </c>
      <c r="U350" s="244">
        <v>0.27094038217690608</v>
      </c>
      <c r="V350" s="244">
        <v>0.19225304028181056</v>
      </c>
      <c r="W350" s="244">
        <v>0.10660702517987097</v>
      </c>
      <c r="X350" s="244">
        <v>9.0866988073620814E-2</v>
      </c>
      <c r="Y350" s="244">
        <v>7.8550530690768783E-2</v>
      </c>
      <c r="Z350" s="244">
        <v>7.8523885102560032E-2</v>
      </c>
      <c r="AA350" s="133"/>
      <c r="AB350" s="270">
        <v>-2.1268602415107805</v>
      </c>
      <c r="AC350" s="141"/>
      <c r="AD350" s="270" t="s">
        <v>216</v>
      </c>
    </row>
    <row r="351" spans="1:30" x14ac:dyDescent="0.55000000000000004">
      <c r="A351" s="133"/>
      <c r="B351" s="133"/>
      <c r="C351" s="133"/>
      <c r="D351" s="133"/>
      <c r="E351" s="144" t="s">
        <v>433</v>
      </c>
      <c r="F351" s="144"/>
      <c r="G351" s="244">
        <v>-0.81830918722588453</v>
      </c>
      <c r="H351" s="244">
        <v>-3.182934014139827</v>
      </c>
      <c r="I351" s="244">
        <v>0.82262735021819799</v>
      </c>
      <c r="J351" s="244">
        <v>0.54917213524385367</v>
      </c>
      <c r="K351" s="244">
        <v>-7.7091894558039886E-2</v>
      </c>
      <c r="L351" s="244">
        <v>-0.19149292394949968</v>
      </c>
      <c r="M351" s="244">
        <v>0.18311025076002108</v>
      </c>
      <c r="N351" s="244">
        <v>-0.78745563921904949</v>
      </c>
      <c r="O351" s="244">
        <v>-0.5631640376850684</v>
      </c>
      <c r="P351" s="244">
        <v>-5.1117528237187431</v>
      </c>
      <c r="Q351" s="257">
        <v>-0.66521187336437482</v>
      </c>
      <c r="R351" s="244">
        <v>-1.4046855826083853</v>
      </c>
      <c r="S351" s="244">
        <v>2.23638741938053</v>
      </c>
      <c r="T351" s="244">
        <v>0.65728803043963935</v>
      </c>
      <c r="U351" s="244">
        <v>0.27094038217690608</v>
      </c>
      <c r="V351" s="244">
        <v>0.19225304028181056</v>
      </c>
      <c r="W351" s="244">
        <v>0.10660702517987097</v>
      </c>
      <c r="X351" s="244">
        <v>9.0866988073620814E-2</v>
      </c>
      <c r="Y351" s="244">
        <v>7.8550530690768783E-2</v>
      </c>
      <c r="Z351" s="244">
        <v>7.8523885102560032E-2</v>
      </c>
      <c r="AA351" s="133"/>
      <c r="AB351" s="270">
        <v>-1.7254346965573284</v>
      </c>
      <c r="AC351" s="141"/>
      <c r="AD351" s="270" t="s">
        <v>216</v>
      </c>
    </row>
    <row r="352" spans="1:30" x14ac:dyDescent="0.55000000000000004">
      <c r="A352" s="133"/>
      <c r="B352" s="133"/>
      <c r="C352" s="133"/>
      <c r="D352" s="133"/>
      <c r="E352" s="144" t="s">
        <v>434</v>
      </c>
      <c r="F352" s="144"/>
      <c r="G352" s="244">
        <v>-0.97352221770148806</v>
      </c>
      <c r="H352" s="244">
        <v>68.635889644044568</v>
      </c>
      <c r="I352" s="244">
        <v>0.91639856763713023</v>
      </c>
      <c r="J352" s="244">
        <v>0.63193859078533698</v>
      </c>
      <c r="K352" s="244">
        <v>-7.7091894558039886E-2</v>
      </c>
      <c r="L352" s="244">
        <v>-0.15824263294309382</v>
      </c>
      <c r="M352" s="244">
        <v>0.1363761660106646</v>
      </c>
      <c r="N352" s="244">
        <v>-0.77659875635008158</v>
      </c>
      <c r="O352" s="244">
        <v>-0.45989062437385175</v>
      </c>
      <c r="P352" s="244">
        <v>-3.3356413142398091</v>
      </c>
      <c r="Q352" s="257">
        <v>-0.54648509363097397</v>
      </c>
      <c r="R352" s="244">
        <v>-1.4046855826083853</v>
      </c>
      <c r="S352" s="244">
        <v>2.23638741938053</v>
      </c>
      <c r="T352" s="244">
        <v>0.65728803043963935</v>
      </c>
      <c r="U352" s="244">
        <v>0.27094038217690608</v>
      </c>
      <c r="V352" s="244">
        <v>0.19225304028181056</v>
      </c>
      <c r="W352" s="244">
        <v>0.10660702517987097</v>
      </c>
      <c r="X352" s="244">
        <v>9.0866988073620814E-2</v>
      </c>
      <c r="Y352" s="244">
        <v>7.8550530690768783E-2</v>
      </c>
      <c r="Z352" s="244">
        <v>7.8523885102560032E-2</v>
      </c>
      <c r="AA352" s="133"/>
      <c r="AB352" s="270">
        <v>-1.6556284896310991</v>
      </c>
      <c r="AC352" s="141"/>
      <c r="AD352" s="270" t="s">
        <v>216</v>
      </c>
    </row>
    <row r="353" spans="5:30" x14ac:dyDescent="0.55000000000000004">
      <c r="E353" s="144" t="s">
        <v>435</v>
      </c>
      <c r="F353" s="144"/>
      <c r="G353" s="244">
        <v>1.713150572231692</v>
      </c>
      <c r="H353" s="244">
        <v>0.87034439357917215</v>
      </c>
      <c r="I353" s="244">
        <v>0.29000199592068232</v>
      </c>
      <c r="J353" s="244">
        <v>0.86068843588187982</v>
      </c>
      <c r="K353" s="244">
        <v>-0.25577224005949417</v>
      </c>
      <c r="L353" s="244">
        <v>-0.19150009450321381</v>
      </c>
      <c r="M353" s="244">
        <v>0.11886834124226198</v>
      </c>
      <c r="N353" s="244">
        <v>-3.705026122393984E-3</v>
      </c>
      <c r="O353" s="244">
        <v>-0.32987392974297602</v>
      </c>
      <c r="P353" s="244">
        <v>-1.6422120638970417</v>
      </c>
      <c r="Q353" s="257">
        <v>-0.78663451187766609</v>
      </c>
      <c r="R353" s="244">
        <v>-6.9042097974875105</v>
      </c>
      <c r="S353" s="244">
        <v>0.81334310406518062</v>
      </c>
      <c r="T353" s="244">
        <v>0.41763763283831268</v>
      </c>
      <c r="U353" s="244">
        <v>0.20059188467611899</v>
      </c>
      <c r="V353" s="244">
        <v>0.15051278342819141</v>
      </c>
      <c r="W353" s="244">
        <v>8.6444430630716163E-2</v>
      </c>
      <c r="X353" s="244">
        <v>7.5027416204073605E-2</v>
      </c>
      <c r="Y353" s="244">
        <v>6.5799882364113049E-2</v>
      </c>
      <c r="Z353" s="244">
        <v>6.6553423990939331E-2</v>
      </c>
      <c r="AA353" s="133"/>
      <c r="AB353" s="270">
        <v>-1.7540630104458605</v>
      </c>
      <c r="AC353" s="141"/>
      <c r="AD353" s="270" t="s">
        <v>216</v>
      </c>
    </row>
    <row r="354" spans="5:30" x14ac:dyDescent="0.55000000000000004">
      <c r="E354" s="144" t="s">
        <v>436</v>
      </c>
      <c r="F354" s="144"/>
      <c r="G354" s="244">
        <v>-6.3412516866433535</v>
      </c>
      <c r="H354" s="244">
        <v>-0.25217047093476164</v>
      </c>
      <c r="I354" s="244">
        <v>0.28684042818687927</v>
      </c>
      <c r="J354" s="244">
        <v>0.4529911360361325</v>
      </c>
      <c r="K354" s="244">
        <v>-0.2159406811393183</v>
      </c>
      <c r="L354" s="244">
        <v>-1.0100435168677977</v>
      </c>
      <c r="M354" s="244">
        <v>-39.304026746744093</v>
      </c>
      <c r="N354" s="244">
        <v>0.27268982469111114</v>
      </c>
      <c r="O354" s="244">
        <v>-0.24627214300897859</v>
      </c>
      <c r="P354" s="244">
        <v>-2.5966392091849557</v>
      </c>
      <c r="Q354" s="257">
        <v>-0.48119534528362562</v>
      </c>
      <c r="R354" s="244">
        <v>-1.2494842231372054</v>
      </c>
      <c r="S354" s="244">
        <v>2.2318876401705352</v>
      </c>
      <c r="T354" s="244">
        <v>3.256888808567342</v>
      </c>
      <c r="U354" s="244">
        <v>0.18806867780431946</v>
      </c>
      <c r="V354" s="244">
        <v>0.15316447703159475</v>
      </c>
      <c r="W354" s="244">
        <v>9.8762484340017442E-2</v>
      </c>
      <c r="X354" s="244">
        <v>0.11789935703703769</v>
      </c>
      <c r="Y354" s="244">
        <v>9.5302263799775799E-2</v>
      </c>
      <c r="Z354" s="244">
        <v>0.11767997951835363</v>
      </c>
      <c r="AA354" s="133"/>
      <c r="AB354" s="270">
        <v>-2.1526956199051464</v>
      </c>
      <c r="AC354" s="141"/>
      <c r="AD354" s="270" t="s">
        <v>216</v>
      </c>
    </row>
    <row r="355" spans="5:30" x14ac:dyDescent="0.55000000000000004">
      <c r="E355" s="144" t="s">
        <v>437</v>
      </c>
      <c r="F355" s="144"/>
      <c r="G355" s="244">
        <v>-9.152542372881356E-2</v>
      </c>
      <c r="H355" s="244">
        <v>0.61380597014925375</v>
      </c>
      <c r="I355" s="244">
        <v>0.41618497109826591</v>
      </c>
      <c r="J355" s="244">
        <v>0.4285714285714286</v>
      </c>
      <c r="K355" s="244">
        <v>-8.3428571428571408E-2</v>
      </c>
      <c r="L355" s="244">
        <v>-0.1028678304239401</v>
      </c>
      <c r="M355" s="244">
        <v>0.15635858234885336</v>
      </c>
      <c r="N355" s="244">
        <v>7.8725961538461453E-2</v>
      </c>
      <c r="O355" s="244">
        <v>-9.4707520891364916E-2</v>
      </c>
      <c r="P355" s="244">
        <v>-1.1495384615384616</v>
      </c>
      <c r="Q355" s="257">
        <v>-2.9096736706810828</v>
      </c>
      <c r="R355" s="244">
        <v>2.3448930943462232</v>
      </c>
      <c r="S355" s="244">
        <v>0.52899183088645207</v>
      </c>
      <c r="T355" s="244">
        <v>0.25191174742590006</v>
      </c>
      <c r="U355" s="244">
        <v>0.1612666775166256</v>
      </c>
      <c r="V355" s="244">
        <v>0.13084484897591242</v>
      </c>
      <c r="W355" s="244">
        <v>8.5252463449895677E-2</v>
      </c>
      <c r="X355" s="244">
        <v>7.3029453008708556E-2</v>
      </c>
      <c r="Y355" s="244">
        <v>6.3600720213474293E-2</v>
      </c>
      <c r="Z355" s="244">
        <v>5.8922032168772454E-2</v>
      </c>
      <c r="AA355" s="133"/>
      <c r="AB355" s="270">
        <v>-1.5266041983737093</v>
      </c>
      <c r="AC355" s="141"/>
      <c r="AD355" s="270" t="s">
        <v>216</v>
      </c>
    </row>
    <row r="356" spans="5:30" x14ac:dyDescent="0.55000000000000004">
      <c r="E356" s="144"/>
      <c r="F356" s="144"/>
      <c r="G356" s="144"/>
      <c r="H356" s="144"/>
      <c r="I356" s="133"/>
      <c r="J356" s="133"/>
      <c r="K356" s="133"/>
      <c r="L356" s="133"/>
      <c r="M356" s="133"/>
      <c r="N356" s="133"/>
      <c r="O356" s="133"/>
      <c r="P356" s="133"/>
      <c r="Q356" s="220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41"/>
      <c r="AC356" s="141"/>
      <c r="AD356" s="141"/>
    </row>
    <row r="357" spans="5:30" x14ac:dyDescent="0.55000000000000004">
      <c r="E357" s="176" t="s">
        <v>438</v>
      </c>
      <c r="F357" s="176"/>
      <c r="G357" s="176"/>
      <c r="H357" s="144"/>
      <c r="I357" s="133"/>
      <c r="J357" s="133"/>
      <c r="K357" s="133"/>
      <c r="L357" s="133"/>
      <c r="M357" s="133"/>
      <c r="N357" s="133"/>
      <c r="O357" s="133"/>
      <c r="P357" s="133"/>
      <c r="Q357" s="220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41"/>
      <c r="AC357" s="141"/>
      <c r="AD357" s="141"/>
    </row>
    <row r="358" spans="5:30" x14ac:dyDescent="0.55000000000000004">
      <c r="E358" s="258" t="s">
        <v>439</v>
      </c>
      <c r="F358" s="244">
        <v>0.13774944567627495</v>
      </c>
      <c r="G358" s="244">
        <v>0.17011834319526628</v>
      </c>
      <c r="H358" s="244">
        <v>0.19102749638205499</v>
      </c>
      <c r="I358" s="244">
        <v>0.19446752938383</v>
      </c>
      <c r="J358" s="244">
        <v>0.22487056754908666</v>
      </c>
      <c r="K358" s="244">
        <v>0.21742188284939215</v>
      </c>
      <c r="L358" s="244">
        <v>0.18117229129662521</v>
      </c>
      <c r="M358" s="244">
        <v>0.1654729562855026</v>
      </c>
      <c r="N358" s="244">
        <v>0.1221404953100749</v>
      </c>
      <c r="O358" s="244">
        <v>0.12831205491755951</v>
      </c>
      <c r="P358" s="244">
        <v>3.3618666298495102E-2</v>
      </c>
      <c r="Q358" s="257">
        <v>6.5706864524473024E-2</v>
      </c>
      <c r="R358" s="244">
        <v>0.12377105350228292</v>
      </c>
      <c r="S358" s="244">
        <v>0.13870170238319174</v>
      </c>
      <c r="T358" s="244">
        <v>0.14628526224658336</v>
      </c>
      <c r="U358" s="244">
        <v>0.15336124235209075</v>
      </c>
      <c r="V358" s="244">
        <v>0.15784150173991432</v>
      </c>
      <c r="W358" s="244">
        <v>0.15809014039377856</v>
      </c>
      <c r="X358" s="244">
        <v>0.1585704324453068</v>
      </c>
      <c r="Y358" s="244">
        <v>0.15912374119687311</v>
      </c>
      <c r="Z358" s="244">
        <v>0.16119353535659114</v>
      </c>
      <c r="AA358" s="258"/>
      <c r="AB358" s="270">
        <v>9.469040550870983E-2</v>
      </c>
      <c r="AC358" s="266"/>
      <c r="AD358" s="270">
        <v>0.12556522500172437</v>
      </c>
    </row>
    <row r="359" spans="5:30" x14ac:dyDescent="0.55000000000000004">
      <c r="E359" s="258" t="s">
        <v>440</v>
      </c>
      <c r="F359" s="244">
        <v>1.7738359201773836E-2</v>
      </c>
      <c r="G359" s="244">
        <v>2.3175542406311637E-2</v>
      </c>
      <c r="H359" s="244">
        <v>7.2214182344428363E-2</v>
      </c>
      <c r="I359" s="244">
        <v>0.1040009497803633</v>
      </c>
      <c r="J359" s="244">
        <v>0.13412132460681842</v>
      </c>
      <c r="K359" s="244">
        <v>0.12116949663418065</v>
      </c>
      <c r="L359" s="244">
        <v>9.9960528912571539E-2</v>
      </c>
      <c r="M359" s="244">
        <v>9.2039186630443734E-2</v>
      </c>
      <c r="N359" s="244">
        <v>7.8615291180241575E-2</v>
      </c>
      <c r="O359" s="244">
        <v>4.5165843330980948E-2</v>
      </c>
      <c r="P359" s="244">
        <v>-7.8834736987436149E-2</v>
      </c>
      <c r="Q359" s="257">
        <v>-3.0913365037479105E-2</v>
      </c>
      <c r="R359" s="244">
        <v>2.5234860650337688E-2</v>
      </c>
      <c r="S359" s="244">
        <v>4.5086043138771632E-2</v>
      </c>
      <c r="T359" s="244">
        <v>5.9510969231396059E-2</v>
      </c>
      <c r="U359" s="244">
        <v>6.7971774060691784E-2</v>
      </c>
      <c r="V359" s="244">
        <v>7.3303000564902104E-2</v>
      </c>
      <c r="W359" s="244">
        <v>7.4293043983866172E-2</v>
      </c>
      <c r="X359" s="244">
        <v>7.5350319367512159E-2</v>
      </c>
      <c r="Y359" s="244">
        <v>7.6371521004241105E-2</v>
      </c>
      <c r="Z359" s="244">
        <v>7.8760139636034759E-2</v>
      </c>
      <c r="AA359" s="258"/>
      <c r="AB359" s="270">
        <v>1.4982132507928791E-2</v>
      </c>
      <c r="AC359" s="266"/>
      <c r="AD359" s="270">
        <v>3.3378056408743612E-2</v>
      </c>
    </row>
    <row r="360" spans="5:30" x14ac:dyDescent="0.55000000000000004">
      <c r="E360" s="258" t="s">
        <v>441</v>
      </c>
      <c r="F360" s="244">
        <v>-0.11599223946784923</v>
      </c>
      <c r="G360" s="244">
        <v>-2.4983563445101907E-2</v>
      </c>
      <c r="H360" s="244">
        <v>5.253256150506512E-2</v>
      </c>
      <c r="I360" s="244">
        <v>7.9187937789386209E-2</v>
      </c>
      <c r="J360" s="244">
        <v>9.944319624890105E-2</v>
      </c>
      <c r="K360" s="244">
        <v>9.1429719682507793E-2</v>
      </c>
      <c r="L360" s="244">
        <v>6.8778369844089207E-2</v>
      </c>
      <c r="M360" s="244">
        <v>6.6765456491314726E-2</v>
      </c>
      <c r="N360" s="244">
        <v>5.7696200823267429E-2</v>
      </c>
      <c r="O360" s="244">
        <v>2.4571758516712644E-2</v>
      </c>
      <c r="P360" s="244">
        <v>-0.1085185696534585</v>
      </c>
      <c r="Q360" s="257">
        <v>-3.439160821624937E-2</v>
      </c>
      <c r="R360" s="244">
        <v>1.1321519471576311E-2</v>
      </c>
      <c r="S360" s="244">
        <v>2.8632901187517833E-2</v>
      </c>
      <c r="T360" s="244">
        <v>4.0800393974229528E-2</v>
      </c>
      <c r="U360" s="244">
        <v>4.7835315977511929E-2</v>
      </c>
      <c r="V360" s="244">
        <v>5.2413365136828934E-2</v>
      </c>
      <c r="W360" s="244">
        <v>5.3551025626803257E-2</v>
      </c>
      <c r="X360" s="244">
        <v>5.4658628527803198E-2</v>
      </c>
      <c r="Y360" s="244">
        <v>5.5683313539272666E-2</v>
      </c>
      <c r="Z360" s="244">
        <v>5.7698956670602881E-2</v>
      </c>
      <c r="AA360" s="258"/>
      <c r="AB360" s="270">
        <v>-8.7502034378261432E-3</v>
      </c>
      <c r="AC360" s="266"/>
      <c r="AD360" s="270">
        <v>1.8839704478917245E-2</v>
      </c>
    </row>
    <row r="361" spans="5:30" x14ac:dyDescent="0.55000000000000004">
      <c r="E361" s="258" t="s">
        <v>442</v>
      </c>
      <c r="F361" s="244">
        <v>2.2526601872802074E-2</v>
      </c>
      <c r="G361" s="244">
        <v>7.0708198429533992E-4</v>
      </c>
      <c r="H361" s="244">
        <v>4.7428183059228829E-2</v>
      </c>
      <c r="I361" s="244">
        <v>7.5171790999626814E-2</v>
      </c>
      <c r="J361" s="244">
        <v>9.944319624890105E-2</v>
      </c>
      <c r="K361" s="244">
        <v>9.1429719682507793E-2</v>
      </c>
      <c r="L361" s="244">
        <v>7.1606917521659971E-2</v>
      </c>
      <c r="M361" s="244">
        <v>6.6765456491314726E-2</v>
      </c>
      <c r="N361" s="244">
        <v>6.0643354499897988E-2</v>
      </c>
      <c r="O361" s="244">
        <v>3.1932694796503722E-2</v>
      </c>
      <c r="P361" s="244">
        <v>-8.0109227126255927E-2</v>
      </c>
      <c r="Q361" s="257">
        <v>-3.439160821624937E-2</v>
      </c>
      <c r="R361" s="244">
        <v>1.1321519471576311E-2</v>
      </c>
      <c r="S361" s="244">
        <v>2.8632901187517833E-2</v>
      </c>
      <c r="T361" s="244">
        <v>4.0800393974229528E-2</v>
      </c>
      <c r="U361" s="244">
        <v>4.7835315977511929E-2</v>
      </c>
      <c r="V361" s="244">
        <v>5.2413365136828934E-2</v>
      </c>
      <c r="W361" s="244">
        <v>5.3551025626803257E-2</v>
      </c>
      <c r="X361" s="244">
        <v>5.4658628527803198E-2</v>
      </c>
      <c r="Y361" s="244">
        <v>5.5683313539272666E-2</v>
      </c>
      <c r="Z361" s="244">
        <v>5.7698956670602881E-2</v>
      </c>
      <c r="AA361" s="258"/>
      <c r="AB361" s="270">
        <v>4.1556073900485919E-3</v>
      </c>
      <c r="AC361" s="266"/>
      <c r="AD361" s="270">
        <v>1.8839704478917245E-2</v>
      </c>
    </row>
    <row r="362" spans="5:30" x14ac:dyDescent="0.55000000000000004">
      <c r="E362" s="258" t="s">
        <v>443</v>
      </c>
      <c r="F362" s="244">
        <v>-1.5382483370288249E-2</v>
      </c>
      <c r="G362" s="244">
        <v>7.0184089414858652E-2</v>
      </c>
      <c r="H362" s="244">
        <v>0.13212735166425471</v>
      </c>
      <c r="I362" s="244">
        <v>0.15089635521785588</v>
      </c>
      <c r="J362" s="244">
        <v>0.1709485200742405</v>
      </c>
      <c r="K362" s="244">
        <v>0.1611574399678489</v>
      </c>
      <c r="L362" s="244">
        <v>0.13824748371817644</v>
      </c>
      <c r="M362" s="244">
        <v>0.13698855684531161</v>
      </c>
      <c r="N362" s="244">
        <v>0.11761927255550307</v>
      </c>
      <c r="O362" s="244">
        <v>9.5335856803746719E-2</v>
      </c>
      <c r="P362" s="244">
        <v>-4.7425100096645037E-2</v>
      </c>
      <c r="Q362" s="257">
        <v>3.0324617373710405E-2</v>
      </c>
      <c r="R362" s="244">
        <v>8.2511042129030029E-2</v>
      </c>
      <c r="S362" s="244">
        <v>9.8586482107209772E-2</v>
      </c>
      <c r="T362" s="244">
        <v>0.1061187420129238</v>
      </c>
      <c r="U362" s="244">
        <v>0.11367976536198872</v>
      </c>
      <c r="V362" s="244">
        <v>0.11814385863059378</v>
      </c>
      <c r="W362" s="244">
        <v>0.11837888836529672</v>
      </c>
      <c r="X362" s="244">
        <v>0.11885160155523185</v>
      </c>
      <c r="Y362" s="244">
        <v>0.11940142357456227</v>
      </c>
      <c r="Z362" s="244">
        <v>0.12147491700277907</v>
      </c>
      <c r="AA362" s="258"/>
      <c r="AB362" s="270">
        <v>5.5176676420868244E-2</v>
      </c>
      <c r="AC362" s="266"/>
      <c r="AD362" s="270">
        <v>8.6244129796972546E-2</v>
      </c>
    </row>
    <row r="363" spans="5:30" x14ac:dyDescent="0.55000000000000004">
      <c r="E363" s="258" t="s">
        <v>444</v>
      </c>
      <c r="F363" s="244">
        <v>8.1762749445676269E-2</v>
      </c>
      <c r="G363" s="244">
        <v>8.8099934253780404E-2</v>
      </c>
      <c r="H363" s="244">
        <v>0.1251808972503618</v>
      </c>
      <c r="I363" s="244">
        <v>0.14543511812893267</v>
      </c>
      <c r="J363" s="244">
        <v>0.1709485200742405</v>
      </c>
      <c r="K363" s="244">
        <v>0.1611574399678489</v>
      </c>
      <c r="L363" s="244">
        <v>0.14199723702388001</v>
      </c>
      <c r="M363" s="244">
        <v>0.13698855684531161</v>
      </c>
      <c r="N363" s="244">
        <v>0.1211282812605439</v>
      </c>
      <c r="O363" s="244">
        <v>0.1042535446205171</v>
      </c>
      <c r="P363" s="244">
        <v>-1.6774817064752173E-2</v>
      </c>
      <c r="Q363" s="257">
        <v>3.0324617373710405E-2</v>
      </c>
      <c r="R363" s="244">
        <v>8.2511042129030029E-2</v>
      </c>
      <c r="S363" s="244">
        <v>9.8586482107209772E-2</v>
      </c>
      <c r="T363" s="244">
        <v>0.1061187420129238</v>
      </c>
      <c r="U363" s="244">
        <v>0.11367976536198872</v>
      </c>
      <c r="V363" s="244">
        <v>0.11814385863059378</v>
      </c>
      <c r="W363" s="244">
        <v>0.11837888836529672</v>
      </c>
      <c r="X363" s="244">
        <v>0.11885160155523185</v>
      </c>
      <c r="Y363" s="244">
        <v>0.11940142357456227</v>
      </c>
      <c r="Z363" s="244">
        <v>0.12147491700277907</v>
      </c>
      <c r="AA363" s="258"/>
      <c r="AB363" s="270">
        <v>6.9535669605436265E-2</v>
      </c>
      <c r="AC363" s="266"/>
      <c r="AD363" s="270">
        <v>8.6244129796972546E-2</v>
      </c>
    </row>
    <row r="364" spans="5:30" x14ac:dyDescent="0.55000000000000004">
      <c r="E364" s="258" t="s">
        <v>445</v>
      </c>
      <c r="F364" s="244">
        <v>-2.9522932193082194E-2</v>
      </c>
      <c r="G364" s="244">
        <v>0.18702938731966307</v>
      </c>
      <c r="H364" s="244">
        <v>0.12314693836896594</v>
      </c>
      <c r="I364" s="244">
        <v>0.1300048523095462</v>
      </c>
      <c r="J364" s="244">
        <v>0.15542347848527219</v>
      </c>
      <c r="K364" s="244">
        <v>0.12533842836164411</v>
      </c>
      <c r="L364" s="244">
        <v>-1.2363549219677175E-3</v>
      </c>
      <c r="M364" s="244">
        <v>3.9509311586658213E-2</v>
      </c>
      <c r="N364" s="244">
        <v>4.1216600416472716E-2</v>
      </c>
      <c r="O364" s="244">
        <v>2.9535416339434056E-2</v>
      </c>
      <c r="P364" s="244">
        <v>-5.0741574819148746E-2</v>
      </c>
      <c r="Q364" s="257">
        <v>-2.491989353091693E-2</v>
      </c>
      <c r="R364" s="244">
        <v>5.0573588452000953E-3</v>
      </c>
      <c r="S364" s="244">
        <v>1.2772624840181348E-2</v>
      </c>
      <c r="T364" s="244">
        <v>4.6749123324556913E-2</v>
      </c>
      <c r="U364" s="244">
        <v>5.1235871615808538E-2</v>
      </c>
      <c r="V364" s="244">
        <v>5.4298813858064579E-2</v>
      </c>
      <c r="W364" s="244">
        <v>5.508412959656777E-2</v>
      </c>
      <c r="X364" s="244">
        <v>5.7616694083403946E-2</v>
      </c>
      <c r="Y364" s="244">
        <v>5.9608496084398617E-2</v>
      </c>
      <c r="Z364" s="244">
        <v>6.4008663361869222E-2</v>
      </c>
      <c r="AA364" s="258"/>
      <c r="AB364" s="270">
        <v>6.6701473122526738E-3</v>
      </c>
      <c r="AC364" s="266"/>
      <c r="AD364" s="270">
        <v>1.8179017018965994E-2</v>
      </c>
    </row>
    <row r="365" spans="5:30" x14ac:dyDescent="0.55000000000000004">
      <c r="E365" s="258" t="s">
        <v>446</v>
      </c>
      <c r="F365" s="244">
        <v>-3.325942350332594E-2</v>
      </c>
      <c r="G365" s="244">
        <v>0.1932938856015779</v>
      </c>
      <c r="H365" s="244">
        <v>0.13936324167872649</v>
      </c>
      <c r="I365" s="244">
        <v>0.14864062685503976</v>
      </c>
      <c r="J365" s="244">
        <v>0.18501514115463516</v>
      </c>
      <c r="K365" s="244">
        <v>0.13634080176831107</v>
      </c>
      <c r="L365" s="244">
        <v>6.9962502466942966E-2</v>
      </c>
      <c r="M365" s="244">
        <v>3.0624845640898988E-2</v>
      </c>
      <c r="N365" s="244">
        <v>2.4563060935285781E-2</v>
      </c>
      <c r="O365" s="244">
        <v>3.336113427856547E-2</v>
      </c>
      <c r="P365" s="244">
        <v>-3.927930415573657E-2</v>
      </c>
      <c r="Q365" s="257">
        <v>-5.2691512597879409E-3</v>
      </c>
      <c r="R365" s="244">
        <v>2.0247882798199675E-2</v>
      </c>
      <c r="S365" s="244">
        <v>1.7851432288660329E-2</v>
      </c>
      <c r="T365" s="244">
        <v>5.1008423157495889E-2</v>
      </c>
      <c r="U365" s="244">
        <v>5.1836411727779155E-2</v>
      </c>
      <c r="V365" s="244">
        <v>5.4831839378706018E-2</v>
      </c>
      <c r="W365" s="244">
        <v>5.5567423630662971E-2</v>
      </c>
      <c r="X365" s="244">
        <v>5.8062389575807789E-2</v>
      </c>
      <c r="Y365" s="244">
        <v>6.002452760004879E-2</v>
      </c>
      <c r="Z365" s="244">
        <v>6.4403938676247011E-2</v>
      </c>
      <c r="AA365" s="258"/>
      <c r="AB365" s="270">
        <v>6.2149636860382275E-3</v>
      </c>
      <c r="AC365" s="266"/>
      <c r="AD365" s="270">
        <v>2.7134999742469423E-2</v>
      </c>
    </row>
    <row r="366" spans="5:30" x14ac:dyDescent="0.55000000000000004">
      <c r="E366" s="258" t="s">
        <v>447</v>
      </c>
      <c r="F366" s="258"/>
      <c r="G366" s="244">
        <v>-9.663064208518754E-2</v>
      </c>
      <c r="H366" s="244">
        <v>0.186010760953113</v>
      </c>
      <c r="I366" s="244">
        <v>0.25274725274725274</v>
      </c>
      <c r="J366" s="244">
        <v>0.334373460338315</v>
      </c>
      <c r="K366" s="244">
        <v>0.28879720723579816</v>
      </c>
      <c r="L366" s="244">
        <v>0.22469374597034172</v>
      </c>
      <c r="M366" s="244">
        <v>0.25403288958496478</v>
      </c>
      <c r="N366" s="244">
        <v>0.21517553793884484</v>
      </c>
      <c r="O366" s="244">
        <v>8.1472027228249311E-2</v>
      </c>
      <c r="P366" s="245">
        <v>-0.40349075975359344</v>
      </c>
      <c r="Q366" s="244">
        <v>-0.18925353714842916</v>
      </c>
      <c r="R366" s="244">
        <v>8.1160146469226493E-2</v>
      </c>
      <c r="S366" s="244">
        <v>0.22648690951704994</v>
      </c>
      <c r="T366" s="244">
        <v>0.29874167310676192</v>
      </c>
      <c r="U366" s="244">
        <v>0.29958514075090381</v>
      </c>
      <c r="V366" s="244">
        <v>0.28618288289441562</v>
      </c>
      <c r="W366" s="244">
        <v>0.25905175555136001</v>
      </c>
      <c r="X366" s="244">
        <v>0.23611244191269382</v>
      </c>
      <c r="Y366" s="244">
        <v>0.21627067086423502</v>
      </c>
      <c r="Z366" s="244">
        <v>0.20069212784781437</v>
      </c>
      <c r="AA366" s="258"/>
      <c r="AB366" s="270">
        <v>-3.5614398195499775E-2</v>
      </c>
      <c r="AC366" s="266"/>
      <c r="AD366" s="270">
        <v>0.14334406653910259</v>
      </c>
    </row>
    <row r="367" spans="5:30" x14ac:dyDescent="0.55000000000000004">
      <c r="E367" s="258" t="s">
        <v>448</v>
      </c>
      <c r="F367" s="258"/>
      <c r="G367" s="244">
        <v>-2.4104027909927054E-2</v>
      </c>
      <c r="H367" s="244">
        <v>5.7450344227269128E-2</v>
      </c>
      <c r="I367" s="244">
        <v>8.56006160164271E-2</v>
      </c>
      <c r="J367" s="244">
        <v>0.10994707851819852</v>
      </c>
      <c r="K367" s="244">
        <v>8.7491587347370448E-2</v>
      </c>
      <c r="L367" s="244">
        <v>6.1220904699165565E-2</v>
      </c>
      <c r="M367" s="244">
        <v>6.1837590545177276E-2</v>
      </c>
      <c r="N367" s="244">
        <v>5.2629959065587394E-2</v>
      </c>
      <c r="O367" s="244">
        <v>2.0226024503591043E-2</v>
      </c>
      <c r="P367" s="245">
        <v>-7.89910054771117E-2</v>
      </c>
      <c r="Q367" s="244">
        <v>-2.6485951343505582E-2</v>
      </c>
      <c r="R367" s="244">
        <v>1.0627674984484697E-2</v>
      </c>
      <c r="S367" s="244">
        <v>3.2279635111185402E-2</v>
      </c>
      <c r="T367" s="244">
        <v>4.9236509593230955E-2</v>
      </c>
      <c r="U367" s="244">
        <v>5.8220185653798509E-2</v>
      </c>
      <c r="V367" s="244">
        <v>6.482579230773905E-2</v>
      </c>
      <c r="W367" s="244">
        <v>6.6781302843271925E-2</v>
      </c>
      <c r="X367" s="244">
        <v>6.7919702260373971E-2</v>
      </c>
      <c r="Y367" s="244">
        <v>6.850220530530042E-2</v>
      </c>
      <c r="Z367" s="244">
        <v>6.9356214418251155E-2</v>
      </c>
      <c r="AA367" s="258"/>
      <c r="AB367" s="270">
        <v>-2.0450073026444201E-3</v>
      </c>
      <c r="AC367" s="266"/>
      <c r="AD367" s="270">
        <v>2.4775610799838796E-2</v>
      </c>
    </row>
    <row r="368" spans="5:30" x14ac:dyDescent="0.55000000000000004">
      <c r="E368" s="144"/>
      <c r="F368" s="144"/>
      <c r="G368" s="144"/>
      <c r="H368" s="144"/>
      <c r="I368" s="133"/>
      <c r="J368" s="133"/>
      <c r="K368" s="133"/>
      <c r="L368" s="133"/>
      <c r="M368" s="133"/>
      <c r="N368" s="133"/>
      <c r="O368" s="133"/>
      <c r="P368" s="133"/>
      <c r="Q368" s="220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41"/>
      <c r="AC368" s="141"/>
      <c r="AD368" s="141"/>
    </row>
    <row r="369" spans="5:30" x14ac:dyDescent="0.55000000000000004">
      <c r="E369" s="176" t="s">
        <v>449</v>
      </c>
      <c r="F369" s="176"/>
      <c r="G369" s="176"/>
      <c r="H369" s="144"/>
      <c r="I369" s="133"/>
      <c r="J369" s="133"/>
      <c r="K369" s="133"/>
      <c r="L369" s="133"/>
      <c r="M369" s="133"/>
      <c r="N369" s="133"/>
      <c r="O369" s="133"/>
      <c r="P369" s="133"/>
      <c r="Q369" s="220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41"/>
      <c r="AC369" s="141"/>
      <c r="AD369" s="141"/>
    </row>
    <row r="370" spans="5:30" x14ac:dyDescent="0.55000000000000004">
      <c r="E370" s="271" t="s">
        <v>450</v>
      </c>
      <c r="F370" s="271"/>
      <c r="G370" s="271">
        <v>42.5353385930309</v>
      </c>
      <c r="H370" s="271">
        <v>32.327062228654121</v>
      </c>
      <c r="I370" s="271">
        <v>30.18194230084293</v>
      </c>
      <c r="J370" s="271">
        <v>32.677786460877208</v>
      </c>
      <c r="K370" s="271">
        <v>40.009544860845971</v>
      </c>
      <c r="L370" s="271">
        <v>38.016331162423526</v>
      </c>
      <c r="M370" s="271">
        <v>36.463941714003461</v>
      </c>
      <c r="N370" s="271">
        <v>36.921182266009851</v>
      </c>
      <c r="O370" s="271">
        <v>35.933309809456603</v>
      </c>
      <c r="P370" s="272">
        <v>35.414020433522019</v>
      </c>
      <c r="Q370" s="271">
        <v>31.391122957020265</v>
      </c>
      <c r="R370" s="271">
        <v>29.243649829359629</v>
      </c>
      <c r="S370" s="271">
        <v>28.72747985227743</v>
      </c>
      <c r="T370" s="271">
        <v>29.991090015626085</v>
      </c>
      <c r="U370" s="271">
        <v>31.001822167589832</v>
      </c>
      <c r="V370" s="271">
        <v>30.945952631359884</v>
      </c>
      <c r="W370" s="271">
        <v>31.014611401511715</v>
      </c>
      <c r="X370" s="271">
        <v>31.214325333809132</v>
      </c>
      <c r="Y370" s="271">
        <v>31.35767864409836</v>
      </c>
      <c r="Z370" s="271">
        <v>31.618984545120966</v>
      </c>
      <c r="AA370" s="271"/>
      <c r="AB370" s="202">
        <v>36.089504169662824</v>
      </c>
      <c r="AC370" s="202"/>
      <c r="AD370" s="202">
        <v>30.071032964374648</v>
      </c>
    </row>
    <row r="371" spans="5:30" x14ac:dyDescent="0.55000000000000004">
      <c r="E371" s="271" t="s">
        <v>451</v>
      </c>
      <c r="F371" s="271"/>
      <c r="G371" s="271">
        <v>132.61883541295308</v>
      </c>
      <c r="H371" s="271">
        <v>95.788014311270132</v>
      </c>
      <c r="I371" s="271">
        <v>91.666912306558586</v>
      </c>
      <c r="J371" s="271">
        <v>89.329552614996857</v>
      </c>
      <c r="K371" s="271">
        <v>109.67807163949159</v>
      </c>
      <c r="L371" s="271">
        <v>124.98764762593396</v>
      </c>
      <c r="M371" s="271">
        <v>127.55376344086022</v>
      </c>
      <c r="N371" s="271">
        <v>131.68786993619801</v>
      </c>
      <c r="O371" s="271">
        <v>147.24111282843896</v>
      </c>
      <c r="P371" s="272">
        <v>157.03943138795628</v>
      </c>
      <c r="Q371" s="271">
        <v>161.34924471862809</v>
      </c>
      <c r="R371" s="271">
        <v>144.3889074607452</v>
      </c>
      <c r="S371" s="271">
        <v>132.12458964327294</v>
      </c>
      <c r="T371" s="271">
        <v>130.38974374331812</v>
      </c>
      <c r="U371" s="271">
        <v>130.2881254215576</v>
      </c>
      <c r="V371" s="271">
        <v>129.86386769330065</v>
      </c>
      <c r="W371" s="271">
        <v>129.83964701368072</v>
      </c>
      <c r="X371" s="271">
        <v>130.69325670060385</v>
      </c>
      <c r="Y371" s="271">
        <v>131.29920904749574</v>
      </c>
      <c r="Z371" s="271">
        <v>132.51105541600322</v>
      </c>
      <c r="AA371" s="271"/>
      <c r="AB371" s="202">
        <v>145.32280471753108</v>
      </c>
      <c r="AC371" s="202"/>
      <c r="AD371" s="202">
        <v>139.70812219750437</v>
      </c>
    </row>
    <row r="372" spans="5:30" x14ac:dyDescent="0.55000000000000004">
      <c r="E372" s="271" t="s">
        <v>452</v>
      </c>
      <c r="F372" s="271"/>
      <c r="G372" s="271">
        <v>66.508219449395909</v>
      </c>
      <c r="H372" s="271">
        <v>58.014758497316635</v>
      </c>
      <c r="I372" s="271">
        <v>72.757921886514367</v>
      </c>
      <c r="J372" s="271">
        <v>78.79584120982986</v>
      </c>
      <c r="K372" s="271">
        <v>101.36025163692388</v>
      </c>
      <c r="L372" s="271">
        <v>111.65973728609303</v>
      </c>
      <c r="M372" s="271">
        <v>99.666568018151324</v>
      </c>
      <c r="N372" s="271">
        <v>94.371396725343999</v>
      </c>
      <c r="O372" s="271">
        <v>106.03186869802018</v>
      </c>
      <c r="P372" s="272">
        <v>109.18190585041788</v>
      </c>
      <c r="Q372" s="271">
        <v>105.50158077800572</v>
      </c>
      <c r="R372" s="271">
        <v>98.736295249459914</v>
      </c>
      <c r="S372" s="271">
        <v>94.23721275029105</v>
      </c>
      <c r="T372" s="271">
        <v>98.04084891757519</v>
      </c>
      <c r="U372" s="271">
        <v>101.33520866121147</v>
      </c>
      <c r="V372" s="271">
        <v>101.00523042812273</v>
      </c>
      <c r="W372" s="271">
        <v>100.98639212175168</v>
      </c>
      <c r="X372" s="271">
        <v>101.65031076713632</v>
      </c>
      <c r="Y372" s="271">
        <v>102.12160703694111</v>
      </c>
      <c r="Z372" s="271">
        <v>103.06415421244692</v>
      </c>
      <c r="AA372" s="271"/>
      <c r="AB372" s="202">
        <v>103.19505709126069</v>
      </c>
      <c r="AC372" s="202"/>
      <c r="AD372" s="202">
        <v>99.570229271308676</v>
      </c>
    </row>
    <row r="373" spans="5:30" x14ac:dyDescent="0.55000000000000004">
      <c r="E373" s="271" t="s">
        <v>453</v>
      </c>
      <c r="F373" s="271"/>
      <c r="G373" s="271">
        <v>108.64595455658807</v>
      </c>
      <c r="H373" s="271">
        <v>70.100318042607611</v>
      </c>
      <c r="I373" s="271">
        <v>49.090932720887153</v>
      </c>
      <c r="J373" s="271">
        <v>43.211497866044198</v>
      </c>
      <c r="K373" s="271">
        <v>48.327364863413678</v>
      </c>
      <c r="L373" s="271">
        <v>51.344241502264438</v>
      </c>
      <c r="M373" s="271">
        <v>64.351137136712353</v>
      </c>
      <c r="N373" s="271">
        <v>74.237655476863864</v>
      </c>
      <c r="O373" s="271">
        <v>77.142553939875384</v>
      </c>
      <c r="P373" s="271">
        <v>83.271545971060419</v>
      </c>
      <c r="Q373" s="273">
        <v>87.238786897642626</v>
      </c>
      <c r="R373" s="271">
        <v>74.896262040644928</v>
      </c>
      <c r="S373" s="271">
        <v>66.614856745259331</v>
      </c>
      <c r="T373" s="271">
        <v>62.339984841369031</v>
      </c>
      <c r="U373" s="271">
        <v>59.954738927935963</v>
      </c>
      <c r="V373" s="271">
        <v>59.804589896537806</v>
      </c>
      <c r="W373" s="271">
        <v>59.867866293440741</v>
      </c>
      <c r="X373" s="271">
        <v>60.257271267276678</v>
      </c>
      <c r="Y373" s="271">
        <v>60.535280654652993</v>
      </c>
      <c r="Z373" s="271">
        <v>61.065885748677246</v>
      </c>
      <c r="AA373" s="271"/>
      <c r="AB373" s="202">
        <v>78.217251795933223</v>
      </c>
      <c r="AC373" s="202"/>
      <c r="AD373" s="202">
        <v>70.208925890570384</v>
      </c>
    </row>
    <row r="374" spans="5:30" x14ac:dyDescent="0.55000000000000004">
      <c r="E374" s="271" t="s">
        <v>454</v>
      </c>
      <c r="F374" s="271"/>
      <c r="G374" s="271">
        <v>0.96479543292102754</v>
      </c>
      <c r="H374" s="271">
        <v>1.0936139906623408</v>
      </c>
      <c r="I374" s="271">
        <v>1.0809804928131417</v>
      </c>
      <c r="J374" s="271">
        <v>1.1056269575548114</v>
      </c>
      <c r="K374" s="271">
        <v>0.95692721853667917</v>
      </c>
      <c r="L374" s="271">
        <v>0.89011857707509878</v>
      </c>
      <c r="M374" s="271">
        <v>0.92619138391155165</v>
      </c>
      <c r="N374" s="271">
        <v>0.91219106829583574</v>
      </c>
      <c r="O374" s="271">
        <v>0.823141106886354</v>
      </c>
      <c r="P374" s="271">
        <v>0.72790312044620875</v>
      </c>
      <c r="Q374" s="273">
        <v>0.77012831668021497</v>
      </c>
      <c r="R374" s="271">
        <v>0.93871454367644092</v>
      </c>
      <c r="S374" s="271">
        <v>1.1273616634159769</v>
      </c>
      <c r="T374" s="271">
        <v>1.2067655431055364</v>
      </c>
      <c r="U374" s="271">
        <v>1.2170962909739877</v>
      </c>
      <c r="V374" s="271">
        <v>1.2368179783630868</v>
      </c>
      <c r="W374" s="271">
        <v>1.2470592684567872</v>
      </c>
      <c r="X374" s="271">
        <v>1.2426162911465162</v>
      </c>
      <c r="Y374" s="271">
        <v>1.2302106493175333</v>
      </c>
      <c r="Z374" s="271">
        <v>1.2020358498715722</v>
      </c>
      <c r="AA374" s="271"/>
      <c r="AB374" s="202">
        <v>0.82107843187613272</v>
      </c>
      <c r="AC374" s="202"/>
      <c r="AD374" s="202">
        <v>1.0520132715704313</v>
      </c>
    </row>
    <row r="375" spans="5:30" x14ac:dyDescent="0.55000000000000004">
      <c r="E375" s="144"/>
      <c r="F375" s="144"/>
      <c r="G375" s="144"/>
      <c r="H375" s="144"/>
      <c r="I375" s="133"/>
      <c r="J375" s="133"/>
      <c r="K375" s="133"/>
      <c r="L375" s="133"/>
      <c r="M375" s="133"/>
      <c r="N375" s="133"/>
      <c r="O375" s="133"/>
      <c r="P375" s="133"/>
      <c r="Q375" s="220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41"/>
      <c r="AC375" s="141"/>
      <c r="AD375" s="141"/>
    </row>
    <row r="376" spans="5:30" x14ac:dyDescent="0.55000000000000004">
      <c r="E376" s="176" t="s">
        <v>455</v>
      </c>
      <c r="F376" s="176"/>
      <c r="G376" s="176"/>
      <c r="H376" s="144"/>
      <c r="I376" s="133"/>
      <c r="J376" s="133"/>
      <c r="K376" s="133"/>
      <c r="L376" s="133"/>
      <c r="M376" s="133"/>
      <c r="N376" s="133"/>
      <c r="O376" s="133"/>
      <c r="P376" s="133"/>
      <c r="Q376" s="220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41"/>
      <c r="AC376" s="141"/>
      <c r="AD376" s="141"/>
    </row>
    <row r="377" spans="5:30" x14ac:dyDescent="0.55000000000000004">
      <c r="E377" s="271" t="s">
        <v>456</v>
      </c>
      <c r="F377" s="271">
        <v>1.320411871592974</v>
      </c>
      <c r="G377" s="271">
        <v>1.1887005649717515</v>
      </c>
      <c r="H377" s="271">
        <v>1.1772374028578592</v>
      </c>
      <c r="I377" s="271">
        <v>1.3291814946619218</v>
      </c>
      <c r="J377" s="271">
        <v>1.2896641306364818</v>
      </c>
      <c r="K377" s="271">
        <v>1.2641717985157113</v>
      </c>
      <c r="L377" s="271">
        <v>1.1845749099972307</v>
      </c>
      <c r="M377" s="271">
        <v>1.1752391671356219</v>
      </c>
      <c r="N377" s="271">
        <v>1.167492850333651</v>
      </c>
      <c r="O377" s="271">
        <v>1.0781996479758611</v>
      </c>
      <c r="P377" s="271">
        <v>1.096041055718475</v>
      </c>
      <c r="Q377" s="273">
        <v>1.0467287294672627</v>
      </c>
      <c r="R377" s="271">
        <v>1.0664987693240398</v>
      </c>
      <c r="S377" s="271">
        <v>1.1222835114255552</v>
      </c>
      <c r="T377" s="271">
        <v>1.1852920415775783</v>
      </c>
      <c r="U377" s="271">
        <v>1.2745329160408008</v>
      </c>
      <c r="V377" s="271">
        <v>1.3683322337066135</v>
      </c>
      <c r="W377" s="271">
        <v>1.4606825493583335</v>
      </c>
      <c r="X377" s="271">
        <v>1.55580925922048</v>
      </c>
      <c r="Y377" s="271">
        <v>1.6534796670165577</v>
      </c>
      <c r="Z377" s="271">
        <v>1.7594754394900316</v>
      </c>
      <c r="AA377" s="271"/>
      <c r="AB377" s="202">
        <v>1.1139111846759955</v>
      </c>
      <c r="AC377" s="202"/>
      <c r="AD377" s="202">
        <v>1.1390671935670476</v>
      </c>
    </row>
    <row r="378" spans="5:30" x14ac:dyDescent="0.55000000000000004">
      <c r="E378" s="271" t="s">
        <v>457</v>
      </c>
      <c r="F378" s="271">
        <v>0.64082374318594792</v>
      </c>
      <c r="G378" s="271">
        <v>0.65197740112994351</v>
      </c>
      <c r="H378" s="271">
        <v>0.79894710453747808</v>
      </c>
      <c r="I378" s="271">
        <v>0.90680604982206403</v>
      </c>
      <c r="J378" s="271">
        <v>0.92132120987196142</v>
      </c>
      <c r="K378" s="271">
        <v>0.83846518237801992</v>
      </c>
      <c r="L378" s="271">
        <v>0.77097756854057042</v>
      </c>
      <c r="M378" s="271">
        <v>0.71401238041643222</v>
      </c>
      <c r="N378" s="271">
        <v>0.66329837940896097</v>
      </c>
      <c r="O378" s="271">
        <v>0.60271561478501379</v>
      </c>
      <c r="P378" s="271">
        <v>0.57689801238188332</v>
      </c>
      <c r="Q378" s="273">
        <v>0.5397938612431098</v>
      </c>
      <c r="R378" s="271">
        <v>0.54254734054919174</v>
      </c>
      <c r="S378" s="271">
        <v>0.54023806570143496</v>
      </c>
      <c r="T378" s="271">
        <v>0.59837988492226923</v>
      </c>
      <c r="U378" s="271">
        <v>0.66447503701415167</v>
      </c>
      <c r="V378" s="271">
        <v>0.73286418417354671</v>
      </c>
      <c r="W378" s="271">
        <v>0.79965645554827347</v>
      </c>
      <c r="X378" s="271">
        <v>0.87363566983425156</v>
      </c>
      <c r="Y378" s="271">
        <v>0.95328538705685129</v>
      </c>
      <c r="Z378" s="271">
        <v>1.0473225141951252</v>
      </c>
      <c r="AA378" s="271"/>
      <c r="AB378" s="202">
        <v>0.61430400219195269</v>
      </c>
      <c r="AC378" s="202"/>
      <c r="AD378" s="202">
        <v>0.57708683788603143</v>
      </c>
    </row>
    <row r="379" spans="5:30" x14ac:dyDescent="0.55000000000000004">
      <c r="E379" s="271" t="s">
        <v>458</v>
      </c>
      <c r="F379" s="271">
        <v>2.9044368600682593</v>
      </c>
      <c r="G379" s="271">
        <v>173.5</v>
      </c>
      <c r="H379" s="271">
        <v>3.3410596026490067</v>
      </c>
      <c r="I379" s="271" t="e">
        <v>#DIV/0!</v>
      </c>
      <c r="J379" s="271" t="e">
        <v>#DIV/0!</v>
      </c>
      <c r="K379" s="271" t="e">
        <v>#DIV/0!</v>
      </c>
      <c r="L379" s="271" t="e">
        <v>#DIV/0!</v>
      </c>
      <c r="M379" s="271">
        <v>18.163522012578618</v>
      </c>
      <c r="N379" s="271">
        <v>6.28952772073922</v>
      </c>
      <c r="O379" s="271">
        <v>3.4375</v>
      </c>
      <c r="P379" s="271">
        <v>9.5887096774193541</v>
      </c>
      <c r="Q379" s="273">
        <v>7.6506749204744544</v>
      </c>
      <c r="R379" s="271">
        <v>7.7752867219258315</v>
      </c>
      <c r="S379" s="271">
        <v>8.4440307105216643</v>
      </c>
      <c r="T379" s="271">
        <v>12.562465752197598</v>
      </c>
      <c r="U379" s="271">
        <v>17.121299310248428</v>
      </c>
      <c r="V379" s="271">
        <v>22.2636210421412</v>
      </c>
      <c r="W379" s="271">
        <v>27.781154444653069</v>
      </c>
      <c r="X379" s="271">
        <v>34.011165777231021</v>
      </c>
      <c r="Y379" s="271">
        <v>40.876261146318541</v>
      </c>
      <c r="Z379" s="271">
        <v>48.686857814729649</v>
      </c>
      <c r="AA379" s="271"/>
      <c r="AB379" s="202">
        <v>6.438579132719525</v>
      </c>
      <c r="AC379" s="202"/>
      <c r="AD379" s="202">
        <v>10.710751483073594</v>
      </c>
    </row>
    <row r="380" spans="5:30" x14ac:dyDescent="0.55000000000000004">
      <c r="E380" s="144"/>
      <c r="F380" s="144"/>
      <c r="G380" s="144"/>
      <c r="H380" s="144"/>
      <c r="I380" s="133"/>
      <c r="J380" s="133"/>
      <c r="K380" s="133"/>
      <c r="L380" s="133"/>
      <c r="M380" s="133"/>
      <c r="N380" s="133"/>
      <c r="O380" s="133"/>
      <c r="P380" s="133"/>
      <c r="Q380" s="220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41"/>
      <c r="AC380" s="141"/>
      <c r="AD380" s="141"/>
    </row>
    <row r="381" spans="5:30" x14ac:dyDescent="0.55000000000000004">
      <c r="E381" s="176" t="s">
        <v>459</v>
      </c>
      <c r="F381" s="176"/>
      <c r="G381" s="176"/>
      <c r="H381" s="144"/>
      <c r="I381" s="133"/>
      <c r="J381" s="133"/>
      <c r="K381" s="133"/>
      <c r="L381" s="133"/>
      <c r="M381" s="133"/>
      <c r="N381" s="133"/>
      <c r="O381" s="133"/>
      <c r="P381" s="133"/>
      <c r="Q381" s="220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41"/>
      <c r="AC381" s="141"/>
      <c r="AD381" s="141"/>
    </row>
    <row r="382" spans="5:30" x14ac:dyDescent="0.55000000000000004">
      <c r="E382" s="258" t="s">
        <v>460</v>
      </c>
      <c r="F382" s="244">
        <v>0.51912244292914322</v>
      </c>
      <c r="G382" s="244">
        <v>0.28517823639774859</v>
      </c>
      <c r="H382" s="244">
        <v>0.20328198258539854</v>
      </c>
      <c r="I382" s="244">
        <v>0.14584560989982323</v>
      </c>
      <c r="J382" s="244">
        <v>0.13456321215409658</v>
      </c>
      <c r="K382" s="244">
        <v>0.13771127736215019</v>
      </c>
      <c r="L382" s="244">
        <v>0.13871866295264623</v>
      </c>
      <c r="M382" s="244">
        <v>0.19936785801118406</v>
      </c>
      <c r="N382" s="244">
        <v>0.22536617842876164</v>
      </c>
      <c r="O382" s="244">
        <v>0.23221216041397155</v>
      </c>
      <c r="P382" s="244">
        <v>0.44361177115700967</v>
      </c>
      <c r="Q382" s="257">
        <v>0.49082726704890167</v>
      </c>
      <c r="R382" s="244">
        <v>0.47055914797859039</v>
      </c>
      <c r="S382" s="244">
        <v>0.41967199957938411</v>
      </c>
      <c r="T382" s="244">
        <v>0.36123326547656792</v>
      </c>
      <c r="U382" s="244">
        <v>0.31004867590596674</v>
      </c>
      <c r="V382" s="244">
        <v>0.26602427908758636</v>
      </c>
      <c r="W382" s="244">
        <v>0.2307154994790574</v>
      </c>
      <c r="X382" s="244">
        <v>0.20167241128032526</v>
      </c>
      <c r="Y382" s="244">
        <v>0.17765634362288021</v>
      </c>
      <c r="Z382" s="244">
        <v>0.15743614210467413</v>
      </c>
      <c r="AA382" s="258"/>
      <c r="AB382" s="270">
        <v>0.30039670333324758</v>
      </c>
      <c r="AC382" s="266"/>
      <c r="AD382" s="270">
        <v>0.4104680711978822</v>
      </c>
    </row>
    <row r="383" spans="5:30" x14ac:dyDescent="0.55000000000000004">
      <c r="E383" s="271" t="s">
        <v>461</v>
      </c>
      <c r="F383" s="164">
        <v>1.0795314426633786</v>
      </c>
      <c r="G383" s="164">
        <v>0.39895013123359579</v>
      </c>
      <c r="H383" s="164">
        <v>0.25514922236233711</v>
      </c>
      <c r="I383" s="164">
        <v>0.17074853397723352</v>
      </c>
      <c r="J383" s="164">
        <v>0.1554858934169279</v>
      </c>
      <c r="K383" s="164">
        <v>0.1597043701799486</v>
      </c>
      <c r="L383" s="164">
        <v>0.16106080206985771</v>
      </c>
      <c r="M383" s="164">
        <v>0.24901305800182205</v>
      </c>
      <c r="N383" s="164">
        <v>0.29093253115599482</v>
      </c>
      <c r="O383" s="164">
        <v>0.30244313395113731</v>
      </c>
      <c r="P383" s="164">
        <v>0.79730617608409982</v>
      </c>
      <c r="Q383" s="269">
        <v>0.96397005433525751</v>
      </c>
      <c r="R383" s="164">
        <v>0.88878511392158643</v>
      </c>
      <c r="S383" s="164">
        <v>0.72316345114350866</v>
      </c>
      <c r="T383" s="164">
        <v>0.56551671518410407</v>
      </c>
      <c r="U383" s="164">
        <v>0.44937760835967366</v>
      </c>
      <c r="V383" s="164">
        <v>0.36244288674411268</v>
      </c>
      <c r="W383" s="164">
        <v>0.29990920046201619</v>
      </c>
      <c r="X383" s="164">
        <v>0.25261861688102155</v>
      </c>
      <c r="Y383" s="164">
        <v>0.21603661953878869</v>
      </c>
      <c r="Z383" s="164">
        <v>0.18685366174848775</v>
      </c>
      <c r="AA383" s="271"/>
      <c r="AB383" s="165">
        <v>0.46356061373041069</v>
      </c>
      <c r="AC383" s="202"/>
      <c r="AD383" s="165">
        <v>0.71816258858882609</v>
      </c>
    </row>
    <row r="384" spans="5:30" x14ac:dyDescent="0.55000000000000004">
      <c r="E384" s="271" t="s">
        <v>462</v>
      </c>
      <c r="F384" s="164">
        <v>-15.774774774774775</v>
      </c>
      <c r="G384" s="164">
        <v>1.4238875878220141</v>
      </c>
      <c r="H384" s="164">
        <v>0.66484118291347205</v>
      </c>
      <c r="I384" s="164">
        <v>0.3894571203776554</v>
      </c>
      <c r="J384" s="164">
        <v>0.28342857142857142</v>
      </c>
      <c r="K384" s="164">
        <v>0.3098503740648379</v>
      </c>
      <c r="L384" s="164">
        <v>0.35546038543897218</v>
      </c>
      <c r="M384" s="164">
        <v>0.49278846153846156</v>
      </c>
      <c r="N384" s="164">
        <v>0.77682157200229485</v>
      </c>
      <c r="O384" s="164">
        <v>0.96635262449528936</v>
      </c>
      <c r="P384" s="164">
        <v>-3.5327510917030569</v>
      </c>
      <c r="Q384" s="269">
        <v>5.2300319548447094</v>
      </c>
      <c r="R384" s="164">
        <v>1.5635871782224915</v>
      </c>
      <c r="S384" s="164">
        <v>1.022626247333174</v>
      </c>
      <c r="T384" s="164">
        <v>0.81685170654867012</v>
      </c>
      <c r="U384" s="164">
        <v>0.70341440287902812</v>
      </c>
      <c r="V384" s="164">
        <v>0.62202556214147042</v>
      </c>
      <c r="W384" s="164">
        <v>0.5731620826403111</v>
      </c>
      <c r="X384" s="164">
        <v>0.53415316889317432</v>
      </c>
      <c r="Y384" s="164">
        <v>0.50221211657882758</v>
      </c>
      <c r="Z384" s="164">
        <v>0.47426732216558926</v>
      </c>
      <c r="AA384" s="271"/>
      <c r="AB384" s="165" t="s">
        <v>216</v>
      </c>
      <c r="AC384" s="202"/>
      <c r="AD384" s="165">
        <v>1.8673022979656149</v>
      </c>
    </row>
    <row r="385" spans="1:30" x14ac:dyDescent="0.55000000000000004">
      <c r="A385" s="271"/>
      <c r="B385" s="271"/>
      <c r="C385" s="271"/>
      <c r="D385" s="271"/>
      <c r="E385" s="271" t="s">
        <v>463</v>
      </c>
      <c r="F385" s="164">
        <v>2.9677966101694917</v>
      </c>
      <c r="G385" s="164">
        <v>1.1343283582089552</v>
      </c>
      <c r="H385" s="164">
        <v>0.70173410404624281</v>
      </c>
      <c r="I385" s="164">
        <v>0.40408163265306124</v>
      </c>
      <c r="J385" s="164">
        <v>0.28342857142857142</v>
      </c>
      <c r="K385" s="164">
        <v>0.3098503740648379</v>
      </c>
      <c r="L385" s="164">
        <v>0.3460736622654621</v>
      </c>
      <c r="M385" s="164">
        <v>0.49278846153846156</v>
      </c>
      <c r="N385" s="164">
        <v>0.75431754874651813</v>
      </c>
      <c r="O385" s="164">
        <v>0.88369230769230767</v>
      </c>
      <c r="P385" s="164">
        <v>-9.9876543209876552</v>
      </c>
      <c r="Q385" s="269">
        <v>5.2300319548447094</v>
      </c>
      <c r="R385" s="164">
        <v>1.5635871782224915</v>
      </c>
      <c r="S385" s="164">
        <v>1.022626247333174</v>
      </c>
      <c r="T385" s="164">
        <v>0.81685170654867012</v>
      </c>
      <c r="U385" s="164">
        <v>0.70341440287902812</v>
      </c>
      <c r="V385" s="164">
        <v>0.62202556214147042</v>
      </c>
      <c r="W385" s="164">
        <v>0.5731620826403111</v>
      </c>
      <c r="X385" s="164">
        <v>0.53415316889317432</v>
      </c>
      <c r="Y385" s="164">
        <v>0.50221211657882758</v>
      </c>
      <c r="Z385" s="164">
        <v>0.47426732216558926</v>
      </c>
      <c r="AA385" s="271"/>
      <c r="AB385" s="165" t="s">
        <v>216</v>
      </c>
      <c r="AC385" s="202"/>
      <c r="AD385" s="165">
        <v>1.8673022979656149</v>
      </c>
    </row>
    <row r="386" spans="1:30" x14ac:dyDescent="0.55000000000000004">
      <c r="A386" s="271"/>
      <c r="B386" s="271"/>
      <c r="C386" s="271"/>
      <c r="D386" s="271"/>
      <c r="E386" s="271" t="s">
        <v>464</v>
      </c>
      <c r="F386" s="244">
        <v>0.35685963521015068</v>
      </c>
      <c r="G386" s="244">
        <v>-5.9805285118219746E-2</v>
      </c>
      <c r="H386" s="244">
        <v>-1.4576446280991735</v>
      </c>
      <c r="I386" s="244">
        <v>-3.6089030206677264</v>
      </c>
      <c r="J386" s="244">
        <v>-24.52</v>
      </c>
      <c r="K386" s="244">
        <v>62.019607843137258</v>
      </c>
      <c r="L386" s="244">
        <v>-11.368</v>
      </c>
      <c r="M386" s="244">
        <v>-2.1302281368821294</v>
      </c>
      <c r="N386" s="244">
        <v>-0.64220183486238536</v>
      </c>
      <c r="O386" s="244">
        <v>-0.30153508771929827</v>
      </c>
      <c r="P386" s="244">
        <v>1.58422243776269E-2</v>
      </c>
      <c r="Q386" s="257">
        <v>0.17380129283986001</v>
      </c>
      <c r="R386" s="244">
        <v>0.15443283224265728</v>
      </c>
      <c r="S386" s="244">
        <v>9.0236719774117707E-2</v>
      </c>
      <c r="T386" s="244">
        <v>-0.19107997714798897</v>
      </c>
      <c r="U386" s="244">
        <v>-0.50787938875284233</v>
      </c>
      <c r="V386" s="244">
        <v>-0.85910810390540426</v>
      </c>
      <c r="W386" s="244">
        <v>-1.2294950061957697</v>
      </c>
      <c r="X386" s="244">
        <v>-1.6690107444822271</v>
      </c>
      <c r="Y386" s="244">
        <v>-2.188009428369718</v>
      </c>
      <c r="Z386" s="244">
        <v>-2.8871863440552867</v>
      </c>
      <c r="AA386" s="271"/>
      <c r="AB386" s="270" t="s">
        <v>216</v>
      </c>
      <c r="AC386" s="202"/>
      <c r="AD386" s="270" t="s">
        <v>216</v>
      </c>
    </row>
    <row r="387" spans="1:30" x14ac:dyDescent="0.55000000000000004">
      <c r="A387" s="271"/>
      <c r="B387" s="271"/>
      <c r="C387" s="271"/>
      <c r="D387" s="271"/>
      <c r="E387" s="271" t="s">
        <v>465</v>
      </c>
      <c r="F387" s="164">
        <v>0.55487053020961774</v>
      </c>
      <c r="G387" s="164">
        <v>-5.6430446194225721E-2</v>
      </c>
      <c r="H387" s="164">
        <v>-0.5931063472047079</v>
      </c>
      <c r="I387" s="164">
        <v>-0.7830286305622628</v>
      </c>
      <c r="J387" s="164">
        <v>-0.96081504702194354</v>
      </c>
      <c r="K387" s="164">
        <v>-1.0163881748071979</v>
      </c>
      <c r="L387" s="164">
        <v>-0.91914618369987067</v>
      </c>
      <c r="M387" s="164">
        <v>-0.68053446705132103</v>
      </c>
      <c r="N387" s="164">
        <v>-0.39106145251396646</v>
      </c>
      <c r="O387" s="164">
        <v>-0.23167649536647009</v>
      </c>
      <c r="P387" s="274">
        <v>1.6097240473061762E-2</v>
      </c>
      <c r="Q387" s="164">
        <v>0.21036258146331449</v>
      </c>
      <c r="R387" s="164">
        <v>0.18263816067060892</v>
      </c>
      <c r="S387" s="164">
        <v>9.9187032204369821E-2</v>
      </c>
      <c r="T387" s="164">
        <v>-0.1604258159099653</v>
      </c>
      <c r="U387" s="164">
        <v>-0.33681698452878661</v>
      </c>
      <c r="V387" s="164">
        <v>-0.46210766447668483</v>
      </c>
      <c r="W387" s="164">
        <v>-0.55146793456769416</v>
      </c>
      <c r="X387" s="164">
        <v>-0.6253293464376839</v>
      </c>
      <c r="Y387" s="164">
        <v>-0.68632464160829687</v>
      </c>
      <c r="Z387" s="164">
        <v>-0.74274451711600853</v>
      </c>
      <c r="AA387" s="271"/>
      <c r="AB387" s="165" t="s">
        <v>216</v>
      </c>
      <c r="AC387" s="202"/>
      <c r="AD387" s="165" t="s">
        <v>216</v>
      </c>
    </row>
    <row r="388" spans="1:30" x14ac:dyDescent="0.55000000000000004">
      <c r="A388" s="271"/>
      <c r="B388" s="271"/>
      <c r="C388" s="271"/>
      <c r="D388" s="271"/>
      <c r="E388" s="271" t="s">
        <v>466</v>
      </c>
      <c r="F388" s="164">
        <v>-8.1081081081081088</v>
      </c>
      <c r="G388" s="164">
        <v>-0.20140515222482436</v>
      </c>
      <c r="H388" s="164">
        <v>-1.5454545454545454</v>
      </c>
      <c r="I388" s="164">
        <v>-1.7859952793076317</v>
      </c>
      <c r="J388" s="164">
        <v>-1.7514285714285713</v>
      </c>
      <c r="K388" s="164">
        <v>-1.9719451371571073</v>
      </c>
      <c r="L388" s="164">
        <v>-2.0285510349750178</v>
      </c>
      <c r="M388" s="164">
        <v>-1.3467548076923077</v>
      </c>
      <c r="N388" s="164">
        <v>-1.0441767068273093</v>
      </c>
      <c r="O388" s="164">
        <v>-0.74024226110363389</v>
      </c>
      <c r="P388" s="274">
        <v>-7.132459970887918E-2</v>
      </c>
      <c r="Q388" s="164">
        <v>1.1413248971882692</v>
      </c>
      <c r="R388" s="164">
        <v>0.32130453335191439</v>
      </c>
      <c r="S388" s="164">
        <v>0.14026049348439873</v>
      </c>
      <c r="T388" s="164">
        <v>-0.23172454143615634</v>
      </c>
      <c r="U388" s="164">
        <v>-0.52722234852031891</v>
      </c>
      <c r="V388" s="164">
        <v>-0.79307055064079257</v>
      </c>
      <c r="W388" s="164">
        <v>-1.0539206846580298</v>
      </c>
      <c r="X388" s="164">
        <v>-1.322236880739887</v>
      </c>
      <c r="Y388" s="164">
        <v>-1.5954728029820044</v>
      </c>
      <c r="Z388" s="164">
        <v>-1.8852156810281722</v>
      </c>
      <c r="AA388" s="271"/>
      <c r="AB388" s="165" t="s">
        <v>216</v>
      </c>
      <c r="AC388" s="202"/>
      <c r="AD388" s="165">
        <v>0.16878860681362143</v>
      </c>
    </row>
    <row r="389" spans="1:30" x14ac:dyDescent="0.55000000000000004">
      <c r="A389" s="271"/>
      <c r="B389" s="271"/>
      <c r="C389" s="271"/>
      <c r="D389" s="271"/>
      <c r="E389" s="271" t="s">
        <v>467</v>
      </c>
      <c r="F389" s="164">
        <v>1.5254237288135593</v>
      </c>
      <c r="G389" s="164">
        <v>-0.16044776119402984</v>
      </c>
      <c r="H389" s="164">
        <v>-1.63121387283237</v>
      </c>
      <c r="I389" s="164">
        <v>-1.8530612244897959</v>
      </c>
      <c r="J389" s="164">
        <v>-1.7514285714285713</v>
      </c>
      <c r="K389" s="164">
        <v>-1.9719451371571073</v>
      </c>
      <c r="L389" s="164">
        <v>-1.9749826268241835</v>
      </c>
      <c r="M389" s="164">
        <v>-1.3467548076923077</v>
      </c>
      <c r="N389" s="164">
        <v>-1.0139275766016713</v>
      </c>
      <c r="O389" s="164">
        <v>-0.67692307692307696</v>
      </c>
      <c r="P389" s="274">
        <v>-0.20164609053497942</v>
      </c>
      <c r="Q389" s="164">
        <v>1.1413248971882692</v>
      </c>
      <c r="R389" s="164">
        <v>0.32130453335191439</v>
      </c>
      <c r="S389" s="164">
        <v>0.14026049348439873</v>
      </c>
      <c r="T389" s="164">
        <v>-0.23172454143615634</v>
      </c>
      <c r="U389" s="164">
        <v>-0.52722234852031891</v>
      </c>
      <c r="V389" s="164">
        <v>-0.79307055064079257</v>
      </c>
      <c r="W389" s="164">
        <v>-1.0539206846580298</v>
      </c>
      <c r="X389" s="164">
        <v>-1.322236880739887</v>
      </c>
      <c r="Y389" s="164">
        <v>-1.5954728029820044</v>
      </c>
      <c r="Z389" s="164">
        <v>-1.8852156810281722</v>
      </c>
      <c r="AA389" s="271"/>
      <c r="AB389" s="165" t="s">
        <v>216</v>
      </c>
      <c r="AC389" s="202"/>
      <c r="AD389" s="165">
        <v>0.16878860681362143</v>
      </c>
    </row>
    <row r="390" spans="1:30" x14ac:dyDescent="0.55000000000000004">
      <c r="A390" s="271"/>
      <c r="B390" s="271"/>
      <c r="C390" s="271"/>
      <c r="D390" s="271"/>
      <c r="E390" s="271" t="s">
        <v>468</v>
      </c>
      <c r="F390" s="164">
        <v>-7.2958333333333334</v>
      </c>
      <c r="G390" s="164">
        <v>0.51700680272108845</v>
      </c>
      <c r="H390" s="164">
        <v>0.6303219106957425</v>
      </c>
      <c r="I390" s="164">
        <v>0.39536741214057508</v>
      </c>
      <c r="J390" s="164">
        <v>0.26187961985216474</v>
      </c>
      <c r="K390" s="164">
        <v>0.36624907885040531</v>
      </c>
      <c r="L390" s="164">
        <v>0.70239774330042315</v>
      </c>
      <c r="M390" s="164">
        <v>2.204301075268817</v>
      </c>
      <c r="N390" s="164">
        <v>3.7197802197802199</v>
      </c>
      <c r="O390" s="164">
        <v>2.7615384615384615</v>
      </c>
      <c r="P390" s="164">
        <v>-4.2653778558875217</v>
      </c>
      <c r="Q390" s="269">
        <v>-30.099480934112968</v>
      </c>
      <c r="R390" s="164">
        <v>6.37168877460108</v>
      </c>
      <c r="S390" s="164">
        <v>5.6475650023397046</v>
      </c>
      <c r="T390" s="164">
        <v>1.6993913974248469</v>
      </c>
      <c r="U390" s="164">
        <v>1.5426219062280999</v>
      </c>
      <c r="V390" s="164">
        <v>1.3402523225729468</v>
      </c>
      <c r="W390" s="164">
        <v>1.2210443774949018</v>
      </c>
      <c r="X390" s="164">
        <v>1.0933921263414137</v>
      </c>
      <c r="Y390" s="164">
        <v>0.99900564075171994</v>
      </c>
      <c r="Z390" s="164">
        <v>0.89453509802876574</v>
      </c>
      <c r="AA390" s="271"/>
      <c r="AB390" s="165">
        <v>0.73864694181038659</v>
      </c>
      <c r="AC390" s="202"/>
      <c r="AD390" s="165" t="s">
        <v>216</v>
      </c>
    </row>
    <row r="391" spans="1:30" x14ac:dyDescent="0.55000000000000004">
      <c r="A391" s="271"/>
      <c r="B391" s="271"/>
      <c r="C391" s="271"/>
      <c r="D391" s="271"/>
      <c r="E391" s="271" t="s">
        <v>469</v>
      </c>
      <c r="F391" s="164">
        <v>4.2983970406905057</v>
      </c>
      <c r="G391" s="164">
        <v>3.7007874015748032</v>
      </c>
      <c r="H391" s="164">
        <v>2.9411517444304329</v>
      </c>
      <c r="I391" s="164">
        <v>2.9620558813383924</v>
      </c>
      <c r="J391" s="164">
        <v>3.1131661442006271</v>
      </c>
      <c r="K391" s="164">
        <v>3.4932519280205656</v>
      </c>
      <c r="L391" s="164">
        <v>3.8483182406209573</v>
      </c>
      <c r="M391" s="164">
        <v>4.3519587002733067</v>
      </c>
      <c r="N391" s="164">
        <v>3.9020197679415558</v>
      </c>
      <c r="O391" s="164">
        <v>4.1516427969671437</v>
      </c>
      <c r="P391" s="164">
        <v>6.5998685939553221</v>
      </c>
      <c r="Q391" s="269">
        <v>7.8050342929615226</v>
      </c>
      <c r="R391" s="164">
        <v>7.4814553357113747</v>
      </c>
      <c r="S391" s="164">
        <v>6.6380102913662258</v>
      </c>
      <c r="T391" s="164">
        <v>5.6213279449528226</v>
      </c>
      <c r="U391" s="164">
        <v>4.767798080026119</v>
      </c>
      <c r="V391" s="164">
        <v>4.1298120861562237</v>
      </c>
      <c r="W391" s="164">
        <v>3.6716552958929141</v>
      </c>
      <c r="X391" s="164">
        <v>3.3118351968630231</v>
      </c>
      <c r="Y391" s="164">
        <v>3.0248360611288989</v>
      </c>
      <c r="Z391" s="164">
        <v>2.7801720354608292</v>
      </c>
      <c r="AA391" s="271"/>
      <c r="AB391" s="165">
        <v>4.8845103862880066</v>
      </c>
      <c r="AC391" s="202"/>
      <c r="AD391" s="165">
        <v>6.4627251890036117</v>
      </c>
    </row>
    <row r="392" spans="1:30" x14ac:dyDescent="0.55000000000000004">
      <c r="A392" s="133"/>
      <c r="B392" s="133"/>
      <c r="C392" s="133"/>
      <c r="D392" s="133"/>
      <c r="E392" s="144"/>
      <c r="F392" s="144"/>
      <c r="G392" s="144"/>
      <c r="H392" s="144"/>
      <c r="I392" s="133"/>
      <c r="J392" s="133"/>
      <c r="K392" s="133"/>
      <c r="L392" s="133"/>
      <c r="M392" s="133"/>
      <c r="N392" s="133"/>
      <c r="O392" s="133"/>
      <c r="P392" s="133"/>
      <c r="Q392" s="220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41"/>
      <c r="AC392" s="141"/>
      <c r="AD392" s="141"/>
    </row>
    <row r="393" spans="1:30" x14ac:dyDescent="0.55000000000000004">
      <c r="A393" s="133"/>
      <c r="B393" s="133"/>
      <c r="C393" s="133"/>
      <c r="D393" s="133"/>
      <c r="E393" s="176" t="s">
        <v>470</v>
      </c>
      <c r="F393" s="176"/>
      <c r="G393" s="176"/>
      <c r="H393" s="144"/>
      <c r="I393" s="133"/>
      <c r="J393" s="133"/>
      <c r="K393" s="133"/>
      <c r="L393" s="133"/>
      <c r="M393" s="133"/>
      <c r="N393" s="133"/>
      <c r="O393" s="133"/>
      <c r="P393" s="133"/>
      <c r="Q393" s="220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41"/>
      <c r="AC393" s="141"/>
      <c r="AD393" s="141"/>
    </row>
    <row r="394" spans="1:30" x14ac:dyDescent="0.55000000000000004">
      <c r="A394" s="271"/>
      <c r="B394" s="271"/>
      <c r="C394" s="271"/>
      <c r="D394" s="271"/>
      <c r="E394" s="271" t="s">
        <v>471</v>
      </c>
      <c r="F394" s="271">
        <v>-6.2282608695652177</v>
      </c>
      <c r="G394" s="271">
        <v>0.20253164556962025</v>
      </c>
      <c r="H394" s="271">
        <v>5.3106796116504853</v>
      </c>
      <c r="I394" s="271">
        <v>12.131578947368421</v>
      </c>
      <c r="J394" s="271">
        <v>15.426966292134832</v>
      </c>
      <c r="K394" s="271">
        <v>28.046511627906977</v>
      </c>
      <c r="L394" s="271">
        <v>14.338235294117647</v>
      </c>
      <c r="M394" s="271">
        <v>8.1014492753623184</v>
      </c>
      <c r="N394" s="271">
        <v>9.8495575221238933</v>
      </c>
      <c r="O394" s="271">
        <v>4.6311475409836067</v>
      </c>
      <c r="P394" s="271">
        <v>-9.7901234567901234</v>
      </c>
      <c r="Q394" s="273">
        <v>-2.9201245257296913</v>
      </c>
      <c r="R394" s="271">
        <v>2.930363524362702</v>
      </c>
      <c r="S394" s="271">
        <v>6.6998114207445951</v>
      </c>
      <c r="T394" s="271">
        <v>10.285288347020957</v>
      </c>
      <c r="U394" s="271">
        <v>12.73470655108712</v>
      </c>
      <c r="V394" s="271">
        <v>14.943665258246575</v>
      </c>
      <c r="W394" s="271">
        <v>16.404054565284422</v>
      </c>
      <c r="X394" s="271">
        <v>17.781525283513272</v>
      </c>
      <c r="Y394" s="271">
        <v>19.080489434177</v>
      </c>
      <c r="Z394" s="271">
        <v>20.481012667278854</v>
      </c>
      <c r="AA394" s="271"/>
      <c r="AB394" s="202">
        <v>1.5635272021057922</v>
      </c>
      <c r="AC394" s="202"/>
      <c r="AD394" s="202">
        <v>5.9460090634971365</v>
      </c>
    </row>
    <row r="395" spans="1:30" x14ac:dyDescent="0.55000000000000004">
      <c r="A395" s="271"/>
      <c r="B395" s="271"/>
      <c r="C395" s="271"/>
      <c r="D395" s="271"/>
      <c r="E395" s="271" t="s">
        <v>472</v>
      </c>
      <c r="F395" s="271">
        <v>-40.928571428571431</v>
      </c>
      <c r="G395" s="271">
        <v>0.2318840579710145</v>
      </c>
      <c r="H395" s="271">
        <v>10.320754716981131</v>
      </c>
      <c r="I395" s="271">
        <v>61.466666666666669</v>
      </c>
      <c r="J395" s="271">
        <v>41.606060606060609</v>
      </c>
      <c r="K395" s="271">
        <v>-603</v>
      </c>
      <c r="L395" s="271">
        <v>19.117647058823529</v>
      </c>
      <c r="M395" s="271">
        <v>11.408163265306122</v>
      </c>
      <c r="N395" s="271">
        <v>11.715789473684211</v>
      </c>
      <c r="O395" s="271">
        <v>5.5940594059405937</v>
      </c>
      <c r="P395" s="271">
        <v>-14.418181818181818</v>
      </c>
      <c r="Q395" s="273">
        <v>-4.3005470288019092</v>
      </c>
      <c r="R395" s="271">
        <v>4.3156262813341613</v>
      </c>
      <c r="S395" s="271">
        <v>9.8669950014602215</v>
      </c>
      <c r="T395" s="271">
        <v>15.147424656521773</v>
      </c>
      <c r="U395" s="271">
        <v>18.754749647964669</v>
      </c>
      <c r="V395" s="271">
        <v>22.007943380326775</v>
      </c>
      <c r="W395" s="271">
        <v>24.158698541600693</v>
      </c>
      <c r="X395" s="271">
        <v>26.187337235719546</v>
      </c>
      <c r="Y395" s="271">
        <v>28.100357166697037</v>
      </c>
      <c r="Z395" s="271">
        <v>30.162945928174313</v>
      </c>
      <c r="AA395" s="271"/>
      <c r="AB395" s="202">
        <v>0.9638890204809959</v>
      </c>
      <c r="AC395" s="202"/>
      <c r="AD395" s="202">
        <v>8.756849711695784</v>
      </c>
    </row>
    <row r="396" spans="1:30" x14ac:dyDescent="0.55000000000000004">
      <c r="A396" s="271"/>
      <c r="B396" s="271"/>
      <c r="C396" s="271"/>
      <c r="D396" s="271"/>
      <c r="E396" s="271" t="s">
        <v>473</v>
      </c>
      <c r="F396" s="271">
        <v>-1.2065217391304348</v>
      </c>
      <c r="G396" s="271">
        <v>2.7025316455696204</v>
      </c>
      <c r="H396" s="271">
        <v>8.8640776699029118</v>
      </c>
      <c r="I396" s="271">
        <v>16.723684210526315</v>
      </c>
      <c r="J396" s="271">
        <v>19.662921348314608</v>
      </c>
      <c r="K396" s="271">
        <v>37.302325581395351</v>
      </c>
      <c r="L396" s="271">
        <v>20.602941176470587</v>
      </c>
      <c r="M396" s="271">
        <v>12.057971014492754</v>
      </c>
      <c r="N396" s="271">
        <v>15.424778761061948</v>
      </c>
      <c r="O396" s="271">
        <v>12.180327868852459</v>
      </c>
      <c r="P396" s="271">
        <v>-4.2407407407407405</v>
      </c>
      <c r="Q396" s="273">
        <v>2.8645105060216243</v>
      </c>
      <c r="R396" s="271">
        <v>9.5814814102739359</v>
      </c>
      <c r="S396" s="271">
        <v>14.650006804099251</v>
      </c>
      <c r="T396" s="271">
        <v>18.340515617921216</v>
      </c>
      <c r="U396" s="271">
        <v>21.298229635565153</v>
      </c>
      <c r="V396" s="271">
        <v>24.084993275684976</v>
      </c>
      <c r="W396" s="271">
        <v>26.138298284611295</v>
      </c>
      <c r="X396" s="271">
        <v>28.047163910914918</v>
      </c>
      <c r="Y396" s="271">
        <v>29.830983735594472</v>
      </c>
      <c r="Z396" s="271">
        <v>31.588685918889293</v>
      </c>
      <c r="AA396" s="271"/>
      <c r="AB396" s="202">
        <v>7.7881219630578888</v>
      </c>
      <c r="AC396" s="202"/>
      <c r="AD396" s="202">
        <v>13.346948794776235</v>
      </c>
    </row>
    <row r="397" spans="1:30" x14ac:dyDescent="0.55000000000000004">
      <c r="A397" s="271"/>
      <c r="B397" s="271"/>
      <c r="C397" s="271"/>
      <c r="D397" s="271"/>
      <c r="E397" s="271" t="s">
        <v>474</v>
      </c>
      <c r="F397" s="271">
        <v>6.4130434782608692</v>
      </c>
      <c r="G397" s="271">
        <v>3.3924050632911391</v>
      </c>
      <c r="H397" s="271">
        <v>8.3980582524271838</v>
      </c>
      <c r="I397" s="271">
        <v>16.118421052631579</v>
      </c>
      <c r="J397" s="271">
        <v>19.662921348314608</v>
      </c>
      <c r="K397" s="271">
        <v>37.302325581395351</v>
      </c>
      <c r="L397" s="271">
        <v>21.161764705882351</v>
      </c>
      <c r="M397" s="271">
        <v>12.057971014492754</v>
      </c>
      <c r="N397" s="271">
        <v>15.88495575221239</v>
      </c>
      <c r="O397" s="271">
        <v>13.319672131147541</v>
      </c>
      <c r="P397" s="271">
        <v>-1.5</v>
      </c>
      <c r="Q397" s="273">
        <v>2.8645105060216243</v>
      </c>
      <c r="R397" s="271">
        <v>9.5814814102739359</v>
      </c>
      <c r="S397" s="271">
        <v>14.650006804099251</v>
      </c>
      <c r="T397" s="271">
        <v>18.340515617921216</v>
      </c>
      <c r="U397" s="271">
        <v>21.298229635565153</v>
      </c>
      <c r="V397" s="271">
        <v>24.084993275684976</v>
      </c>
      <c r="W397" s="271">
        <v>26.138298284611295</v>
      </c>
      <c r="X397" s="271">
        <v>28.047163910914918</v>
      </c>
      <c r="Y397" s="271">
        <v>29.830983735594472</v>
      </c>
      <c r="Z397" s="271">
        <v>31.588685918889293</v>
      </c>
      <c r="AA397" s="271"/>
      <c r="AB397" s="202">
        <v>9.2348759611199771</v>
      </c>
      <c r="AC397" s="202"/>
      <c r="AD397" s="202">
        <v>13.346948794776235</v>
      </c>
    </row>
    <row r="398" spans="1:30" x14ac:dyDescent="0.55000000000000004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220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41"/>
      <c r="AC398" s="141"/>
      <c r="AD398" s="141"/>
    </row>
    <row r="399" spans="1:30" x14ac:dyDescent="0.55000000000000004">
      <c r="A399" s="133"/>
      <c r="B399" s="133"/>
      <c r="C399" s="133"/>
      <c r="D399" s="133"/>
      <c r="E399" s="176" t="s">
        <v>475</v>
      </c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220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41"/>
      <c r="AC399" s="141"/>
      <c r="AD399" s="141"/>
    </row>
    <row r="400" spans="1:30" x14ac:dyDescent="0.55000000000000004">
      <c r="A400" s="158"/>
      <c r="B400" s="158"/>
      <c r="C400" s="158"/>
      <c r="D400" s="158"/>
      <c r="E400" s="159"/>
      <c r="F400" s="275"/>
      <c r="G400" s="275"/>
      <c r="H400" s="275"/>
      <c r="I400" s="275"/>
      <c r="J400" s="275"/>
      <c r="K400" s="275"/>
      <c r="L400" s="275"/>
      <c r="M400" s="275"/>
      <c r="N400" s="275"/>
      <c r="O400" s="275"/>
      <c r="P400" s="275"/>
      <c r="Q400" s="275"/>
      <c r="R400" s="275"/>
      <c r="S400" s="275"/>
      <c r="T400" s="275"/>
      <c r="U400" s="275"/>
      <c r="V400" s="275"/>
      <c r="W400" s="275"/>
      <c r="X400" s="275"/>
      <c r="Y400" s="275"/>
      <c r="Z400" s="275"/>
      <c r="AA400" s="133"/>
      <c r="AB400" s="201"/>
      <c r="AC400" s="141"/>
      <c r="AD400" s="201"/>
    </row>
    <row r="401" spans="1:45" x14ac:dyDescent="0.55000000000000004">
      <c r="A401" s="158"/>
      <c r="B401" s="158"/>
      <c r="C401" s="158"/>
      <c r="D401" s="158"/>
      <c r="E401" s="159"/>
      <c r="F401" s="275"/>
      <c r="G401" s="275"/>
      <c r="H401" s="275"/>
      <c r="I401" s="275"/>
      <c r="J401" s="275"/>
      <c r="K401" s="275"/>
      <c r="L401" s="275"/>
      <c r="M401" s="275"/>
      <c r="N401" s="275"/>
      <c r="O401" s="275"/>
      <c r="P401" s="275"/>
      <c r="Q401" s="275"/>
      <c r="R401" s="275"/>
      <c r="S401" s="275"/>
      <c r="T401" s="275"/>
      <c r="U401" s="275"/>
      <c r="V401" s="275"/>
      <c r="W401" s="275"/>
      <c r="X401" s="275"/>
      <c r="Y401" s="275"/>
      <c r="Z401" s="275"/>
      <c r="AA401" s="133"/>
      <c r="AB401" s="201"/>
      <c r="AC401" s="141"/>
      <c r="AD401" s="201"/>
      <c r="AE401" s="133"/>
      <c r="AF401" s="133"/>
      <c r="AG401" s="133"/>
      <c r="AH401" s="133"/>
      <c r="AI401" s="133"/>
      <c r="AJ401" s="133"/>
      <c r="AK401" s="133"/>
      <c r="AL401" s="133"/>
      <c r="AM401" s="133"/>
      <c r="AN401" s="133"/>
      <c r="AO401" s="133"/>
      <c r="AP401" s="133"/>
      <c r="AQ401" s="133"/>
      <c r="AR401" s="133"/>
      <c r="AS401" s="133"/>
    </row>
    <row r="402" spans="1:45" x14ac:dyDescent="0.55000000000000004">
      <c r="A402" s="158"/>
      <c r="B402" s="158"/>
      <c r="C402" s="158"/>
      <c r="D402" s="158"/>
      <c r="E402" s="159"/>
      <c r="F402" s="275"/>
      <c r="G402" s="275"/>
      <c r="H402" s="275"/>
      <c r="I402" s="275"/>
      <c r="J402" s="275"/>
      <c r="K402" s="275"/>
      <c r="L402" s="275"/>
      <c r="M402" s="275"/>
      <c r="N402" s="275"/>
      <c r="O402" s="275"/>
      <c r="P402" s="275"/>
      <c r="Q402" s="275"/>
      <c r="R402" s="275"/>
      <c r="S402" s="275"/>
      <c r="T402" s="275"/>
      <c r="U402" s="275"/>
      <c r="V402" s="275"/>
      <c r="W402" s="275"/>
      <c r="X402" s="275"/>
      <c r="Y402" s="275"/>
      <c r="Z402" s="275"/>
      <c r="AA402" s="133"/>
      <c r="AB402" s="201"/>
      <c r="AC402" s="141"/>
      <c r="AD402" s="201"/>
      <c r="AE402" s="133"/>
      <c r="AF402" s="133"/>
      <c r="AG402" s="133"/>
      <c r="AH402" s="133"/>
      <c r="AI402" s="133"/>
      <c r="AJ402" s="133"/>
      <c r="AK402" s="133"/>
      <c r="AL402" s="133"/>
      <c r="AM402" s="133"/>
      <c r="AN402" s="133"/>
      <c r="AO402" s="133"/>
      <c r="AP402" s="133"/>
      <c r="AQ402" s="133"/>
      <c r="AR402" s="133"/>
      <c r="AS402" s="133"/>
    </row>
    <row r="403" spans="1:45" x14ac:dyDescent="0.55000000000000004">
      <c r="A403" s="158"/>
      <c r="B403" s="158"/>
      <c r="C403" s="158"/>
      <c r="D403" s="158"/>
      <c r="E403" s="159"/>
      <c r="F403" s="275"/>
      <c r="G403" s="275"/>
      <c r="H403" s="275"/>
      <c r="I403" s="275"/>
      <c r="J403" s="275"/>
      <c r="K403" s="275"/>
      <c r="L403" s="275"/>
      <c r="M403" s="275"/>
      <c r="N403" s="275"/>
      <c r="O403" s="275"/>
      <c r="P403" s="275"/>
      <c r="Q403" s="275"/>
      <c r="R403" s="275"/>
      <c r="S403" s="275"/>
      <c r="T403" s="275"/>
      <c r="U403" s="275"/>
      <c r="V403" s="275"/>
      <c r="W403" s="275"/>
      <c r="X403" s="275"/>
      <c r="Y403" s="275"/>
      <c r="Z403" s="275"/>
      <c r="AA403" s="133"/>
      <c r="AB403" s="201"/>
      <c r="AC403" s="141"/>
      <c r="AD403" s="201"/>
      <c r="AE403" s="133"/>
      <c r="AF403" s="133"/>
      <c r="AG403" s="133"/>
      <c r="AH403" s="133"/>
      <c r="AI403" s="133"/>
      <c r="AJ403" s="133"/>
      <c r="AK403" s="133"/>
      <c r="AL403" s="133"/>
      <c r="AM403" s="133"/>
      <c r="AN403" s="133"/>
      <c r="AO403" s="133"/>
      <c r="AP403" s="133"/>
      <c r="AQ403" s="133"/>
      <c r="AR403" s="133"/>
      <c r="AS403" s="133"/>
    </row>
    <row r="404" spans="1:45" x14ac:dyDescent="0.550000000000000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220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41"/>
      <c r="AC404" s="141"/>
      <c r="AD404" s="141"/>
      <c r="AE404" s="133"/>
      <c r="AF404" s="133"/>
      <c r="AG404" s="133"/>
      <c r="AH404" s="133"/>
      <c r="AI404" s="133"/>
      <c r="AJ404" s="133"/>
      <c r="AK404" s="133"/>
      <c r="AL404" s="133"/>
      <c r="AM404" s="133"/>
      <c r="AN404" s="133"/>
      <c r="AO404" s="133"/>
      <c r="AP404" s="133"/>
      <c r="AQ404" s="133"/>
      <c r="AR404" s="133"/>
      <c r="AS404" s="133"/>
    </row>
    <row r="405" spans="1:45" x14ac:dyDescent="0.55000000000000004">
      <c r="A405" s="142"/>
      <c r="B405" s="142"/>
      <c r="C405" s="142"/>
      <c r="D405" s="142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9"/>
      <c r="Q405" s="236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41"/>
      <c r="AC405" s="141"/>
      <c r="AD405" s="141"/>
      <c r="AE405" s="133"/>
      <c r="AF405" s="133"/>
      <c r="AG405" s="133"/>
      <c r="AH405" s="133"/>
      <c r="AI405" s="133"/>
      <c r="AJ405" s="133"/>
      <c r="AK405" s="133"/>
      <c r="AL405" s="133"/>
      <c r="AM405" s="133"/>
      <c r="AN405" s="133"/>
      <c r="AO405" s="133"/>
      <c r="AP405" s="133"/>
      <c r="AQ405" s="133"/>
      <c r="AR405" s="133"/>
      <c r="AS405" s="133"/>
    </row>
    <row r="406" spans="1:45" x14ac:dyDescent="0.55000000000000004">
      <c r="A406" s="203" t="s">
        <v>476</v>
      </c>
      <c r="B406" s="203"/>
      <c r="C406" s="20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  <c r="AA406" s="203"/>
      <c r="AB406" s="204"/>
      <c r="AC406" s="204"/>
      <c r="AD406" s="204"/>
      <c r="AE406" s="203"/>
      <c r="AF406" s="203"/>
      <c r="AG406" s="203"/>
      <c r="AH406" s="203"/>
      <c r="AI406" s="203"/>
      <c r="AJ406" s="203"/>
      <c r="AK406" s="203"/>
      <c r="AL406" s="203"/>
      <c r="AM406" s="203"/>
      <c r="AN406" s="203"/>
      <c r="AO406" s="203"/>
      <c r="AP406" s="203"/>
      <c r="AQ406" s="203"/>
      <c r="AR406" s="203"/>
      <c r="AS406" s="203"/>
    </row>
    <row r="407" spans="1:45" x14ac:dyDescent="0.55000000000000004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276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41"/>
      <c r="AC407" s="141"/>
      <c r="AD407" s="141"/>
      <c r="AE407" s="133"/>
      <c r="AF407" s="133"/>
      <c r="AG407" s="133"/>
      <c r="AH407" s="133"/>
      <c r="AI407" s="133"/>
      <c r="AJ407" s="133"/>
      <c r="AK407" s="133"/>
      <c r="AL407" s="133"/>
      <c r="AM407" s="133"/>
      <c r="AN407" s="133"/>
      <c r="AO407" s="133"/>
      <c r="AP407" s="133"/>
      <c r="AQ407" s="133"/>
      <c r="AR407" s="133"/>
      <c r="AS407" s="133"/>
    </row>
    <row r="408" spans="1:45" x14ac:dyDescent="0.55000000000000004">
      <c r="A408" s="161"/>
      <c r="B408" s="161"/>
      <c r="C408" s="161"/>
      <c r="D408" s="161"/>
      <c r="E408" s="161" t="s">
        <v>477</v>
      </c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238">
        <v>24393.251086946511</v>
      </c>
      <c r="Q408" s="222">
        <v>27064.866304494037</v>
      </c>
      <c r="R408" s="161">
        <v>29422.133609363547</v>
      </c>
      <c r="S408" s="161">
        <v>31795.497304186352</v>
      </c>
      <c r="T408" s="161">
        <v>33398.97448534875</v>
      </c>
      <c r="U408" s="161">
        <v>34993.550991563709</v>
      </c>
      <c r="V408" s="161">
        <v>36595.834935961175</v>
      </c>
      <c r="W408" s="161">
        <v>38280.311355425714</v>
      </c>
      <c r="X408" s="161">
        <v>40007.487033678568</v>
      </c>
      <c r="Y408" s="161">
        <v>41819.444374876301</v>
      </c>
      <c r="Z408" s="161">
        <v>43663.981350164264</v>
      </c>
      <c r="AA408" s="161"/>
      <c r="AB408" s="184"/>
      <c r="AC408" s="184"/>
      <c r="AD408" s="184"/>
      <c r="AE408" s="161"/>
      <c r="AF408" s="161"/>
      <c r="AG408" s="161"/>
      <c r="AH408" s="161"/>
      <c r="AI408" s="161"/>
      <c r="AJ408" s="161"/>
      <c r="AK408" s="161"/>
      <c r="AL408" s="161"/>
      <c r="AM408" s="161"/>
      <c r="AN408" s="161"/>
      <c r="AO408" s="161"/>
      <c r="AP408" s="161"/>
      <c r="AQ408" s="161"/>
      <c r="AR408" s="161"/>
      <c r="AS408" s="161"/>
    </row>
    <row r="409" spans="1:45" x14ac:dyDescent="0.55000000000000004">
      <c r="A409" s="164"/>
      <c r="B409" s="164"/>
      <c r="C409" s="164"/>
      <c r="D409" s="164"/>
      <c r="E409" s="164" t="s">
        <v>478</v>
      </c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>
        <v>24.194786390720228</v>
      </c>
      <c r="Q409" s="269">
        <v>26.37231716588505</v>
      </c>
      <c r="R409" s="164">
        <v>28.745825710814707</v>
      </c>
      <c r="S409" s="164">
        <v>31.26944809118444</v>
      </c>
      <c r="T409" s="164">
        <v>33.878181560370038</v>
      </c>
      <c r="U409" s="164">
        <v>36.586617270294276</v>
      </c>
      <c r="V409" s="164">
        <v>39.44652972911188</v>
      </c>
      <c r="W409" s="164">
        <v>42.480611218024883</v>
      </c>
      <c r="X409" s="164">
        <v>45.73273949569829</v>
      </c>
      <c r="Y409" s="164">
        <v>49.225662752421776</v>
      </c>
      <c r="Z409" s="164">
        <v>52.98401029156846</v>
      </c>
      <c r="AA409" s="164"/>
      <c r="AB409" s="165"/>
      <c r="AC409" s="165"/>
      <c r="AD409" s="165"/>
      <c r="AE409" s="164"/>
      <c r="AF409" s="164"/>
      <c r="AG409" s="164"/>
      <c r="AH409" s="164"/>
      <c r="AI409" s="164"/>
      <c r="AJ409" s="164"/>
      <c r="AK409" s="164"/>
      <c r="AL409" s="164"/>
      <c r="AM409" s="164"/>
      <c r="AN409" s="164"/>
      <c r="AO409" s="164"/>
      <c r="AP409" s="164"/>
      <c r="AQ409" s="164"/>
      <c r="AR409" s="164"/>
      <c r="AS409" s="164"/>
    </row>
    <row r="410" spans="1:45" x14ac:dyDescent="0.55000000000000004">
      <c r="A410" s="133"/>
      <c r="B410" s="133"/>
      <c r="C410" s="133"/>
      <c r="D410" s="133"/>
      <c r="E410" s="144"/>
      <c r="F410" s="144"/>
      <c r="G410" s="144"/>
      <c r="H410" s="144"/>
      <c r="I410" s="133"/>
      <c r="J410" s="133"/>
      <c r="K410" s="133"/>
      <c r="L410" s="133"/>
      <c r="M410" s="133"/>
      <c r="N410" s="133"/>
      <c r="O410" s="133"/>
      <c r="P410" s="133"/>
      <c r="Q410" s="220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41"/>
      <c r="AC410" s="141"/>
      <c r="AD410" s="141"/>
      <c r="AE410" s="133"/>
      <c r="AF410" s="133"/>
      <c r="AG410" s="133"/>
      <c r="AH410" s="133"/>
      <c r="AI410" s="133"/>
      <c r="AJ410" s="133"/>
      <c r="AK410" s="133"/>
      <c r="AL410" s="133"/>
      <c r="AM410" s="133"/>
      <c r="AN410" s="133"/>
      <c r="AO410" s="133"/>
      <c r="AP410" s="133"/>
      <c r="AQ410" s="133"/>
      <c r="AR410" s="133"/>
      <c r="AS410" s="133"/>
    </row>
    <row r="411" spans="1:45" x14ac:dyDescent="0.55000000000000004">
      <c r="A411" s="133"/>
      <c r="B411" s="133"/>
      <c r="C411" s="133"/>
      <c r="D411" s="133"/>
      <c r="E411" s="144" t="s">
        <v>479</v>
      </c>
      <c r="F411" s="177"/>
      <c r="G411" s="177">
        <v>4.3</v>
      </c>
      <c r="H411" s="177">
        <v>21.5</v>
      </c>
      <c r="I411" s="177">
        <v>30.4</v>
      </c>
      <c r="J411" s="177">
        <v>64.8</v>
      </c>
      <c r="K411" s="177">
        <v>61.7</v>
      </c>
      <c r="L411" s="177">
        <v>57.6</v>
      </c>
      <c r="M411" s="177">
        <v>65.900000000000006</v>
      </c>
      <c r="N411" s="177">
        <v>90.1</v>
      </c>
      <c r="O411" s="177">
        <v>38.700000000000003</v>
      </c>
      <c r="P411" s="177">
        <v>26.9</v>
      </c>
      <c r="Q411" s="144" t="s">
        <v>480</v>
      </c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41"/>
      <c r="AC411" s="141"/>
      <c r="AD411" s="141"/>
      <c r="AE411" s="133"/>
      <c r="AF411" s="133"/>
      <c r="AG411" s="133"/>
      <c r="AH411" s="133"/>
      <c r="AI411" s="133"/>
      <c r="AJ411" s="133"/>
      <c r="AK411" s="133"/>
      <c r="AL411" s="133"/>
      <c r="AM411" s="133"/>
      <c r="AN411" s="133"/>
      <c r="AO411" s="133"/>
      <c r="AP411" s="133"/>
      <c r="AQ411" s="133"/>
      <c r="AR411" s="133"/>
      <c r="AS411" s="133"/>
    </row>
    <row r="412" spans="1:45" x14ac:dyDescent="0.55000000000000004">
      <c r="A412" s="133"/>
      <c r="B412" s="133"/>
      <c r="C412" s="133"/>
      <c r="D412" s="133"/>
      <c r="E412" s="144" t="s">
        <v>481</v>
      </c>
      <c r="F412" s="161">
        <v>900</v>
      </c>
      <c r="G412" s="161">
        <v>783.03</v>
      </c>
      <c r="H412" s="161">
        <v>3342.6499999999996</v>
      </c>
      <c r="I412" s="161">
        <v>4506.16</v>
      </c>
      <c r="J412" s="161">
        <v>11165.079999999998</v>
      </c>
      <c r="K412" s="161">
        <v>9960.59</v>
      </c>
      <c r="L412" s="161">
        <v>8764.4</v>
      </c>
      <c r="M412" s="161">
        <v>10818.403</v>
      </c>
      <c r="N412" s="161">
        <v>86744.234687999997</v>
      </c>
      <c r="O412" s="161">
        <v>37908.461600800001</v>
      </c>
      <c r="P412" s="238">
        <v>27115.176310199997</v>
      </c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41"/>
      <c r="AC412" s="141"/>
      <c r="AD412" s="141"/>
      <c r="AE412" s="133"/>
      <c r="AF412" s="133"/>
      <c r="AG412" s="133"/>
      <c r="AH412" s="277" t="s">
        <v>482</v>
      </c>
      <c r="AI412" s="237"/>
      <c r="AJ412" s="237"/>
      <c r="AK412" s="237"/>
      <c r="AL412" s="237"/>
      <c r="AM412" s="237"/>
      <c r="AN412" s="237"/>
      <c r="AO412" s="237"/>
      <c r="AP412" s="237"/>
      <c r="AQ412" s="237"/>
      <c r="AR412" s="237"/>
      <c r="AS412" s="278"/>
    </row>
    <row r="413" spans="1:45" x14ac:dyDescent="0.55000000000000004">
      <c r="A413" s="133"/>
      <c r="B413" s="133"/>
      <c r="C413" s="133"/>
      <c r="D413" s="133"/>
      <c r="E413" s="144"/>
      <c r="F413" s="144"/>
      <c r="G413" s="144"/>
      <c r="H413" s="144"/>
      <c r="I413" s="133"/>
      <c r="J413" s="133"/>
      <c r="K413" s="133"/>
      <c r="L413" s="133"/>
      <c r="M413" s="133"/>
      <c r="N413" s="133"/>
      <c r="O413" s="133"/>
      <c r="P413" s="133"/>
      <c r="Q413" s="220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41"/>
      <c r="AC413" s="141"/>
      <c r="AD413" s="141"/>
      <c r="AE413" s="133"/>
      <c r="AF413" s="133"/>
      <c r="AG413" s="133"/>
      <c r="AH413" s="220"/>
      <c r="AI413" s="144"/>
      <c r="AJ413" s="144"/>
      <c r="AK413" s="144"/>
      <c r="AL413" s="144"/>
      <c r="AM413" s="144"/>
      <c r="AN413" s="144"/>
      <c r="AO413" s="144"/>
      <c r="AP413" s="144"/>
      <c r="AQ413" s="144"/>
      <c r="AR413" s="144"/>
      <c r="AS413" s="251"/>
    </row>
    <row r="414" spans="1:45" x14ac:dyDescent="0.55000000000000004">
      <c r="A414" s="133"/>
      <c r="B414" s="133"/>
      <c r="C414" s="133"/>
      <c r="D414" s="133"/>
      <c r="E414" s="176" t="s">
        <v>483</v>
      </c>
      <c r="F414" s="176"/>
      <c r="G414" s="176"/>
      <c r="H414" s="144"/>
      <c r="I414" s="133"/>
      <c r="J414" s="133"/>
      <c r="K414" s="133"/>
      <c r="L414" s="133"/>
      <c r="M414" s="133"/>
      <c r="N414" s="133"/>
      <c r="O414" s="133"/>
      <c r="P414" s="279" t="s">
        <v>484</v>
      </c>
      <c r="Q414" s="235" t="s">
        <v>485</v>
      </c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221" t="s">
        <v>486</v>
      </c>
      <c r="AC414" s="141"/>
      <c r="AD414" s="221" t="s">
        <v>487</v>
      </c>
      <c r="AE414" s="133"/>
      <c r="AF414" s="133"/>
      <c r="AG414" s="133"/>
      <c r="AH414" s="235" t="s">
        <v>488</v>
      </c>
      <c r="AI414" s="144"/>
      <c r="AJ414" s="144"/>
      <c r="AK414" s="144"/>
      <c r="AL414" s="144"/>
      <c r="AM414" s="144"/>
      <c r="AN414" s="144"/>
      <c r="AO414" s="176" t="s">
        <v>489</v>
      </c>
      <c r="AP414" s="144"/>
      <c r="AQ414" s="144"/>
      <c r="AR414" s="144"/>
      <c r="AS414" s="251"/>
    </row>
    <row r="415" spans="1:45" x14ac:dyDescent="0.55000000000000004">
      <c r="A415" s="271"/>
      <c r="B415" s="271"/>
      <c r="C415" s="271"/>
      <c r="D415" s="271"/>
      <c r="E415" s="271" t="s">
        <v>490</v>
      </c>
      <c r="F415" s="271">
        <v>0</v>
      </c>
      <c r="G415" s="271">
        <v>-5.7173026315789466</v>
      </c>
      <c r="H415" s="271">
        <v>13.095454545454546</v>
      </c>
      <c r="I415" s="271">
        <v>10.159160419790105</v>
      </c>
      <c r="J415" s="271">
        <v>13.978467583497052</v>
      </c>
      <c r="K415" s="271">
        <v>14.421527472527472</v>
      </c>
      <c r="L415" s="271">
        <v>16.6519368723099</v>
      </c>
      <c r="M415" s="271">
        <v>16.102839704069051</v>
      </c>
      <c r="N415" s="271">
        <v>103.58390021988303</v>
      </c>
      <c r="O415" s="271">
        <v>101.84976919268929</v>
      </c>
      <c r="P415" s="272">
        <v>-17.21766940852417</v>
      </c>
      <c r="Q415" s="271">
        <v>-50.419708179116533</v>
      </c>
      <c r="R415" s="271">
        <v>135.80291534235218</v>
      </c>
      <c r="S415" s="271">
        <v>45.645084651651388</v>
      </c>
      <c r="T415" s="271">
        <v>29.839799336016007</v>
      </c>
      <c r="U415" s="271">
        <v>25.355541241880136</v>
      </c>
      <c r="V415" s="271">
        <v>22.929310330957623</v>
      </c>
      <c r="W415" s="271">
        <v>22.314107627077597</v>
      </c>
      <c r="X415" s="271">
        <v>22.021362435704539</v>
      </c>
      <c r="Y415" s="271">
        <v>21.976981495467751</v>
      </c>
      <c r="Z415" s="271">
        <v>21.932671271170257</v>
      </c>
      <c r="AA415" s="271"/>
      <c r="AB415" s="202">
        <v>62.738666668016059</v>
      </c>
      <c r="AC415" s="202"/>
      <c r="AD415" s="202">
        <v>37.244726478556636</v>
      </c>
      <c r="AE415" s="271"/>
      <c r="AF415" s="271"/>
      <c r="AG415" s="271"/>
      <c r="AH415" s="220" t="s">
        <v>491</v>
      </c>
      <c r="AI415" s="271"/>
      <c r="AJ415" s="271"/>
      <c r="AK415" s="271"/>
      <c r="AL415" s="271"/>
      <c r="AM415" s="280"/>
      <c r="AN415" s="271"/>
      <c r="AO415" s="144" t="s">
        <v>492</v>
      </c>
      <c r="AP415" s="271"/>
      <c r="AQ415" s="271"/>
      <c r="AR415" s="271"/>
      <c r="AS415" s="281"/>
    </row>
    <row r="416" spans="1:45" x14ac:dyDescent="0.55000000000000004">
      <c r="A416" s="271"/>
      <c r="B416" s="271"/>
      <c r="C416" s="271"/>
      <c r="D416" s="271"/>
      <c r="E416" s="271" t="s">
        <v>493</v>
      </c>
      <c r="F416" s="271">
        <v>0</v>
      </c>
      <c r="G416" s="271">
        <v>202.01135964912197</v>
      </c>
      <c r="H416" s="271">
        <v>14.504830819404813</v>
      </c>
      <c r="I416" s="271">
        <v>10.701926249418843</v>
      </c>
      <c r="J416" s="271">
        <v>13.978467583497052</v>
      </c>
      <c r="K416" s="271">
        <v>14.421527472527472</v>
      </c>
      <c r="L416" s="271">
        <v>15.994168056147968</v>
      </c>
      <c r="M416" s="271">
        <v>16.102839704069051</v>
      </c>
      <c r="N416" s="271">
        <v>98.549916283963483</v>
      </c>
      <c r="O416" s="271">
        <v>78.371961700510496</v>
      </c>
      <c r="P416" s="272">
        <v>-23.323616067777156</v>
      </c>
      <c r="Q416" s="271">
        <v>-50.419708179116533</v>
      </c>
      <c r="R416" s="271">
        <v>135.80291534235218</v>
      </c>
      <c r="S416" s="271">
        <v>45.645084651651388</v>
      </c>
      <c r="T416" s="271">
        <v>29.839799336016007</v>
      </c>
      <c r="U416" s="271">
        <v>25.355541241880136</v>
      </c>
      <c r="V416" s="271">
        <v>22.929310330957623</v>
      </c>
      <c r="W416" s="271">
        <v>22.314107627077597</v>
      </c>
      <c r="X416" s="271">
        <v>22.021362435704539</v>
      </c>
      <c r="Y416" s="271">
        <v>21.976981495467751</v>
      </c>
      <c r="Z416" s="271">
        <v>21.932671271170257</v>
      </c>
      <c r="AA416" s="271"/>
      <c r="AB416" s="202">
        <v>51.199420638898943</v>
      </c>
      <c r="AC416" s="202"/>
      <c r="AD416" s="202">
        <v>37.244726478556636</v>
      </c>
      <c r="AE416" s="271"/>
      <c r="AF416" s="271"/>
      <c r="AG416" s="271"/>
      <c r="AH416" s="220" t="s">
        <v>494</v>
      </c>
      <c r="AI416" s="271"/>
      <c r="AJ416" s="271"/>
      <c r="AK416" s="271"/>
      <c r="AL416" s="271"/>
      <c r="AM416" s="280"/>
      <c r="AN416" s="271"/>
      <c r="AO416" s="144" t="s">
        <v>495</v>
      </c>
      <c r="AP416" s="271"/>
      <c r="AQ416" s="271"/>
      <c r="AR416" s="271"/>
      <c r="AS416" s="282"/>
    </row>
    <row r="417" spans="1:45" x14ac:dyDescent="0.55000000000000004">
      <c r="A417" s="271"/>
      <c r="B417" s="271"/>
      <c r="C417" s="271"/>
      <c r="D417" s="271"/>
      <c r="E417" s="271" t="s">
        <v>94</v>
      </c>
      <c r="F417" s="271">
        <v>-8.1081081081081088</v>
      </c>
      <c r="G417" s="271">
        <v>1.8337939110070256</v>
      </c>
      <c r="H417" s="271">
        <v>3.6611719605695505</v>
      </c>
      <c r="I417" s="271">
        <v>3.5453658536585366</v>
      </c>
      <c r="J417" s="271">
        <v>6.3800457142857132</v>
      </c>
      <c r="K417" s="271">
        <v>6.2098441396508726</v>
      </c>
      <c r="L417" s="271">
        <v>6.2558172733761594</v>
      </c>
      <c r="M417" s="271">
        <v>6.501444110576923</v>
      </c>
      <c r="N417" s="271">
        <v>49.767202919104989</v>
      </c>
      <c r="O417" s="271">
        <v>25.51040484576043</v>
      </c>
      <c r="P417" s="272">
        <v>-39.468961150218334</v>
      </c>
      <c r="Q417" s="271">
        <v>58.323080192049296</v>
      </c>
      <c r="R417" s="271">
        <v>18.955117786382313</v>
      </c>
      <c r="S417" s="271">
        <v>13.39716114143887</v>
      </c>
      <c r="T417" s="271">
        <v>11.241042153000667</v>
      </c>
      <c r="U417" s="271">
        <v>10.142137525895182</v>
      </c>
      <c r="V417" s="271">
        <v>9.3792932830975317</v>
      </c>
      <c r="W417" s="271">
        <v>9.0403061312712634</v>
      </c>
      <c r="X417" s="271">
        <v>8.8051610953819495</v>
      </c>
      <c r="Y417" s="271">
        <v>8.6535771214079826</v>
      </c>
      <c r="Z417" s="271">
        <v>8.5325090688218523</v>
      </c>
      <c r="AA417" s="271"/>
      <c r="AB417" s="202">
        <v>11.936215538215697</v>
      </c>
      <c r="AC417" s="202"/>
      <c r="AD417" s="202">
        <v>22.411707759753263</v>
      </c>
      <c r="AE417" s="271"/>
      <c r="AF417" s="271"/>
      <c r="AG417" s="271"/>
      <c r="AH417" s="220" t="s">
        <v>496</v>
      </c>
      <c r="AI417" s="271"/>
      <c r="AJ417" s="271"/>
      <c r="AK417" s="271"/>
      <c r="AL417" s="271"/>
      <c r="AM417" s="280"/>
      <c r="AN417" s="271"/>
      <c r="AO417" s="176" t="s">
        <v>497</v>
      </c>
      <c r="AP417" s="271"/>
      <c r="AQ417" s="271"/>
      <c r="AR417" s="271"/>
      <c r="AS417" s="283">
        <v>0</v>
      </c>
    </row>
    <row r="418" spans="1:45" x14ac:dyDescent="0.55000000000000004">
      <c r="A418" s="271"/>
      <c r="B418" s="271"/>
      <c r="C418" s="271"/>
      <c r="D418" s="271"/>
      <c r="E418" s="271" t="s">
        <v>498</v>
      </c>
      <c r="F418" s="271">
        <v>1.5254237288135593</v>
      </c>
      <c r="G418" s="271">
        <v>1.4608768656716418</v>
      </c>
      <c r="H418" s="271">
        <v>3.8643352601156065</v>
      </c>
      <c r="I418" s="271">
        <v>3.6784979591836735</v>
      </c>
      <c r="J418" s="271">
        <v>6.3800457142857132</v>
      </c>
      <c r="K418" s="271">
        <v>6.2098441396508726</v>
      </c>
      <c r="L418" s="271">
        <v>6.0906184850590686</v>
      </c>
      <c r="M418" s="271">
        <v>6.501444110576923</v>
      </c>
      <c r="N418" s="271">
        <v>48.325478934818939</v>
      </c>
      <c r="O418" s="271">
        <v>23.328284062030772</v>
      </c>
      <c r="P418" s="272">
        <v>-111.58508769629628</v>
      </c>
      <c r="Q418" s="271">
        <v>58.323080192049296</v>
      </c>
      <c r="R418" s="271">
        <v>18.955117786382313</v>
      </c>
      <c r="S418" s="271">
        <v>13.39716114143887</v>
      </c>
      <c r="T418" s="271">
        <v>11.241042153000667</v>
      </c>
      <c r="U418" s="271">
        <v>10.142137525895182</v>
      </c>
      <c r="V418" s="271">
        <v>9.3792932830975317</v>
      </c>
      <c r="W418" s="271">
        <v>9.0403061312712634</v>
      </c>
      <c r="X418" s="271">
        <v>8.8051610953819495</v>
      </c>
      <c r="Y418" s="271">
        <v>8.6535771214079826</v>
      </c>
      <c r="Z418" s="271">
        <v>8.5325090688218523</v>
      </c>
      <c r="AA418" s="271"/>
      <c r="AB418" s="202">
        <v>-13.310441566482192</v>
      </c>
      <c r="AC418" s="202"/>
      <c r="AD418" s="202">
        <v>22.411707759753263</v>
      </c>
      <c r="AE418" s="271"/>
      <c r="AF418" s="271"/>
      <c r="AG418" s="271"/>
      <c r="AH418" s="220" t="s">
        <v>499</v>
      </c>
      <c r="AI418" s="271"/>
      <c r="AJ418" s="271"/>
      <c r="AK418" s="271"/>
      <c r="AL418" s="271"/>
      <c r="AM418" s="223" t="e">
        <v>#DIV/0!</v>
      </c>
      <c r="AN418" s="271"/>
      <c r="AO418" s="144"/>
      <c r="AP418" s="271"/>
      <c r="AQ418" s="271"/>
      <c r="AR418" s="271"/>
      <c r="AS418" s="251"/>
    </row>
    <row r="419" spans="1:45" x14ac:dyDescent="0.55000000000000004">
      <c r="A419" s="271"/>
      <c r="B419" s="271"/>
      <c r="C419" s="271"/>
      <c r="D419" s="271"/>
      <c r="E419" s="271" t="s">
        <v>193</v>
      </c>
      <c r="F419" s="271">
        <v>6.6194712442049877</v>
      </c>
      <c r="G419" s="271">
        <v>2.1226837501918059</v>
      </c>
      <c r="H419" s="271">
        <v>4.8448040535980956</v>
      </c>
      <c r="I419" s="271">
        <v>5.0629255083257148</v>
      </c>
      <c r="J419" s="271">
        <v>6.741912475767573</v>
      </c>
      <c r="K419" s="271">
        <v>8.0816580291392288</v>
      </c>
      <c r="L419" s="271">
        <v>8.7954410533278171</v>
      </c>
      <c r="M419" s="271">
        <v>9.703303201321118</v>
      </c>
      <c r="N419" s="271">
        <v>78.092464170741863</v>
      </c>
      <c r="O419" s="271">
        <v>50.92700704650494</v>
      </c>
      <c r="P419" s="272">
        <v>-56.721272660342393</v>
      </c>
      <c r="Q419" s="271">
        <v>-265.34765039788817</v>
      </c>
      <c r="R419" s="271">
        <v>48.856431479846265</v>
      </c>
      <c r="S419" s="271">
        <v>29.116100928802762</v>
      </c>
      <c r="T419" s="271">
        <v>21.574239349292892</v>
      </c>
      <c r="U419" s="271">
        <v>18.827600397235365</v>
      </c>
      <c r="V419" s="271">
        <v>17.113828228948069</v>
      </c>
      <c r="W419" s="271">
        <v>16.477201477158086</v>
      </c>
      <c r="X419" s="271">
        <v>16.018790578894105</v>
      </c>
      <c r="Y419" s="271">
        <v>15.710537399999081</v>
      </c>
      <c r="Z419" s="271">
        <v>15.379899625296254</v>
      </c>
      <c r="AA419" s="271"/>
      <c r="AB419" s="202">
        <v>24.099399518968138</v>
      </c>
      <c r="AC419" s="202"/>
      <c r="AD419" s="202">
        <v>-29.39465564854218</v>
      </c>
      <c r="AE419" s="271"/>
      <c r="AF419" s="271"/>
      <c r="AG419" s="271"/>
      <c r="AH419" s="235" t="s">
        <v>500</v>
      </c>
      <c r="AI419" s="271"/>
      <c r="AJ419" s="271"/>
      <c r="AK419" s="271"/>
      <c r="AL419" s="271"/>
      <c r="AM419" s="284" t="e">
        <v>#DIV/0!</v>
      </c>
      <c r="AN419" s="271"/>
      <c r="AO419" s="176" t="s">
        <v>501</v>
      </c>
      <c r="AP419" s="271"/>
      <c r="AQ419" s="271"/>
      <c r="AR419" s="271"/>
      <c r="AS419" s="251"/>
    </row>
    <row r="420" spans="1:45" x14ac:dyDescent="0.55000000000000004">
      <c r="A420" s="271"/>
      <c r="B420" s="271"/>
      <c r="C420" s="271"/>
      <c r="D420" s="271"/>
      <c r="E420" s="271" t="s">
        <v>502</v>
      </c>
      <c r="F420" s="271">
        <v>-4.2246087658832652</v>
      </c>
      <c r="G420" s="271">
        <v>0.68814402732639124</v>
      </c>
      <c r="H420" s="271">
        <v>3.9281606310676143</v>
      </c>
      <c r="I420" s="271">
        <v>4.1150985961439517</v>
      </c>
      <c r="J420" s="271">
        <v>7.0173398735667432</v>
      </c>
      <c r="K420" s="271">
        <v>7.9844832684349809</v>
      </c>
      <c r="L420" s="271">
        <v>-699.51676600155088</v>
      </c>
      <c r="M420" s="271">
        <v>22.542115019263843</v>
      </c>
      <c r="N420" s="271">
        <v>142.02001488040682</v>
      </c>
      <c r="O420" s="271">
        <v>82.343728472649829</v>
      </c>
      <c r="P420" s="272">
        <v>-36.889265655060349</v>
      </c>
      <c r="Q420" s="271">
        <v>-70.972417626338327</v>
      </c>
      <c r="R420" s="271">
        <v>309.25361836194509</v>
      </c>
      <c r="S420" s="271">
        <v>103.40701333392617</v>
      </c>
      <c r="T420" s="271">
        <v>25.516740579476636</v>
      </c>
      <c r="U420" s="271">
        <v>22.502902319261942</v>
      </c>
      <c r="V420" s="271">
        <v>20.407552595710605</v>
      </c>
      <c r="W420" s="271">
        <v>19.428125635093089</v>
      </c>
      <c r="X420" s="271">
        <v>18.163268732896682</v>
      </c>
      <c r="Y420" s="271">
        <v>17.333928805139056</v>
      </c>
      <c r="Z420" s="271">
        <v>16.192899156492025</v>
      </c>
      <c r="AA420" s="271"/>
      <c r="AB420" s="202">
        <v>62.491492565998762</v>
      </c>
      <c r="AC420" s="202"/>
      <c r="AD420" s="202">
        <v>77.9415713936543</v>
      </c>
      <c r="AE420" s="271"/>
      <c r="AF420" s="271"/>
      <c r="AG420" s="271"/>
      <c r="AH420" s="220"/>
      <c r="AI420" s="271"/>
      <c r="AJ420" s="271"/>
      <c r="AK420" s="271"/>
      <c r="AL420" s="271"/>
      <c r="AM420" s="144"/>
      <c r="AN420" s="271"/>
      <c r="AO420" s="144" t="s">
        <v>503</v>
      </c>
      <c r="AP420" s="271"/>
      <c r="AQ420" s="271"/>
      <c r="AR420" s="271"/>
      <c r="AS420" s="282"/>
    </row>
    <row r="421" spans="1:45" x14ac:dyDescent="0.55000000000000004">
      <c r="A421" s="271"/>
      <c r="B421" s="271"/>
      <c r="C421" s="271"/>
      <c r="D421" s="271"/>
      <c r="E421" s="271" t="s">
        <v>504</v>
      </c>
      <c r="F421" s="271">
        <v>0</v>
      </c>
      <c r="G421" s="271">
        <v>0.73897108843537407</v>
      </c>
      <c r="H421" s="271">
        <v>4.936292834890966</v>
      </c>
      <c r="I421" s="271">
        <v>5.4122683706070287</v>
      </c>
      <c r="J421" s="271">
        <v>7.5132418162618793</v>
      </c>
      <c r="K421" s="271">
        <v>9.6710316875460567</v>
      </c>
      <c r="L421" s="271">
        <v>16.37009873060649</v>
      </c>
      <c r="M421" s="271">
        <v>35.10592204301075</v>
      </c>
      <c r="N421" s="271">
        <v>243.30833705494504</v>
      </c>
      <c r="O421" s="271">
        <v>75.016272309230786</v>
      </c>
      <c r="P421" s="272">
        <v>-47.56797242565905</v>
      </c>
      <c r="Q421" s="271">
        <v>-329.08807596910509</v>
      </c>
      <c r="R421" s="271">
        <v>75.933635416043344</v>
      </c>
      <c r="S421" s="271">
        <v>73.212679934753979</v>
      </c>
      <c r="T421" s="271">
        <v>23.868127921976214</v>
      </c>
      <c r="U421" s="271">
        <v>23.398423746144129</v>
      </c>
      <c r="V421" s="271">
        <v>21.917964604683068</v>
      </c>
      <c r="W421" s="271">
        <v>21.504386406669575</v>
      </c>
      <c r="X421" s="271">
        <v>20.730415641570637</v>
      </c>
      <c r="Y421" s="271">
        <v>20.387518239426001</v>
      </c>
      <c r="Z421" s="271">
        <v>19.649299023579108</v>
      </c>
      <c r="AA421" s="271"/>
      <c r="AB421" s="202">
        <v>90.252212312838935</v>
      </c>
      <c r="AC421" s="202"/>
      <c r="AD421" s="202">
        <v>-26.535041790037489</v>
      </c>
      <c r="AE421" s="271"/>
      <c r="AF421" s="271"/>
      <c r="AG421" s="271"/>
      <c r="AH421" s="235" t="s">
        <v>505</v>
      </c>
      <c r="AI421" s="271"/>
      <c r="AJ421" s="271"/>
      <c r="AK421" s="271"/>
      <c r="AL421" s="271"/>
      <c r="AM421" s="144"/>
      <c r="AN421" s="271"/>
      <c r="AO421" s="144" t="s">
        <v>447</v>
      </c>
      <c r="AP421" s="271"/>
      <c r="AQ421" s="271"/>
      <c r="AR421" s="271"/>
      <c r="AS421" s="282"/>
    </row>
    <row r="422" spans="1:45" x14ac:dyDescent="0.55000000000000004">
      <c r="A422" s="271"/>
      <c r="B422" s="271"/>
      <c r="C422" s="271"/>
      <c r="D422" s="271"/>
      <c r="E422" s="271" t="s">
        <v>192</v>
      </c>
      <c r="F422" s="271">
        <v>0.12472283813747229</v>
      </c>
      <c r="G422" s="271">
        <v>0.12870315581854042</v>
      </c>
      <c r="H422" s="271">
        <v>0.48374095513748183</v>
      </c>
      <c r="I422" s="271">
        <v>0.53498278523091536</v>
      </c>
      <c r="J422" s="271">
        <v>1.0906593728631433</v>
      </c>
      <c r="K422" s="271">
        <v>1.0007625841454837</v>
      </c>
      <c r="L422" s="271">
        <v>0.86485099664495757</v>
      </c>
      <c r="M422" s="271">
        <v>0.89062344611838318</v>
      </c>
      <c r="N422" s="271">
        <v>5.8535822044672381</v>
      </c>
      <c r="O422" s="271">
        <v>2.4320563033810227</v>
      </c>
      <c r="P422" s="272">
        <v>1.8718194332596989</v>
      </c>
      <c r="Q422" s="271">
        <v>1.7686250908801233</v>
      </c>
      <c r="R422" s="271">
        <v>1.5640065222329176</v>
      </c>
      <c r="S422" s="271">
        <v>1.3207789871578692</v>
      </c>
      <c r="T422" s="271">
        <v>1.1928852521906792</v>
      </c>
      <c r="U422" s="271">
        <v>1.1529558142127851</v>
      </c>
      <c r="V422" s="271">
        <v>1.1081058996931528</v>
      </c>
      <c r="W422" s="271">
        <v>1.0701813903018682</v>
      </c>
      <c r="X422" s="271">
        <v>1.0465074981379643</v>
      </c>
      <c r="Y422" s="271">
        <v>1.0332494273083757</v>
      </c>
      <c r="Z422" s="271">
        <v>1.0364858309605942</v>
      </c>
      <c r="AA422" s="271"/>
      <c r="AB422" s="202">
        <v>3.3858193137026533</v>
      </c>
      <c r="AC422" s="202"/>
      <c r="AD422" s="202">
        <v>1.3998503333348751</v>
      </c>
      <c r="AE422" s="271"/>
      <c r="AF422" s="271"/>
      <c r="AG422" s="271"/>
      <c r="AH422" s="220" t="s">
        <v>506</v>
      </c>
      <c r="AI422" s="271"/>
      <c r="AJ422" s="271"/>
      <c r="AK422" s="271"/>
      <c r="AL422" s="271"/>
      <c r="AM422" s="275"/>
      <c r="AN422" s="271"/>
      <c r="AO422" s="144" t="s">
        <v>54</v>
      </c>
      <c r="AP422" s="271"/>
      <c r="AQ422" s="271"/>
      <c r="AR422" s="271"/>
      <c r="AS422" s="282"/>
    </row>
    <row r="423" spans="1:45" x14ac:dyDescent="0.55000000000000004">
      <c r="A423" s="271"/>
      <c r="B423" s="271"/>
      <c r="C423" s="271"/>
      <c r="D423" s="271"/>
      <c r="E423" s="271" t="s">
        <v>507</v>
      </c>
      <c r="F423" s="271">
        <v>0</v>
      </c>
      <c r="G423" s="271">
        <v>0.57022965879265086</v>
      </c>
      <c r="H423" s="271">
        <v>1.998171500630517</v>
      </c>
      <c r="I423" s="271">
        <v>2.3374129010003446</v>
      </c>
      <c r="J423" s="271">
        <v>4.460840125391849</v>
      </c>
      <c r="K423" s="271">
        <v>4.2170919023136246</v>
      </c>
      <c r="L423" s="271">
        <v>3.7536869340232859</v>
      </c>
      <c r="M423" s="271">
        <v>3.965807166717279</v>
      </c>
      <c r="N423" s="271">
        <v>19.029702339492911</v>
      </c>
      <c r="O423" s="271">
        <v>8.2157669757371536</v>
      </c>
      <c r="P423" s="271">
        <v>8.8916479337056487</v>
      </c>
      <c r="Q423" s="273">
        <v>10.539419306513444</v>
      </c>
      <c r="R423" s="271">
        <v>10.591961910122272</v>
      </c>
      <c r="S423" s="271">
        <v>9.374789713291932</v>
      </c>
      <c r="T423" s="271">
        <v>7.942740748531361</v>
      </c>
      <c r="U423" s="271">
        <v>6.8161405331901745</v>
      </c>
      <c r="V423" s="271">
        <v>5.9272498387662678</v>
      </c>
      <c r="W423" s="271">
        <v>5.2818418826693705</v>
      </c>
      <c r="X423" s="271">
        <v>4.7895798776833702</v>
      </c>
      <c r="Y423" s="271">
        <v>4.4088344865768541</v>
      </c>
      <c r="Z423" s="271">
        <v>4.1044152224295116</v>
      </c>
      <c r="AA423" s="271"/>
      <c r="AB423" s="202">
        <v>12.045705749645236</v>
      </c>
      <c r="AC423" s="202"/>
      <c r="AD423" s="202">
        <v>9.0530104423298372</v>
      </c>
      <c r="AE423" s="271"/>
      <c r="AF423" s="271"/>
      <c r="AG423" s="271"/>
      <c r="AH423" s="220" t="s">
        <v>508</v>
      </c>
      <c r="AI423" s="271"/>
      <c r="AJ423" s="271"/>
      <c r="AK423" s="271"/>
      <c r="AL423" s="271"/>
      <c r="AM423" s="280"/>
      <c r="AN423" s="271"/>
      <c r="AO423" s="176" t="s">
        <v>509</v>
      </c>
      <c r="AP423" s="271"/>
      <c r="AQ423" s="271"/>
      <c r="AR423" s="271"/>
      <c r="AS423" s="283" t="e">
        <v>#DIV/0!</v>
      </c>
    </row>
    <row r="424" spans="1:45" x14ac:dyDescent="0.5500000000000000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8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41"/>
      <c r="AC424" s="141"/>
      <c r="AD424" s="141"/>
      <c r="AE424" s="133"/>
      <c r="AF424" s="133"/>
      <c r="AG424" s="133"/>
      <c r="AH424" s="220" t="s">
        <v>510</v>
      </c>
      <c r="AI424" s="144"/>
      <c r="AJ424" s="144"/>
      <c r="AK424" s="144"/>
      <c r="AL424" s="144"/>
      <c r="AM424" s="150"/>
      <c r="AN424" s="144"/>
      <c r="AO424" s="144"/>
      <c r="AP424" s="144"/>
      <c r="AQ424" s="144"/>
      <c r="AR424" s="144"/>
      <c r="AS424" s="251"/>
    </row>
    <row r="425" spans="1:45" x14ac:dyDescent="0.55000000000000004">
      <c r="A425" s="133"/>
      <c r="B425" s="133"/>
      <c r="C425" s="133"/>
      <c r="D425" s="133"/>
      <c r="E425" s="144" t="s">
        <v>511</v>
      </c>
      <c r="F425" s="244" t="e">
        <v>#DIV/0!</v>
      </c>
      <c r="G425" s="244">
        <v>-0.17490765566206001</v>
      </c>
      <c r="H425" s="244">
        <v>7.6362374175633463E-2</v>
      </c>
      <c r="I425" s="244">
        <v>9.8433330972114E-2</v>
      </c>
      <c r="J425" s="244">
        <v>7.1538599923542251E-2</v>
      </c>
      <c r="K425" s="244">
        <v>6.9340782514540608E-2</v>
      </c>
      <c r="L425" s="244">
        <v>6.005307416597739E-2</v>
      </c>
      <c r="M425" s="244">
        <v>6.2100847948409275E-2</v>
      </c>
      <c r="N425" s="244">
        <v>9.6540099173447521E-3</v>
      </c>
      <c r="O425" s="244">
        <v>9.8183825837455038E-3</v>
      </c>
      <c r="P425" s="245">
        <v>-5.8079869944820596E-2</v>
      </c>
      <c r="Q425" s="244">
        <v>-1.9833514237081455E-2</v>
      </c>
      <c r="R425" s="244">
        <v>7.3636121689954247E-3</v>
      </c>
      <c r="S425" s="244">
        <v>2.1908163992501679E-2</v>
      </c>
      <c r="T425" s="244">
        <v>3.3512289702063151E-2</v>
      </c>
      <c r="U425" s="244">
        <v>3.9439110782943362E-2</v>
      </c>
      <c r="V425" s="244">
        <v>4.3612301703198929E-2</v>
      </c>
      <c r="W425" s="244">
        <v>4.4814698248856956E-2</v>
      </c>
      <c r="X425" s="244">
        <v>4.5410451007274678E-2</v>
      </c>
      <c r="Y425" s="244">
        <v>4.5502154160990085E-2</v>
      </c>
      <c r="Z425" s="244">
        <v>4.5594081433868276E-2</v>
      </c>
      <c r="AA425" s="133"/>
      <c r="AB425" s="270">
        <v>-1.2869159147910113E-2</v>
      </c>
      <c r="AC425" s="141"/>
      <c r="AD425" s="270">
        <v>1.6477932481884432E-2</v>
      </c>
      <c r="AE425" s="133"/>
      <c r="AF425" s="133"/>
      <c r="AG425" s="133"/>
      <c r="AH425" s="220" t="s">
        <v>54</v>
      </c>
      <c r="AI425" s="144"/>
      <c r="AJ425" s="144"/>
      <c r="AK425" s="144"/>
      <c r="AL425" s="144"/>
      <c r="AM425" s="280"/>
      <c r="AN425" s="144"/>
      <c r="AO425" s="144"/>
      <c r="AP425" s="144"/>
      <c r="AQ425" s="144"/>
      <c r="AR425" s="144"/>
      <c r="AS425" s="251"/>
    </row>
    <row r="426" spans="1:45" ht="16.149999999999999" thickBot="1" x14ac:dyDescent="0.6">
      <c r="A426" s="133"/>
      <c r="B426" s="133"/>
      <c r="C426" s="133"/>
      <c r="D426" s="133"/>
      <c r="E426" s="144" t="s">
        <v>512</v>
      </c>
      <c r="F426" s="244" t="e">
        <v>#DIV/0!</v>
      </c>
      <c r="G426" s="244">
        <v>4.9502166696809638E-3</v>
      </c>
      <c r="H426" s="244">
        <v>6.8942548344802665E-2</v>
      </c>
      <c r="I426" s="244">
        <v>9.3441122345082867E-2</v>
      </c>
      <c r="J426" s="244">
        <v>7.1538599923542251E-2</v>
      </c>
      <c r="K426" s="244">
        <v>6.9340782514540608E-2</v>
      </c>
      <c r="L426" s="244">
        <v>6.2522789337305471E-2</v>
      </c>
      <c r="M426" s="244">
        <v>6.2100847948409275E-2</v>
      </c>
      <c r="N426" s="244">
        <v>1.0147142054576508E-2</v>
      </c>
      <c r="O426" s="244">
        <v>1.2759665297410646E-2</v>
      </c>
      <c r="P426" s="245">
        <v>-4.2874998331907652E-2</v>
      </c>
      <c r="Q426" s="244">
        <v>-1.9833514237081455E-2</v>
      </c>
      <c r="R426" s="244">
        <v>7.3636121689954247E-3</v>
      </c>
      <c r="S426" s="244">
        <v>2.1908163992501679E-2</v>
      </c>
      <c r="T426" s="244">
        <v>3.3512289702063151E-2</v>
      </c>
      <c r="U426" s="244">
        <v>3.9439110782943362E-2</v>
      </c>
      <c r="V426" s="244">
        <v>4.3612301703198929E-2</v>
      </c>
      <c r="W426" s="244">
        <v>4.4814698248856956E-2</v>
      </c>
      <c r="X426" s="244">
        <v>4.5410451007274678E-2</v>
      </c>
      <c r="Y426" s="244">
        <v>4.5502154160990085E-2</v>
      </c>
      <c r="Z426" s="244">
        <v>4.5594081433868276E-2</v>
      </c>
      <c r="AA426" s="133"/>
      <c r="AB426" s="270">
        <v>-6.6560636599734989E-3</v>
      </c>
      <c r="AC426" s="141"/>
      <c r="AD426" s="270">
        <v>1.6477932481884432E-2</v>
      </c>
      <c r="AE426" s="133"/>
      <c r="AF426" s="133"/>
      <c r="AG426" s="133"/>
      <c r="AH426" s="285" t="s">
        <v>513</v>
      </c>
      <c r="AI426" s="253"/>
      <c r="AJ426" s="253"/>
      <c r="AK426" s="253"/>
      <c r="AL426" s="253"/>
      <c r="AM426" s="286">
        <v>0</v>
      </c>
      <c r="AN426" s="253"/>
      <c r="AO426" s="253"/>
      <c r="AP426" s="253"/>
      <c r="AQ426" s="253"/>
      <c r="AR426" s="253"/>
      <c r="AS426" s="254"/>
    </row>
    <row r="427" spans="1:45" x14ac:dyDescent="0.55000000000000004">
      <c r="A427" s="133"/>
      <c r="B427" s="133"/>
      <c r="C427" s="133"/>
      <c r="D427" s="133"/>
      <c r="E427" s="144" t="s">
        <v>514</v>
      </c>
      <c r="F427" s="244" t="e">
        <v>#DIV/0!</v>
      </c>
      <c r="G427" s="244">
        <v>1.353232914859096</v>
      </c>
      <c r="H427" s="244">
        <v>0.20258117446593668</v>
      </c>
      <c r="I427" s="244">
        <v>0.18476541285920051</v>
      </c>
      <c r="J427" s="244">
        <v>0.13309833816816211</v>
      </c>
      <c r="K427" s="244">
        <v>0.1034015844749798</v>
      </c>
      <c r="L427" s="244">
        <v>6.108698649021229E-2</v>
      </c>
      <c r="M427" s="244">
        <v>2.8485222486816588E-2</v>
      </c>
      <c r="N427" s="244">
        <v>4.1100112396649001E-3</v>
      </c>
      <c r="O427" s="244">
        <v>1.3330441105868568E-2</v>
      </c>
      <c r="P427" s="245">
        <v>-2.1022548345167247E-2</v>
      </c>
      <c r="Q427" s="244">
        <v>-3.038700193117542E-3</v>
      </c>
      <c r="R427" s="244">
        <v>1.3169394491926549E-2</v>
      </c>
      <c r="S427" s="244">
        <v>1.3658836159135067E-2</v>
      </c>
      <c r="T427" s="244">
        <v>4.1896876171811752E-2</v>
      </c>
      <c r="U427" s="244">
        <v>4.2737921615971758E-2</v>
      </c>
      <c r="V427" s="244">
        <v>4.5624674463902393E-2</v>
      </c>
      <c r="W427" s="244">
        <v>4.6502140590714579E-2</v>
      </c>
      <c r="X427" s="244">
        <v>4.8238299573439482E-2</v>
      </c>
      <c r="Y427" s="244">
        <v>4.9049618901930381E-2</v>
      </c>
      <c r="Z427" s="244">
        <v>5.0892400731446075E-2</v>
      </c>
      <c r="AA427" s="133"/>
      <c r="AB427" s="270">
        <v>-1.1940319998779262E-3</v>
      </c>
      <c r="AC427" s="141"/>
      <c r="AD427" s="270">
        <v>2.168486564914552E-2</v>
      </c>
      <c r="AE427" s="133"/>
      <c r="AF427" s="133"/>
      <c r="AG427" s="133"/>
      <c r="AH427" s="133"/>
      <c r="AI427" s="133"/>
      <c r="AJ427" s="133"/>
      <c r="AK427" s="133"/>
      <c r="AL427" s="133"/>
      <c r="AM427" s="133"/>
      <c r="AN427" s="133"/>
      <c r="AO427" s="133"/>
      <c r="AP427" s="133"/>
      <c r="AQ427" s="133"/>
      <c r="AR427" s="133"/>
      <c r="AS427" s="133"/>
    </row>
    <row r="428" spans="1:45" x14ac:dyDescent="0.55000000000000004">
      <c r="A428" s="133"/>
      <c r="B428" s="133"/>
      <c r="C428" s="133"/>
      <c r="D428" s="133"/>
      <c r="E428" s="144" t="s">
        <v>515</v>
      </c>
      <c r="F428" s="244" t="e">
        <v>#DIV/0!</v>
      </c>
      <c r="G428" s="244">
        <v>0</v>
      </c>
      <c r="H428" s="244">
        <v>0</v>
      </c>
      <c r="I428" s="244">
        <v>0</v>
      </c>
      <c r="J428" s="244">
        <v>1.404320987654321E-2</v>
      </c>
      <c r="K428" s="244">
        <v>2.1231766612641815E-2</v>
      </c>
      <c r="L428" s="244">
        <v>2.1527777777777778E-2</v>
      </c>
      <c r="M428" s="244">
        <v>1.5174506828528072E-2</v>
      </c>
      <c r="N428" s="244">
        <v>1.1764705882352943E-2</v>
      </c>
      <c r="O428" s="244">
        <v>5.943152454780362E-3</v>
      </c>
      <c r="P428" s="245">
        <v>1.858736059479554E-3</v>
      </c>
      <c r="Q428" s="244">
        <v>0</v>
      </c>
      <c r="R428" s="244">
        <v>0</v>
      </c>
      <c r="S428" s="244">
        <v>2.0307980306660941E-3</v>
      </c>
      <c r="T428" s="244">
        <v>6.0663485923759062E-3</v>
      </c>
      <c r="U428" s="244">
        <v>9.3094321345091324E-3</v>
      </c>
      <c r="V428" s="244">
        <v>1.0973920861520398E-2</v>
      </c>
      <c r="W428" s="244">
        <v>1.2149217534988804E-2</v>
      </c>
      <c r="X428" s="244">
        <v>1.2488356005932229E-2</v>
      </c>
      <c r="Y428" s="244">
        <v>1.2656473535416398E-2</v>
      </c>
      <c r="Z428" s="244">
        <v>1.2682356523666399E-2</v>
      </c>
      <c r="AA428" s="133"/>
      <c r="AB428" s="270">
        <v>6.5221981322042856E-3</v>
      </c>
      <c r="AC428" s="141"/>
      <c r="AD428" s="270">
        <v>3.4813157515102265E-3</v>
      </c>
      <c r="AE428" s="133"/>
      <c r="AF428" s="133"/>
      <c r="AG428" s="133"/>
      <c r="AH428" s="133"/>
      <c r="AI428" s="133"/>
      <c r="AJ428" s="133"/>
      <c r="AK428" s="133"/>
      <c r="AL428" s="133"/>
      <c r="AM428" s="133"/>
      <c r="AN428" s="133"/>
      <c r="AO428" s="133"/>
      <c r="AP428" s="133"/>
      <c r="AQ428" s="133"/>
      <c r="AR428" s="133"/>
      <c r="AS428" s="133"/>
    </row>
    <row r="429" spans="1:45" x14ac:dyDescent="0.55000000000000004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8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  <c r="AC429" s="133"/>
      <c r="AD429" s="133"/>
      <c r="AE429" s="133"/>
      <c r="AF429" s="133"/>
      <c r="AG429" s="133"/>
      <c r="AH429" s="133"/>
      <c r="AI429" s="133"/>
      <c r="AJ429" s="133"/>
      <c r="AK429" s="133"/>
      <c r="AL429" s="133"/>
      <c r="AM429" s="133"/>
      <c r="AN429" s="133"/>
      <c r="AO429" s="133"/>
      <c r="AP429" s="133"/>
      <c r="AQ429" s="133"/>
      <c r="AR429" s="133"/>
      <c r="AS429" s="133"/>
    </row>
    <row r="430" spans="1:45" x14ac:dyDescent="0.55000000000000004">
      <c r="A430" s="142"/>
      <c r="B430" s="142"/>
      <c r="C430" s="142"/>
      <c r="D430" s="142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287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  <c r="AC430" s="133"/>
      <c r="AD430" s="133"/>
      <c r="AE430" s="133"/>
      <c r="AF430" s="133"/>
      <c r="AG430" s="133"/>
      <c r="AH430" s="133"/>
      <c r="AI430" s="133"/>
      <c r="AJ430" s="133"/>
      <c r="AK430" s="133"/>
      <c r="AL430" s="133"/>
      <c r="AM430" s="133"/>
      <c r="AN430" s="133"/>
      <c r="AO430" s="133"/>
      <c r="AP430" s="133"/>
      <c r="AQ430" s="133"/>
      <c r="AR430" s="133"/>
      <c r="AS430" s="133"/>
    </row>
    <row r="431" spans="1:45" x14ac:dyDescent="0.55000000000000004">
      <c r="A431" s="203" t="s">
        <v>516</v>
      </c>
      <c r="B431" s="203"/>
      <c r="C431" s="20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  <c r="AA431" s="203"/>
      <c r="AB431" s="203"/>
      <c r="AC431" s="203"/>
      <c r="AD431" s="203"/>
      <c r="AE431" s="203"/>
      <c r="AF431" s="203"/>
      <c r="AG431" s="203"/>
      <c r="AH431" s="203"/>
      <c r="AI431" s="203"/>
      <c r="AJ431" s="203"/>
      <c r="AK431" s="203"/>
      <c r="AL431" s="203"/>
      <c r="AM431" s="203"/>
      <c r="AN431" s="203"/>
      <c r="AO431" s="203"/>
      <c r="AP431" s="203"/>
      <c r="AQ431" s="203"/>
      <c r="AR431" s="203"/>
      <c r="AS431" s="203"/>
    </row>
    <row r="432" spans="1:45" x14ac:dyDescent="0.55000000000000004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219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  <c r="AC432" s="133"/>
      <c r="AD432" s="133"/>
      <c r="AE432" s="133"/>
      <c r="AF432" s="133"/>
      <c r="AG432" s="133"/>
      <c r="AH432" s="133"/>
      <c r="AI432" s="133"/>
      <c r="AJ432" s="133"/>
      <c r="AK432" s="133"/>
      <c r="AL432" s="133"/>
      <c r="AM432" s="133"/>
      <c r="AN432" s="133"/>
      <c r="AO432" s="133"/>
      <c r="AP432" s="133"/>
      <c r="AQ432" s="133"/>
      <c r="AR432" s="133"/>
      <c r="AS432" s="133"/>
    </row>
    <row r="433" spans="5:33" x14ac:dyDescent="0.55000000000000004">
      <c r="E433" s="176" t="s">
        <v>517</v>
      </c>
      <c r="F433" s="176"/>
      <c r="G433" s="176"/>
      <c r="H433" s="144"/>
      <c r="I433" s="144"/>
      <c r="J433" s="144"/>
      <c r="K433" s="144"/>
      <c r="L433" s="144"/>
      <c r="M433" s="144"/>
      <c r="N433" s="144"/>
      <c r="O433" s="144"/>
      <c r="P433" s="144"/>
      <c r="Q433" s="288"/>
      <c r="R433" s="144"/>
      <c r="S433" s="141" t="s">
        <v>518</v>
      </c>
      <c r="T433" s="141" t="s">
        <v>519</v>
      </c>
      <c r="U433" s="141" t="s">
        <v>520</v>
      </c>
      <c r="V433" s="141" t="s">
        <v>521</v>
      </c>
      <c r="W433" s="141" t="s">
        <v>522</v>
      </c>
      <c r="X433" s="141" t="s">
        <v>523</v>
      </c>
      <c r="Y433" s="141" t="s">
        <v>524</v>
      </c>
      <c r="Z433" s="144"/>
      <c r="AA433" s="133"/>
      <c r="AB433" s="133"/>
      <c r="AC433" s="133"/>
      <c r="AD433" s="133"/>
      <c r="AE433" s="133"/>
      <c r="AF433" s="133"/>
      <c r="AG433" s="133"/>
    </row>
    <row r="434" spans="5:33" x14ac:dyDescent="0.55000000000000004">
      <c r="E434" s="144" t="s">
        <v>525</v>
      </c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44"/>
      <c r="Q434" s="289">
        <v>0</v>
      </c>
      <c r="R434" s="144"/>
      <c r="S434" s="150"/>
      <c r="T434" s="150"/>
      <c r="U434" s="150"/>
      <c r="V434" s="150"/>
      <c r="W434" s="150"/>
      <c r="X434" s="150"/>
      <c r="Y434" s="150"/>
      <c r="Z434" s="144"/>
      <c r="AA434" s="144"/>
      <c r="AB434" s="144"/>
      <c r="AC434" s="144"/>
      <c r="AD434" s="144"/>
      <c r="AE434" s="144"/>
      <c r="AF434" s="144"/>
      <c r="AG434" s="144"/>
    </row>
    <row r="435" spans="5:33" x14ac:dyDescent="0.55000000000000004">
      <c r="E435" s="144" t="s">
        <v>526</v>
      </c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44"/>
      <c r="Q435" s="289"/>
      <c r="R435" s="144"/>
      <c r="S435" s="150"/>
      <c r="T435" s="150"/>
      <c r="U435" s="150"/>
      <c r="V435" s="150"/>
      <c r="W435" s="150"/>
      <c r="X435" s="150"/>
      <c r="Y435" s="150"/>
      <c r="Z435" s="161">
        <v>0</v>
      </c>
      <c r="AA435" s="144" t="s">
        <v>527</v>
      </c>
      <c r="AB435" s="144"/>
      <c r="AC435" s="144"/>
      <c r="AD435" s="144"/>
      <c r="AE435" s="144"/>
      <c r="AF435" s="144"/>
      <c r="AG435" s="144"/>
    </row>
    <row r="436" spans="5:33" x14ac:dyDescent="0.55000000000000004">
      <c r="E436" s="144" t="s">
        <v>528</v>
      </c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290"/>
      <c r="R436" s="144"/>
      <c r="S436" s="177"/>
      <c r="T436" s="177"/>
      <c r="U436" s="177"/>
      <c r="V436" s="177"/>
      <c r="W436" s="177"/>
      <c r="X436" s="177"/>
      <c r="Y436" s="177"/>
      <c r="Z436" s="144"/>
      <c r="AA436" s="144"/>
      <c r="AB436" s="144"/>
      <c r="AC436" s="144"/>
      <c r="AD436" s="144"/>
      <c r="AE436" s="144"/>
      <c r="AF436" s="144"/>
      <c r="AG436" s="144"/>
    </row>
    <row r="437" spans="5:33" x14ac:dyDescent="0.55000000000000004">
      <c r="E437" s="144" t="s">
        <v>529</v>
      </c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291"/>
      <c r="R437" s="144"/>
      <c r="S437" s="275"/>
      <c r="T437" s="275"/>
      <c r="U437" s="275"/>
      <c r="V437" s="275"/>
      <c r="W437" s="275"/>
      <c r="X437" s="275"/>
      <c r="Y437" s="275"/>
      <c r="Z437" s="144"/>
      <c r="AA437" s="144"/>
      <c r="AB437" s="144"/>
      <c r="AC437" s="144"/>
      <c r="AD437" s="144"/>
      <c r="AE437" s="144"/>
      <c r="AF437" s="144"/>
      <c r="AG437" s="144"/>
    </row>
    <row r="438" spans="5:33" x14ac:dyDescent="0.55000000000000004">
      <c r="E438" s="144" t="s">
        <v>530</v>
      </c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44"/>
      <c r="Q438" s="290"/>
      <c r="R438" s="144"/>
      <c r="S438" s="177"/>
      <c r="T438" s="177"/>
      <c r="U438" s="177"/>
      <c r="V438" s="177"/>
      <c r="W438" s="177"/>
      <c r="X438" s="177"/>
      <c r="Y438" s="177"/>
      <c r="Z438" s="144"/>
      <c r="AA438" s="144"/>
      <c r="AB438" s="292"/>
      <c r="AC438" s="237"/>
      <c r="AD438" s="749" t="s">
        <v>531</v>
      </c>
      <c r="AE438" s="750"/>
      <c r="AF438" s="293"/>
      <c r="AG438" s="294" t="s">
        <v>532</v>
      </c>
    </row>
    <row r="439" spans="5:33" x14ac:dyDescent="0.55000000000000004"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295" t="s">
        <v>184</v>
      </c>
      <c r="R439" s="144"/>
      <c r="S439" s="144"/>
      <c r="T439" s="144"/>
      <c r="U439" s="144"/>
      <c r="V439" s="144"/>
      <c r="W439" s="144"/>
      <c r="X439" s="144"/>
      <c r="Y439" s="144"/>
      <c r="Z439" s="144"/>
      <c r="AA439" s="144"/>
      <c r="AB439" s="296" t="s">
        <v>191</v>
      </c>
      <c r="AC439" s="144"/>
      <c r="AD439" s="751">
        <v>0.37786434015871728</v>
      </c>
      <c r="AE439" s="752"/>
      <c r="AF439" s="264">
        <v>9.4466085039679321E-2</v>
      </c>
      <c r="AG439" s="297">
        <v>0.25</v>
      </c>
    </row>
    <row r="440" spans="5:33" x14ac:dyDescent="0.55000000000000004">
      <c r="E440" s="144" t="s">
        <v>533</v>
      </c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222">
        <v>0</v>
      </c>
      <c r="R440" s="144"/>
      <c r="S440" s="161">
        <v>0</v>
      </c>
      <c r="T440" s="161">
        <v>0</v>
      </c>
      <c r="U440" s="161">
        <v>0</v>
      </c>
      <c r="V440" s="161">
        <v>0</v>
      </c>
      <c r="W440" s="161">
        <v>0</v>
      </c>
      <c r="X440" s="161">
        <v>0</v>
      </c>
      <c r="Y440" s="161">
        <v>0</v>
      </c>
      <c r="Z440" s="144"/>
      <c r="AA440" s="144"/>
      <c r="AB440" s="298" t="s">
        <v>534</v>
      </c>
      <c r="AC440" s="144"/>
      <c r="AD440" s="753">
        <v>0.38914960292680556</v>
      </c>
      <c r="AE440" s="754"/>
      <c r="AF440" s="294"/>
      <c r="AG440" s="294"/>
    </row>
    <row r="441" spans="5:33" x14ac:dyDescent="0.55000000000000004"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44"/>
      <c r="Q441" s="220"/>
      <c r="R441" s="144"/>
      <c r="S441" s="144"/>
      <c r="T441" s="144"/>
      <c r="U441" s="144"/>
      <c r="V441" s="144"/>
      <c r="W441" s="144"/>
      <c r="X441" s="144"/>
      <c r="Y441" s="144"/>
      <c r="Z441" s="144"/>
      <c r="AA441" s="144"/>
      <c r="AB441" s="296" t="s">
        <v>194</v>
      </c>
      <c r="AC441" s="144"/>
      <c r="AD441" s="751">
        <v>0.40043486569489384</v>
      </c>
      <c r="AE441" s="752"/>
      <c r="AF441" s="264">
        <v>0.10010871642372346</v>
      </c>
      <c r="AG441" s="297">
        <v>0.25</v>
      </c>
    </row>
    <row r="442" spans="5:33" x14ac:dyDescent="0.55000000000000004">
      <c r="E442" s="176" t="s">
        <v>535</v>
      </c>
      <c r="F442" s="176"/>
      <c r="G442" s="176"/>
      <c r="H442" s="144"/>
      <c r="I442" s="144"/>
      <c r="J442" s="144"/>
      <c r="K442" s="144"/>
      <c r="L442" s="144"/>
      <c r="M442" s="144"/>
      <c r="N442" s="144"/>
      <c r="O442" s="144"/>
      <c r="P442" s="144"/>
      <c r="Q442" s="220"/>
      <c r="R442" s="144"/>
      <c r="S442" s="144"/>
      <c r="T442" s="144"/>
      <c r="U442" s="144"/>
      <c r="V442" s="144"/>
      <c r="W442" s="144"/>
      <c r="X442" s="144"/>
      <c r="Y442" s="144"/>
      <c r="Z442" s="144"/>
      <c r="AA442" s="144"/>
      <c r="AB442" s="296" t="s">
        <v>184</v>
      </c>
      <c r="AC442" s="144"/>
      <c r="AD442" s="751" t="s">
        <v>184</v>
      </c>
      <c r="AE442" s="752"/>
      <c r="AF442" s="264" t="s">
        <v>184</v>
      </c>
      <c r="AG442" s="297" t="s">
        <v>184</v>
      </c>
    </row>
    <row r="443" spans="5:33" x14ac:dyDescent="0.55000000000000004">
      <c r="E443" s="144" t="s">
        <v>536</v>
      </c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289">
        <v>0</v>
      </c>
      <c r="R443" s="144" t="s">
        <v>537</v>
      </c>
      <c r="S443" s="144"/>
      <c r="T443" s="144"/>
      <c r="U443" s="144"/>
      <c r="V443" s="144"/>
      <c r="W443" s="144"/>
      <c r="X443" s="144"/>
      <c r="Y443" s="144"/>
      <c r="Z443" s="144"/>
      <c r="AA443" s="144"/>
      <c r="AB443" s="296" t="s">
        <v>184</v>
      </c>
      <c r="AC443" s="144"/>
      <c r="AD443" s="751" t="s">
        <v>184</v>
      </c>
      <c r="AE443" s="752"/>
      <c r="AF443" s="264" t="s">
        <v>184</v>
      </c>
      <c r="AG443" s="297" t="s">
        <v>184</v>
      </c>
    </row>
    <row r="444" spans="5:33" ht="16.149999999999999" thickBot="1" x14ac:dyDescent="0.6">
      <c r="E444" s="144" t="s">
        <v>538</v>
      </c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44"/>
      <c r="Q444" s="289">
        <v>0</v>
      </c>
      <c r="R444" s="144" t="s">
        <v>537</v>
      </c>
      <c r="S444" s="144"/>
      <c r="T444" s="144"/>
      <c r="U444" s="144"/>
      <c r="V444" s="144"/>
      <c r="W444" s="144"/>
      <c r="X444" s="144"/>
      <c r="Y444" s="144"/>
      <c r="Z444" s="144"/>
      <c r="AA444" s="144"/>
      <c r="AB444" s="740" t="s">
        <v>539</v>
      </c>
      <c r="AC444" s="741"/>
      <c r="AD444" s="747" t="s">
        <v>71</v>
      </c>
      <c r="AE444" s="748"/>
      <c r="AF444" s="144"/>
      <c r="AG444" s="144"/>
    </row>
    <row r="445" spans="5:33" x14ac:dyDescent="0.55000000000000004"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44"/>
      <c r="Q445" s="220"/>
      <c r="R445" s="144"/>
      <c r="S445" s="144"/>
      <c r="T445" s="144"/>
      <c r="U445" s="144"/>
      <c r="V445" s="144"/>
      <c r="W445" s="144"/>
      <c r="X445" s="144"/>
      <c r="Y445" s="144"/>
      <c r="Z445" s="144"/>
      <c r="AA445" s="144"/>
      <c r="AB445" s="144"/>
      <c r="AC445" s="144"/>
      <c r="AD445" s="144"/>
      <c r="AE445" s="144"/>
      <c r="AF445" s="144"/>
      <c r="AG445" s="144"/>
    </row>
    <row r="446" spans="5:33" x14ac:dyDescent="0.55000000000000004">
      <c r="E446" s="144" t="s">
        <v>540</v>
      </c>
      <c r="F446" s="150"/>
      <c r="G446" s="150"/>
      <c r="H446" s="150"/>
      <c r="I446" s="150"/>
      <c r="J446" s="150"/>
      <c r="K446" s="150"/>
      <c r="L446" s="150"/>
      <c r="M446" s="150"/>
      <c r="N446" s="150"/>
      <c r="O446" s="150"/>
      <c r="P446" s="150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</row>
    <row r="447" spans="5:33" x14ac:dyDescent="0.55000000000000004">
      <c r="E447" s="160" t="s">
        <v>541</v>
      </c>
      <c r="F447" s="150"/>
      <c r="G447" s="150"/>
      <c r="H447" s="150"/>
      <c r="I447" s="150"/>
      <c r="J447" s="150"/>
      <c r="K447" s="150"/>
      <c r="L447" s="150"/>
      <c r="M447" s="150"/>
      <c r="N447" s="150"/>
      <c r="O447" s="150"/>
      <c r="P447" s="150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  <c r="AG447" s="161"/>
    </row>
    <row r="448" spans="5:33" x14ac:dyDescent="0.55000000000000004">
      <c r="E448" s="144" t="s">
        <v>542</v>
      </c>
      <c r="F448" s="150"/>
      <c r="G448" s="150"/>
      <c r="H448" s="150"/>
      <c r="I448" s="150"/>
      <c r="J448" s="150"/>
      <c r="K448" s="150"/>
      <c r="L448" s="150"/>
      <c r="M448" s="150"/>
      <c r="N448" s="150"/>
      <c r="O448" s="150"/>
      <c r="P448" s="150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</row>
    <row r="449" spans="1:26" x14ac:dyDescent="0.55000000000000004">
      <c r="A449" s="161"/>
      <c r="B449" s="161"/>
      <c r="C449" s="161"/>
      <c r="D449" s="161"/>
      <c r="E449" s="144" t="s">
        <v>543</v>
      </c>
      <c r="F449" s="161">
        <v>0</v>
      </c>
      <c r="G449" s="161">
        <v>0</v>
      </c>
      <c r="H449" s="161">
        <v>0</v>
      </c>
      <c r="I449" s="161">
        <v>0</v>
      </c>
      <c r="J449" s="161">
        <v>0</v>
      </c>
      <c r="K449" s="161">
        <v>0</v>
      </c>
      <c r="L449" s="161">
        <v>0</v>
      </c>
      <c r="M449" s="161">
        <v>0</v>
      </c>
      <c r="N449" s="161">
        <v>0</v>
      </c>
      <c r="O449" s="161">
        <v>0</v>
      </c>
      <c r="P449" s="161">
        <v>0</v>
      </c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 spans="1:26" x14ac:dyDescent="0.55000000000000004">
      <c r="A450" s="154"/>
      <c r="B450" s="154"/>
      <c r="C450" s="154"/>
      <c r="D450" s="154"/>
      <c r="E450" s="149" t="s">
        <v>310</v>
      </c>
      <c r="F450" s="151">
        <v>0</v>
      </c>
      <c r="G450" s="151">
        <v>0</v>
      </c>
      <c r="H450" s="151">
        <v>0</v>
      </c>
      <c r="I450" s="151">
        <v>0</v>
      </c>
      <c r="J450" s="151">
        <v>0</v>
      </c>
      <c r="K450" s="151">
        <v>0</v>
      </c>
      <c r="L450" s="151">
        <v>0</v>
      </c>
      <c r="M450" s="151">
        <v>0</v>
      </c>
      <c r="N450" s="151">
        <v>0</v>
      </c>
      <c r="O450" s="151">
        <v>0</v>
      </c>
      <c r="P450" s="151">
        <v>0</v>
      </c>
      <c r="Q450" s="151">
        <v>0</v>
      </c>
      <c r="R450" s="151">
        <v>0</v>
      </c>
      <c r="S450" s="151">
        <v>0</v>
      </c>
      <c r="T450" s="151">
        <v>0</v>
      </c>
      <c r="U450" s="151">
        <v>0</v>
      </c>
      <c r="V450" s="151">
        <v>0</v>
      </c>
      <c r="W450" s="151">
        <v>0</v>
      </c>
      <c r="X450" s="151">
        <v>0</v>
      </c>
      <c r="Y450" s="151">
        <v>0</v>
      </c>
      <c r="Z450" s="151">
        <v>0</v>
      </c>
    </row>
    <row r="451" spans="1:26" x14ac:dyDescent="0.55000000000000004">
      <c r="A451" s="161"/>
      <c r="B451" s="161"/>
      <c r="C451" s="161"/>
      <c r="D451" s="161"/>
      <c r="E451" s="144" t="s">
        <v>544</v>
      </c>
      <c r="F451" s="150"/>
      <c r="G451" s="150"/>
      <c r="H451" s="150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 spans="1:26" x14ac:dyDescent="0.55000000000000004">
      <c r="A452" s="154"/>
      <c r="B452" s="154"/>
      <c r="C452" s="154"/>
      <c r="D452" s="154"/>
      <c r="E452" s="149" t="s">
        <v>310</v>
      </c>
      <c r="F452" s="151">
        <v>0</v>
      </c>
      <c r="G452" s="151">
        <v>0</v>
      </c>
      <c r="H452" s="151">
        <v>0</v>
      </c>
      <c r="I452" s="151">
        <v>0</v>
      </c>
      <c r="J452" s="151">
        <v>0</v>
      </c>
      <c r="K452" s="151">
        <v>0</v>
      </c>
      <c r="L452" s="151">
        <v>0</v>
      </c>
      <c r="M452" s="151">
        <v>0</v>
      </c>
      <c r="N452" s="151">
        <v>0</v>
      </c>
      <c r="O452" s="151">
        <v>0</v>
      </c>
      <c r="P452" s="151">
        <v>0</v>
      </c>
      <c r="Q452" s="151">
        <v>0</v>
      </c>
      <c r="R452" s="151">
        <v>0</v>
      </c>
      <c r="S452" s="151">
        <v>0</v>
      </c>
      <c r="T452" s="151">
        <v>0</v>
      </c>
      <c r="U452" s="151">
        <v>0</v>
      </c>
      <c r="V452" s="151">
        <v>0</v>
      </c>
      <c r="W452" s="151">
        <v>0</v>
      </c>
      <c r="X452" s="151">
        <v>0</v>
      </c>
      <c r="Y452" s="151">
        <v>0</v>
      </c>
      <c r="Z452" s="151">
        <v>0</v>
      </c>
    </row>
    <row r="453" spans="1:26" x14ac:dyDescent="0.55000000000000004">
      <c r="A453" s="161"/>
      <c r="B453" s="161"/>
      <c r="C453" s="161"/>
      <c r="D453" s="161"/>
      <c r="E453" s="144" t="s">
        <v>545</v>
      </c>
      <c r="F453" s="161">
        <v>0</v>
      </c>
      <c r="G453" s="161">
        <v>0</v>
      </c>
      <c r="H453" s="161">
        <v>0</v>
      </c>
      <c r="I453" s="161">
        <v>0</v>
      </c>
      <c r="J453" s="161">
        <v>0</v>
      </c>
      <c r="K453" s="161">
        <v>0</v>
      </c>
      <c r="L453" s="161">
        <v>0</v>
      </c>
      <c r="M453" s="161">
        <v>0</v>
      </c>
      <c r="N453" s="161">
        <v>0</v>
      </c>
      <c r="O453" s="161">
        <v>0</v>
      </c>
      <c r="P453" s="161">
        <v>0</v>
      </c>
      <c r="Q453" s="161">
        <v>0</v>
      </c>
      <c r="R453" s="161">
        <v>0</v>
      </c>
      <c r="S453" s="161">
        <v>0</v>
      </c>
      <c r="T453" s="161">
        <v>0</v>
      </c>
      <c r="U453" s="161">
        <v>0</v>
      </c>
      <c r="V453" s="161">
        <v>0</v>
      </c>
      <c r="W453" s="161">
        <v>0</v>
      </c>
      <c r="X453" s="161">
        <v>0</v>
      </c>
      <c r="Y453" s="161">
        <v>0</v>
      </c>
      <c r="Z453" s="161">
        <v>0</v>
      </c>
    </row>
    <row r="454" spans="1:26" x14ac:dyDescent="0.55000000000000004">
      <c r="A454" s="144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44"/>
      <c r="Q454" s="220"/>
      <c r="R454" s="144"/>
      <c r="S454" s="144"/>
      <c r="T454" s="144"/>
      <c r="U454" s="144"/>
      <c r="V454" s="144"/>
      <c r="W454" s="144"/>
      <c r="X454" s="144"/>
      <c r="Y454" s="144"/>
      <c r="Z454" s="144"/>
    </row>
    <row r="455" spans="1:26" x14ac:dyDescent="0.55000000000000004">
      <c r="A455" s="144"/>
      <c r="B455" s="144"/>
      <c r="C455" s="144"/>
      <c r="D455" s="144"/>
      <c r="E455" s="176" t="s">
        <v>358</v>
      </c>
      <c r="F455" s="176"/>
      <c r="G455" s="176"/>
      <c r="H455" s="144"/>
      <c r="I455" s="144"/>
      <c r="J455" s="144"/>
      <c r="K455" s="144"/>
      <c r="L455" s="144"/>
      <c r="M455" s="144"/>
      <c r="N455" s="144"/>
      <c r="O455" s="144"/>
      <c r="P455" s="144"/>
      <c r="Q455" s="220"/>
      <c r="R455" s="144"/>
      <c r="S455" s="144"/>
      <c r="T455" s="144"/>
      <c r="U455" s="144"/>
      <c r="V455" s="144"/>
      <c r="W455" s="144"/>
      <c r="X455" s="144"/>
      <c r="Y455" s="144"/>
      <c r="Z455" s="144"/>
    </row>
    <row r="456" spans="1:26" x14ac:dyDescent="0.55000000000000004">
      <c r="A456" s="158"/>
      <c r="B456" s="158"/>
      <c r="C456" s="158"/>
      <c r="D456" s="158"/>
      <c r="E456" s="159" t="s">
        <v>546</v>
      </c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44"/>
      <c r="Q456" s="289"/>
      <c r="R456" s="144"/>
      <c r="S456" s="144"/>
      <c r="T456" s="144"/>
      <c r="U456" s="144"/>
      <c r="V456" s="144"/>
      <c r="W456" s="144"/>
      <c r="X456" s="144"/>
      <c r="Y456" s="144"/>
      <c r="Z456" s="144"/>
    </row>
    <row r="457" spans="1:26" x14ac:dyDescent="0.55000000000000004">
      <c r="A457" s="158"/>
      <c r="B457" s="158"/>
      <c r="C457" s="158"/>
      <c r="D457" s="158"/>
      <c r="E457" s="159" t="s">
        <v>546</v>
      </c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44"/>
      <c r="Q457" s="289"/>
      <c r="R457" s="144"/>
      <c r="S457" s="144"/>
      <c r="T457" s="144"/>
      <c r="U457" s="144"/>
      <c r="V457" s="144"/>
      <c r="W457" s="144"/>
      <c r="X457" s="144"/>
      <c r="Y457" s="144"/>
      <c r="Z457" s="144"/>
    </row>
    <row r="458" spans="1:26" x14ac:dyDescent="0.55000000000000004">
      <c r="A458" s="158"/>
      <c r="B458" s="158"/>
      <c r="C458" s="158"/>
      <c r="D458" s="158"/>
      <c r="E458" s="159" t="s">
        <v>546</v>
      </c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44"/>
      <c r="Q458" s="289"/>
      <c r="R458" s="774" t="s">
        <v>547</v>
      </c>
      <c r="S458" s="738"/>
      <c r="T458" s="144"/>
      <c r="U458" s="144"/>
      <c r="V458" s="144"/>
      <c r="W458" s="144"/>
      <c r="X458" s="144"/>
      <c r="Y458" s="144"/>
      <c r="Z458" s="144"/>
    </row>
    <row r="459" spans="1:26" x14ac:dyDescent="0.55000000000000004">
      <c r="A459" s="144"/>
      <c r="B459" s="144"/>
      <c r="C459" s="144"/>
      <c r="D459" s="144"/>
      <c r="E459" s="144" t="s">
        <v>548</v>
      </c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44"/>
      <c r="Q459" s="289"/>
      <c r="R459" s="751">
        <v>0</v>
      </c>
      <c r="S459" s="751"/>
      <c r="T459" s="144"/>
      <c r="U459" s="144"/>
      <c r="V459" s="144"/>
      <c r="W459" s="144"/>
      <c r="X459" s="144"/>
      <c r="Y459" s="144"/>
      <c r="Z459" s="144"/>
    </row>
    <row r="460" spans="1:26" x14ac:dyDescent="0.55000000000000004">
      <c r="A460" s="133"/>
      <c r="B460" s="133"/>
      <c r="C460" s="133"/>
      <c r="D460" s="133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44"/>
      <c r="Q460" s="220"/>
      <c r="R460" s="144"/>
      <c r="S460" s="144"/>
      <c r="T460" s="144"/>
      <c r="U460" s="144"/>
      <c r="V460" s="144"/>
      <c r="W460" s="144"/>
      <c r="X460" s="144"/>
      <c r="Y460" s="144"/>
      <c r="Z460" s="144"/>
    </row>
    <row r="461" spans="1:26" x14ac:dyDescent="0.55000000000000004">
      <c r="A461" s="142"/>
      <c r="B461" s="142"/>
      <c r="C461" s="142"/>
      <c r="D461" s="142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44"/>
      <c r="Q461" s="220"/>
      <c r="R461" s="144"/>
      <c r="S461" s="144"/>
      <c r="T461" s="144"/>
      <c r="U461" s="144"/>
      <c r="V461" s="144"/>
      <c r="W461" s="144"/>
      <c r="X461" s="144"/>
      <c r="Y461" s="144"/>
      <c r="Z461" s="144"/>
    </row>
    <row r="462" spans="1:26" x14ac:dyDescent="0.55000000000000004">
      <c r="A462" s="203" t="s">
        <v>549</v>
      </c>
      <c r="B462" s="203"/>
      <c r="C462" s="203"/>
      <c r="D462" s="203"/>
      <c r="E462" s="203" t="s">
        <v>550</v>
      </c>
      <c r="F462" s="203"/>
      <c r="G462" s="203"/>
      <c r="H462" s="203"/>
      <c r="I462" s="203"/>
      <c r="J462" s="203"/>
      <c r="K462" s="203"/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</row>
    <row r="463" spans="1:26" x14ac:dyDescent="0.55000000000000004">
      <c r="A463" s="133"/>
      <c r="B463" s="133"/>
      <c r="C463" s="133"/>
      <c r="D463" s="133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44"/>
      <c r="Q463" s="237"/>
      <c r="R463" s="144"/>
      <c r="S463" s="144"/>
      <c r="T463" s="144"/>
      <c r="U463" s="144"/>
      <c r="V463" s="144"/>
      <c r="W463" s="144"/>
      <c r="X463" s="144"/>
      <c r="Y463" s="144"/>
      <c r="Z463" s="144"/>
    </row>
    <row r="464" spans="1:26" x14ac:dyDescent="0.55000000000000004">
      <c r="A464" s="133"/>
      <c r="B464" s="133"/>
      <c r="C464" s="133"/>
      <c r="D464" s="133"/>
      <c r="E464" s="144" t="s">
        <v>551</v>
      </c>
      <c r="F464" s="255"/>
      <c r="G464" s="255"/>
      <c r="H464" s="255"/>
      <c r="I464" s="255"/>
      <c r="J464" s="255"/>
      <c r="K464" s="255"/>
      <c r="L464" s="255"/>
      <c r="M464" s="255"/>
      <c r="N464" s="255"/>
      <c r="O464" s="255"/>
      <c r="P464" s="255"/>
      <c r="Q464" s="255"/>
      <c r="R464" s="255"/>
      <c r="S464" s="255"/>
      <c r="T464" s="255"/>
      <c r="U464" s="255"/>
      <c r="V464" s="255"/>
      <c r="W464" s="255"/>
      <c r="X464" s="255"/>
      <c r="Y464" s="255"/>
      <c r="Z464" s="255"/>
    </row>
    <row r="465" spans="5:26" x14ac:dyDescent="0.55000000000000004">
      <c r="E465" s="144" t="s">
        <v>552</v>
      </c>
      <c r="F465" s="271">
        <v>-413.946587537092</v>
      </c>
      <c r="G465" s="271">
        <v>-75.210291934685799</v>
      </c>
      <c r="H465" s="271">
        <v>164.17910447761196</v>
      </c>
      <c r="I465" s="271">
        <v>299.23732615522653</v>
      </c>
      <c r="J465" s="271">
        <v>463.57012750455374</v>
      </c>
      <c r="K465" s="271">
        <v>427.83262811471559</v>
      </c>
      <c r="L465" s="271">
        <v>345.90570719602977</v>
      </c>
      <c r="M465" s="271">
        <v>409.24458798001717</v>
      </c>
      <c r="N465" s="271">
        <v>86.982629355276202</v>
      </c>
      <c r="O465" s="271">
        <v>37.997140599095104</v>
      </c>
      <c r="P465" s="271">
        <v>-156.2348501515674</v>
      </c>
      <c r="Q465" s="271">
        <v>-52.305572797440881</v>
      </c>
      <c r="R465" s="271">
        <v>21.167311201197673</v>
      </c>
      <c r="S465" s="271">
        <v>68.505619673668733</v>
      </c>
      <c r="T465" s="271">
        <v>113.53354350302145</v>
      </c>
      <c r="U465" s="271">
        <v>144.29436516962849</v>
      </c>
      <c r="V465" s="271">
        <v>172.03539556902334</v>
      </c>
      <c r="W465" s="271">
        <v>190.37557731627928</v>
      </c>
      <c r="X465" s="271">
        <v>207.67443262978631</v>
      </c>
      <c r="Y465" s="271">
        <v>223.98736952376032</v>
      </c>
      <c r="Z465" s="271">
        <v>241.57572799266873</v>
      </c>
    </row>
    <row r="466" spans="5:26" x14ac:dyDescent="0.55000000000000004">
      <c r="E466" s="144" t="s">
        <v>553</v>
      </c>
      <c r="F466" s="271">
        <v>80.391671174154197</v>
      </c>
      <c r="G466" s="271">
        <v>2.1285931679628143</v>
      </c>
      <c r="H466" s="271">
        <v>148.22647894132575</v>
      </c>
      <c r="I466" s="271">
        <v>284.06101192905192</v>
      </c>
      <c r="J466" s="271">
        <v>463.57012750455374</v>
      </c>
      <c r="K466" s="271">
        <v>427.83262811471559</v>
      </c>
      <c r="L466" s="271">
        <v>360.1312665828795</v>
      </c>
      <c r="M466" s="271">
        <v>409.24458798001717</v>
      </c>
      <c r="N466" s="271">
        <v>91.425749911734329</v>
      </c>
      <c r="O466" s="271">
        <v>49.379904700979196</v>
      </c>
      <c r="P466" s="271">
        <v>-115.33374551283157</v>
      </c>
      <c r="Q466" s="271">
        <v>-52.305572797440881</v>
      </c>
      <c r="R466" s="271">
        <v>21.167311201197673</v>
      </c>
      <c r="S466" s="271">
        <v>68.505619673668733</v>
      </c>
      <c r="T466" s="271">
        <v>113.53354350302145</v>
      </c>
      <c r="U466" s="271">
        <v>144.29436516962849</v>
      </c>
      <c r="V466" s="271">
        <v>172.03539556902334</v>
      </c>
      <c r="W466" s="271">
        <v>190.37557731627928</v>
      </c>
      <c r="X466" s="271">
        <v>207.67443262978631</v>
      </c>
      <c r="Y466" s="271">
        <v>223.98736952376032</v>
      </c>
      <c r="Z466" s="271">
        <v>241.57572799266873</v>
      </c>
    </row>
    <row r="467" spans="5:26" x14ac:dyDescent="0.55000000000000004"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</row>
    <row r="468" spans="5:26" x14ac:dyDescent="0.55000000000000004">
      <c r="E468" s="144" t="s">
        <v>554</v>
      </c>
      <c r="F468" s="164">
        <v>2.9970326409495551</v>
      </c>
      <c r="G468" s="164">
        <v>3.8743196437407224</v>
      </c>
      <c r="H468" s="164">
        <v>7.7838082315694255</v>
      </c>
      <c r="I468" s="164">
        <v>9.9237326155226562</v>
      </c>
      <c r="J468" s="164">
        <v>10.75591985428051</v>
      </c>
      <c r="K468" s="164">
        <v>10.394922425952046</v>
      </c>
      <c r="L468" s="164">
        <v>9.9652605459057071</v>
      </c>
      <c r="M468" s="164">
        <v>10.783670585860625</v>
      </c>
      <c r="N468" s="164">
        <v>1.8464733599979686</v>
      </c>
      <c r="O468" s="164">
        <v>1.6181027759040238</v>
      </c>
      <c r="P468" s="164">
        <v>-4.9693018496045609E-3</v>
      </c>
      <c r="Q468" s="164">
        <v>-0.60256455756808147</v>
      </c>
      <c r="R468" s="164">
        <v>-0.41573795480412323</v>
      </c>
      <c r="S468" s="164">
        <v>0.33004885456907707</v>
      </c>
      <c r="T468" s="164">
        <v>1.3840999768184032</v>
      </c>
      <c r="U468" s="164">
        <v>2.710061581237829</v>
      </c>
      <c r="V468" s="164">
        <v>4.2211510246513821</v>
      </c>
      <c r="W468" s="164">
        <v>5.8324191943393098</v>
      </c>
      <c r="X468" s="164">
        <v>7.5616553719205406</v>
      </c>
      <c r="Y468" s="164">
        <v>9.4021243525009925</v>
      </c>
      <c r="Z468" s="164">
        <v>11.369538107088596</v>
      </c>
    </row>
    <row r="469" spans="5:26" x14ac:dyDescent="0.55000000000000004"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</row>
    <row r="470" spans="5:26" x14ac:dyDescent="0.55000000000000004">
      <c r="E470" s="299" t="s">
        <v>555</v>
      </c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</row>
    <row r="471" spans="5:26" x14ac:dyDescent="0.55000000000000004">
      <c r="E471" s="144" t="s">
        <v>556</v>
      </c>
      <c r="F471" s="150"/>
      <c r="G471" s="150"/>
      <c r="H471" s="150"/>
      <c r="I471" s="150"/>
      <c r="J471" s="150"/>
      <c r="K471" s="150"/>
      <c r="L471" s="150"/>
      <c r="M471" s="150"/>
      <c r="N471" s="150"/>
      <c r="O471" s="150"/>
      <c r="P471" s="150"/>
      <c r="Q471" s="161">
        <v>15230.600954624941</v>
      </c>
      <c r="R471" s="161">
        <v>18501.945488750593</v>
      </c>
      <c r="S471" s="161">
        <v>23608.399838638634</v>
      </c>
      <c r="T471" s="161">
        <v>27651.646175334408</v>
      </c>
      <c r="U471" s="161">
        <v>30143.278111240048</v>
      </c>
      <c r="V471" s="161">
        <v>32789.261257412254</v>
      </c>
      <c r="W471" s="161">
        <v>35527.433841541191</v>
      </c>
      <c r="X471" s="161">
        <v>38012.194274710841</v>
      </c>
      <c r="Y471" s="161">
        <v>40275.417290369231</v>
      </c>
      <c r="Z471" s="161">
        <v>41980.863568738794</v>
      </c>
    </row>
    <row r="472" spans="5:26" x14ac:dyDescent="0.55000000000000004">
      <c r="E472" s="144" t="s">
        <v>557</v>
      </c>
      <c r="F472" s="150"/>
      <c r="G472" s="150"/>
      <c r="H472" s="150"/>
      <c r="I472" s="150"/>
      <c r="J472" s="150"/>
      <c r="K472" s="150"/>
      <c r="L472" s="150"/>
      <c r="M472" s="150"/>
      <c r="N472" s="150"/>
      <c r="O472" s="150"/>
      <c r="P472" s="150"/>
      <c r="Q472" s="161">
        <v>-14751.5974299396</v>
      </c>
      <c r="R472" s="161">
        <v>-16694.081296810182</v>
      </c>
      <c r="S472" s="161">
        <v>-20477.202823556712</v>
      </c>
      <c r="T472" s="161">
        <v>-24115.850635300958</v>
      </c>
      <c r="U472" s="161">
        <v>-26384.838695822669</v>
      </c>
      <c r="V472" s="161">
        <v>-28515.00865844221</v>
      </c>
      <c r="W472" s="161">
        <v>-30873.222257112902</v>
      </c>
      <c r="X472" s="161">
        <v>-33095.470497551105</v>
      </c>
      <c r="Y472" s="161">
        <v>-35104.321978711007</v>
      </c>
      <c r="Z472" s="161">
        <v>-36634.751720957567</v>
      </c>
    </row>
    <row r="473" spans="5:26" x14ac:dyDescent="0.55000000000000004">
      <c r="E473" s="144" t="s">
        <v>558</v>
      </c>
      <c r="F473" s="150"/>
      <c r="G473" s="150"/>
      <c r="H473" s="150"/>
      <c r="I473" s="150"/>
      <c r="J473" s="150"/>
      <c r="K473" s="150"/>
      <c r="L473" s="150"/>
      <c r="M473" s="150"/>
      <c r="N473" s="150"/>
      <c r="O473" s="150"/>
      <c r="P473" s="150"/>
      <c r="Q473" s="161">
        <v>-110</v>
      </c>
      <c r="R473" s="161">
        <v>-110</v>
      </c>
      <c r="S473" s="161">
        <v>-110</v>
      </c>
      <c r="T473" s="161">
        <v>-110</v>
      </c>
      <c r="U473" s="161">
        <v>-110</v>
      </c>
      <c r="V473" s="161">
        <v>-110</v>
      </c>
      <c r="W473" s="161">
        <v>-110</v>
      </c>
      <c r="X473" s="161">
        <v>-110</v>
      </c>
      <c r="Y473" s="161">
        <v>-110</v>
      </c>
      <c r="Z473" s="161">
        <v>-110</v>
      </c>
    </row>
    <row r="474" spans="5:26" x14ac:dyDescent="0.55000000000000004">
      <c r="E474" s="144" t="s">
        <v>559</v>
      </c>
      <c r="F474" s="150"/>
      <c r="G474" s="150"/>
      <c r="H474" s="150"/>
      <c r="I474" s="150"/>
      <c r="J474" s="150"/>
      <c r="K474" s="150"/>
      <c r="L474" s="150"/>
      <c r="M474" s="150"/>
      <c r="N474" s="150"/>
      <c r="O474" s="150"/>
      <c r="P474" s="150"/>
      <c r="Q474" s="161">
        <v>56.773238097006988</v>
      </c>
      <c r="R474" s="161">
        <v>-151.7381560082865</v>
      </c>
      <c r="S474" s="161">
        <v>-286.08127903533682</v>
      </c>
      <c r="T474" s="161">
        <v>-413.86767668782608</v>
      </c>
      <c r="U474" s="161">
        <v>-501.16494148074327</v>
      </c>
      <c r="V474" s="161">
        <v>-579.89222980390605</v>
      </c>
      <c r="W474" s="161">
        <v>-631.94050470673551</v>
      </c>
      <c r="X474" s="161">
        <v>-681.03356110441132</v>
      </c>
      <c r="Y474" s="161">
        <v>-727.32864343406641</v>
      </c>
      <c r="Z474" s="161">
        <v>-777.24329146181742</v>
      </c>
    </row>
    <row r="475" spans="5:26" x14ac:dyDescent="0.55000000000000004">
      <c r="E475" s="144" t="s">
        <v>560</v>
      </c>
      <c r="F475" s="150"/>
      <c r="G475" s="150"/>
      <c r="H475" s="150"/>
      <c r="I475" s="150"/>
      <c r="J475" s="150"/>
      <c r="K475" s="150"/>
      <c r="L475" s="150"/>
      <c r="M475" s="150"/>
      <c r="N475" s="150"/>
      <c r="O475" s="150"/>
      <c r="P475" s="150"/>
      <c r="Q475" s="161">
        <v>105.70149263903085</v>
      </c>
      <c r="R475" s="161">
        <v>-506.80134884427093</v>
      </c>
      <c r="S475" s="161">
        <v>-1462.8078108027466</v>
      </c>
      <c r="T475" s="161">
        <v>-603.8227037865654</v>
      </c>
      <c r="U475" s="161">
        <v>-663.44412115078285</v>
      </c>
      <c r="V475" s="161">
        <v>-782.74006186810311</v>
      </c>
      <c r="W475" s="161">
        <v>-851.53049111960627</v>
      </c>
      <c r="X475" s="161">
        <v>-759.10668428170629</v>
      </c>
      <c r="Y475" s="161">
        <v>-690.13946181763549</v>
      </c>
      <c r="Z475" s="161">
        <v>-481.91904614476016</v>
      </c>
    </row>
    <row r="476" spans="5:26" x14ac:dyDescent="0.55000000000000004">
      <c r="E476" s="176" t="s">
        <v>561</v>
      </c>
      <c r="F476" s="246">
        <v>0</v>
      </c>
      <c r="G476" s="246">
        <v>0</v>
      </c>
      <c r="H476" s="246">
        <v>0</v>
      </c>
      <c r="I476" s="246">
        <v>0</v>
      </c>
      <c r="J476" s="246">
        <v>0</v>
      </c>
      <c r="K476" s="246">
        <v>0</v>
      </c>
      <c r="L476" s="246">
        <v>0</v>
      </c>
      <c r="M476" s="246">
        <v>0</v>
      </c>
      <c r="N476" s="246">
        <v>0</v>
      </c>
      <c r="O476" s="246">
        <v>0</v>
      </c>
      <c r="P476" s="246">
        <v>0</v>
      </c>
      <c r="Q476" s="246">
        <v>531.47825542137821</v>
      </c>
      <c r="R476" s="246">
        <v>1039.3246870878534</v>
      </c>
      <c r="S476" s="246">
        <v>1272.3079252438383</v>
      </c>
      <c r="T476" s="246">
        <v>2408.1051595590588</v>
      </c>
      <c r="U476" s="246">
        <v>2483.8303527858525</v>
      </c>
      <c r="V476" s="246">
        <v>2801.6203072980352</v>
      </c>
      <c r="W476" s="246">
        <v>3060.7405886019469</v>
      </c>
      <c r="X476" s="246">
        <v>3366.5835317736182</v>
      </c>
      <c r="Y476" s="246">
        <v>3643.6272064065224</v>
      </c>
      <c r="Z476" s="246">
        <v>3976.9495101746493</v>
      </c>
    </row>
    <row r="477" spans="5:26" x14ac:dyDescent="0.55000000000000004">
      <c r="E477" s="144" t="s">
        <v>562</v>
      </c>
      <c r="F477" s="161">
        <v>-167</v>
      </c>
      <c r="G477" s="161">
        <v>-73</v>
      </c>
      <c r="H477" s="161">
        <v>-163</v>
      </c>
      <c r="I477" s="161">
        <v>-220</v>
      </c>
      <c r="J477" s="161">
        <v>-287</v>
      </c>
      <c r="K477" s="161">
        <v>-268</v>
      </c>
      <c r="L477" s="161">
        <v>-312</v>
      </c>
      <c r="M477" s="161">
        <v>-451</v>
      </c>
      <c r="N477" s="161">
        <v>-379</v>
      </c>
      <c r="O477" s="161">
        <v>-476</v>
      </c>
      <c r="P477" s="161">
        <v>-371</v>
      </c>
      <c r="Q477" s="161">
        <v>-612.11087514371309</v>
      </c>
      <c r="R477" s="161">
        <v>-658.42096032791756</v>
      </c>
      <c r="S477" s="161">
        <v>-842.56519559052242</v>
      </c>
      <c r="T477" s="161">
        <v>-979.94681788584205</v>
      </c>
      <c r="U477" s="161">
        <v>-910.53491973037808</v>
      </c>
      <c r="V477" s="161">
        <v>-990.76726185001746</v>
      </c>
      <c r="W477" s="161">
        <v>-1073.0978421693887</v>
      </c>
      <c r="X477" s="161">
        <v>-1146.8858208334859</v>
      </c>
      <c r="Y477" s="161">
        <v>-1214.2114944253972</v>
      </c>
      <c r="Z477" s="161">
        <v>-1263.8083429379064</v>
      </c>
    </row>
    <row r="478" spans="5:26" x14ac:dyDescent="0.55000000000000004">
      <c r="E478" s="144" t="s">
        <v>563</v>
      </c>
      <c r="F478" s="161">
        <v>-124</v>
      </c>
      <c r="G478" s="161">
        <v>-169</v>
      </c>
      <c r="H478" s="161">
        <v>-107</v>
      </c>
      <c r="I478" s="161">
        <v>-147</v>
      </c>
      <c r="J478" s="161">
        <v>-181</v>
      </c>
      <c r="K478" s="161">
        <v>-215</v>
      </c>
      <c r="L478" s="161">
        <v>-287</v>
      </c>
      <c r="M478" s="161">
        <v>-321</v>
      </c>
      <c r="N478" s="161">
        <v>-308</v>
      </c>
      <c r="O478" s="161">
        <v>-397</v>
      </c>
      <c r="P478" s="161">
        <v>-400</v>
      </c>
      <c r="Q478" s="161">
        <v>-400</v>
      </c>
      <c r="R478" s="161">
        <v>-350</v>
      </c>
      <c r="S478" s="161">
        <v>-200</v>
      </c>
      <c r="T478" s="161">
        <v>-200</v>
      </c>
      <c r="U478" s="161">
        <v>-100</v>
      </c>
      <c r="V478" s="161">
        <v>-100</v>
      </c>
      <c r="W478" s="161">
        <v>-100</v>
      </c>
      <c r="X478" s="161">
        <v>-100</v>
      </c>
      <c r="Y478" s="161">
        <v>-100</v>
      </c>
      <c r="Z478" s="161">
        <v>-100</v>
      </c>
    </row>
    <row r="479" spans="5:26" x14ac:dyDescent="0.55000000000000004">
      <c r="E479" s="144" t="s">
        <v>564</v>
      </c>
      <c r="F479" s="161">
        <v>0</v>
      </c>
      <c r="G479" s="161">
        <v>0</v>
      </c>
      <c r="H479" s="161">
        <v>0</v>
      </c>
      <c r="I479" s="161">
        <v>-55</v>
      </c>
      <c r="J479" s="161">
        <v>-149</v>
      </c>
      <c r="K479" s="161">
        <v>-15</v>
      </c>
      <c r="L479" s="161">
        <v>-4</v>
      </c>
      <c r="M479" s="161">
        <v>41</v>
      </c>
      <c r="N479" s="161">
        <v>29</v>
      </c>
      <c r="O479" s="161">
        <v>-113</v>
      </c>
      <c r="P479" s="161">
        <v>-40</v>
      </c>
      <c r="Q479" s="161">
        <v>0</v>
      </c>
      <c r="R479" s="161">
        <v>0</v>
      </c>
      <c r="S479" s="161">
        <v>0</v>
      </c>
      <c r="T479" s="161">
        <v>0</v>
      </c>
      <c r="U479" s="161">
        <v>0</v>
      </c>
      <c r="V479" s="161">
        <v>0</v>
      </c>
      <c r="W479" s="161">
        <v>0</v>
      </c>
      <c r="X479" s="161">
        <v>0</v>
      </c>
      <c r="Y479" s="161">
        <v>0</v>
      </c>
      <c r="Z479" s="161">
        <v>0</v>
      </c>
    </row>
    <row r="480" spans="5:26" x14ac:dyDescent="0.55000000000000004">
      <c r="E480" s="144" t="s">
        <v>336</v>
      </c>
      <c r="F480" s="161">
        <v>5</v>
      </c>
      <c r="G480" s="161">
        <v>3</v>
      </c>
      <c r="H480" s="161">
        <v>-15</v>
      </c>
      <c r="I480" s="161">
        <v>-3</v>
      </c>
      <c r="J480" s="161">
        <v>-200</v>
      </c>
      <c r="K480" s="161">
        <v>91</v>
      </c>
      <c r="L480" s="161">
        <v>-487</v>
      </c>
      <c r="M480" s="161">
        <v>240</v>
      </c>
      <c r="N480" s="161">
        <v>391</v>
      </c>
      <c r="O480" s="161">
        <v>47</v>
      </c>
      <c r="P480" s="161">
        <v>132</v>
      </c>
      <c r="Q480" s="161">
        <v>0</v>
      </c>
      <c r="R480" s="161">
        <v>0</v>
      </c>
      <c r="S480" s="161">
        <v>0</v>
      </c>
      <c r="T480" s="161">
        <v>0</v>
      </c>
      <c r="U480" s="161">
        <v>0</v>
      </c>
      <c r="V480" s="161">
        <v>0</v>
      </c>
      <c r="W480" s="161">
        <v>0</v>
      </c>
      <c r="X480" s="161">
        <v>0</v>
      </c>
      <c r="Y480" s="161">
        <v>0</v>
      </c>
      <c r="Z480" s="161">
        <v>0</v>
      </c>
    </row>
    <row r="481" spans="1:26" x14ac:dyDescent="0.55000000000000004">
      <c r="A481" s="176"/>
      <c r="B481" s="176"/>
      <c r="C481" s="176"/>
      <c r="D481" s="176"/>
      <c r="E481" s="176" t="s">
        <v>565</v>
      </c>
      <c r="F481" s="246">
        <v>-286</v>
      </c>
      <c r="G481" s="246">
        <v>-239</v>
      </c>
      <c r="H481" s="246">
        <v>-285</v>
      </c>
      <c r="I481" s="246">
        <v>-425</v>
      </c>
      <c r="J481" s="246">
        <v>-817</v>
      </c>
      <c r="K481" s="246">
        <v>-407</v>
      </c>
      <c r="L481" s="246">
        <v>-1090</v>
      </c>
      <c r="M481" s="246">
        <v>-491</v>
      </c>
      <c r="N481" s="246">
        <v>-267</v>
      </c>
      <c r="O481" s="246">
        <v>-939</v>
      </c>
      <c r="P481" s="246">
        <v>-679</v>
      </c>
      <c r="Q481" s="246">
        <v>-1012.1108751437131</v>
      </c>
      <c r="R481" s="246">
        <v>-1008.4209603279176</v>
      </c>
      <c r="S481" s="246">
        <v>-1042.5651955905223</v>
      </c>
      <c r="T481" s="246">
        <v>-1179.9468178858419</v>
      </c>
      <c r="U481" s="246">
        <v>-1010.5349197303781</v>
      </c>
      <c r="V481" s="246">
        <v>-1090.7672618500173</v>
      </c>
      <c r="W481" s="246">
        <v>-1173.0978421693887</v>
      </c>
      <c r="X481" s="246">
        <v>-1246.8858208334859</v>
      </c>
      <c r="Y481" s="246">
        <v>-1314.2114944253972</v>
      </c>
      <c r="Z481" s="246">
        <v>-1363.8083429379064</v>
      </c>
    </row>
    <row r="482" spans="1:26" x14ac:dyDescent="0.55000000000000004">
      <c r="A482" s="133"/>
      <c r="B482" s="133"/>
      <c r="C482" s="133"/>
      <c r="D482" s="133"/>
      <c r="E482" s="144" t="s">
        <v>566</v>
      </c>
      <c r="F482" s="161">
        <v>0</v>
      </c>
      <c r="G482" s="161">
        <v>-7</v>
      </c>
      <c r="H482" s="161">
        <v>-43</v>
      </c>
      <c r="I482" s="161">
        <v>-136</v>
      </c>
      <c r="J482" s="161">
        <v>-406</v>
      </c>
      <c r="K482" s="161">
        <v>-696</v>
      </c>
      <c r="L482" s="161">
        <v>-402</v>
      </c>
      <c r="M482" s="161">
        <v>-201</v>
      </c>
      <c r="N482" s="161">
        <v>0</v>
      </c>
      <c r="O482" s="161">
        <v>-12</v>
      </c>
      <c r="P482" s="161">
        <v>0</v>
      </c>
      <c r="Q482" s="161">
        <v>0</v>
      </c>
      <c r="R482" s="161">
        <v>0</v>
      </c>
      <c r="S482" s="161">
        <v>0</v>
      </c>
      <c r="T482" s="161">
        <v>0</v>
      </c>
      <c r="U482" s="161">
        <v>0</v>
      </c>
      <c r="V482" s="161">
        <v>0</v>
      </c>
      <c r="W482" s="161">
        <v>0</v>
      </c>
      <c r="X482" s="161">
        <v>0</v>
      </c>
      <c r="Y482" s="161">
        <v>0</v>
      </c>
      <c r="Z482" s="161">
        <v>0</v>
      </c>
    </row>
    <row r="483" spans="1:26" x14ac:dyDescent="0.55000000000000004">
      <c r="A483" s="133"/>
      <c r="B483" s="133"/>
      <c r="C483" s="133"/>
      <c r="D483" s="133"/>
      <c r="E483" s="144" t="s">
        <v>567</v>
      </c>
      <c r="F483" s="161">
        <v>832</v>
      </c>
      <c r="G483" s="161">
        <v>-1143</v>
      </c>
      <c r="H483" s="161">
        <v>0</v>
      </c>
      <c r="I483" s="161">
        <v>-108</v>
      </c>
      <c r="J483" s="161">
        <v>-4</v>
      </c>
      <c r="K483" s="161">
        <v>0</v>
      </c>
      <c r="L483" s="161">
        <v>0</v>
      </c>
      <c r="M483" s="161">
        <v>92</v>
      </c>
      <c r="N483" s="161">
        <v>57</v>
      </c>
      <c r="O483" s="161">
        <v>-318</v>
      </c>
      <c r="P483" s="161">
        <v>1043</v>
      </c>
      <c r="Q483" s="161">
        <v>0</v>
      </c>
      <c r="R483" s="161">
        <v>0</v>
      </c>
      <c r="S483" s="161">
        <v>0</v>
      </c>
      <c r="T483" s="161">
        <v>0</v>
      </c>
      <c r="U483" s="161">
        <v>0</v>
      </c>
      <c r="V483" s="161">
        <v>0</v>
      </c>
      <c r="W483" s="161">
        <v>0</v>
      </c>
      <c r="X483" s="161">
        <v>0</v>
      </c>
      <c r="Y483" s="161">
        <v>0</v>
      </c>
      <c r="Z483" s="161">
        <v>0</v>
      </c>
    </row>
    <row r="484" spans="1:26" x14ac:dyDescent="0.55000000000000004">
      <c r="A484" s="133"/>
      <c r="B484" s="133"/>
      <c r="C484" s="133"/>
      <c r="D484" s="133"/>
      <c r="E484" s="144" t="s">
        <v>568</v>
      </c>
      <c r="F484" s="161">
        <v>0</v>
      </c>
      <c r="G484" s="161">
        <v>0</v>
      </c>
      <c r="H484" s="161">
        <v>0</v>
      </c>
      <c r="I484" s="161">
        <v>-116</v>
      </c>
      <c r="J484" s="161">
        <v>-201</v>
      </c>
      <c r="K484" s="161">
        <v>-278</v>
      </c>
      <c r="L484" s="161">
        <v>-250</v>
      </c>
      <c r="M484" s="161">
        <v>-197</v>
      </c>
      <c r="N484" s="161">
        <v>-209</v>
      </c>
      <c r="O484" s="161">
        <v>-228</v>
      </c>
      <c r="P484" s="161">
        <v>-50</v>
      </c>
      <c r="Q484" s="161">
        <v>0</v>
      </c>
      <c r="R484" s="161">
        <v>0</v>
      </c>
      <c r="S484" s="161">
        <v>-63.89422048154136</v>
      </c>
      <c r="T484" s="161">
        <v>-206.78645133758624</v>
      </c>
      <c r="U484" s="161">
        <v>-342.70471065887068</v>
      </c>
      <c r="V484" s="161">
        <v>-435.55725593861109</v>
      </c>
      <c r="W484" s="161">
        <v>-519.29446260961174</v>
      </c>
      <c r="X484" s="161">
        <v>-574.6549004608022</v>
      </c>
      <c r="Y484" s="161">
        <v>-626.87206044742175</v>
      </c>
      <c r="Z484" s="161">
        <v>-676.11319347078233</v>
      </c>
    </row>
    <row r="485" spans="1:26" x14ac:dyDescent="0.55000000000000004">
      <c r="A485" s="133"/>
      <c r="B485" s="133"/>
      <c r="C485" s="133"/>
      <c r="D485" s="133"/>
      <c r="E485" s="144" t="s">
        <v>569</v>
      </c>
      <c r="F485" s="161">
        <v>0</v>
      </c>
      <c r="G485" s="161">
        <v>0</v>
      </c>
      <c r="H485" s="161">
        <v>432</v>
      </c>
      <c r="I485" s="161">
        <v>0</v>
      </c>
      <c r="J485" s="161">
        <v>0</v>
      </c>
      <c r="K485" s="161">
        <v>0</v>
      </c>
      <c r="L485" s="161">
        <v>13</v>
      </c>
      <c r="M485" s="161">
        <v>0</v>
      </c>
      <c r="N485" s="161">
        <v>-82</v>
      </c>
      <c r="O485" s="161">
        <v>-157</v>
      </c>
      <c r="P485" s="161">
        <v>-147</v>
      </c>
      <c r="Q485" s="161">
        <v>0</v>
      </c>
      <c r="R485" s="161">
        <v>0</v>
      </c>
      <c r="S485" s="161">
        <v>0</v>
      </c>
      <c r="T485" s="161">
        <v>0</v>
      </c>
      <c r="U485" s="161">
        <v>0</v>
      </c>
      <c r="V485" s="161">
        <v>0</v>
      </c>
      <c r="W485" s="161">
        <v>0</v>
      </c>
      <c r="X485" s="161">
        <v>0</v>
      </c>
      <c r="Y485" s="161">
        <v>0</v>
      </c>
      <c r="Z485" s="161">
        <v>0</v>
      </c>
    </row>
    <row r="486" spans="1:26" x14ac:dyDescent="0.55000000000000004">
      <c r="A486" s="176"/>
      <c r="B486" s="176"/>
      <c r="C486" s="176"/>
      <c r="D486" s="176"/>
      <c r="E486" s="176" t="s">
        <v>570</v>
      </c>
      <c r="F486" s="246">
        <v>832</v>
      </c>
      <c r="G486" s="246">
        <v>-1150</v>
      </c>
      <c r="H486" s="246">
        <v>389</v>
      </c>
      <c r="I486" s="246">
        <v>-360</v>
      </c>
      <c r="J486" s="246">
        <v>-611</v>
      </c>
      <c r="K486" s="246">
        <v>-974</v>
      </c>
      <c r="L486" s="246">
        <v>-639</v>
      </c>
      <c r="M486" s="246">
        <v>-306</v>
      </c>
      <c r="N486" s="246">
        <v>-234</v>
      </c>
      <c r="O486" s="246">
        <v>-715</v>
      </c>
      <c r="P486" s="246">
        <v>846</v>
      </c>
      <c r="Q486" s="246">
        <v>0</v>
      </c>
      <c r="R486" s="246">
        <v>0</v>
      </c>
      <c r="S486" s="246">
        <v>-63.89422048154136</v>
      </c>
      <c r="T486" s="246">
        <v>-206.78645133758624</v>
      </c>
      <c r="U486" s="246">
        <v>-342.70471065887068</v>
      </c>
      <c r="V486" s="246">
        <v>-435.55725593861109</v>
      </c>
      <c r="W486" s="246">
        <v>-519.29446260961174</v>
      </c>
      <c r="X486" s="246">
        <v>-574.6549004608022</v>
      </c>
      <c r="Y486" s="246">
        <v>-626.87206044742175</v>
      </c>
      <c r="Z486" s="246">
        <v>-676.11319347078233</v>
      </c>
    </row>
    <row r="487" spans="1:26" x14ac:dyDescent="0.55000000000000004">
      <c r="A487" s="133"/>
      <c r="B487" s="133"/>
      <c r="C487" s="133"/>
      <c r="D487" s="133"/>
      <c r="E487" s="144" t="s">
        <v>571</v>
      </c>
      <c r="F487" s="161">
        <v>4</v>
      </c>
      <c r="G487" s="161">
        <v>-16</v>
      </c>
      <c r="H487" s="161">
        <v>94</v>
      </c>
      <c r="I487" s="161">
        <v>64</v>
      </c>
      <c r="J487" s="161">
        <v>32</v>
      </c>
      <c r="K487" s="161">
        <v>-141</v>
      </c>
      <c r="L487" s="161">
        <v>-27</v>
      </c>
      <c r="M487" s="161">
        <v>5</v>
      </c>
      <c r="N487" s="161">
        <v>-67</v>
      </c>
      <c r="O487" s="161">
        <v>15</v>
      </c>
      <c r="P487" s="161">
        <v>-14</v>
      </c>
      <c r="Q487" s="161">
        <v>0</v>
      </c>
      <c r="R487" s="161">
        <v>0</v>
      </c>
      <c r="S487" s="161">
        <v>0</v>
      </c>
      <c r="T487" s="161">
        <v>0</v>
      </c>
      <c r="U487" s="161">
        <v>0</v>
      </c>
      <c r="V487" s="161">
        <v>0</v>
      </c>
      <c r="W487" s="161">
        <v>0</v>
      </c>
      <c r="X487" s="161">
        <v>0</v>
      </c>
      <c r="Y487" s="161">
        <v>0</v>
      </c>
      <c r="Z487" s="161">
        <v>0</v>
      </c>
    </row>
    <row r="488" spans="1:26" x14ac:dyDescent="0.55000000000000004">
      <c r="A488" s="176"/>
      <c r="B488" s="176"/>
      <c r="C488" s="176"/>
      <c r="D488" s="176"/>
      <c r="E488" s="176" t="s">
        <v>347</v>
      </c>
      <c r="F488" s="246">
        <v>550</v>
      </c>
      <c r="G488" s="246">
        <v>-1405</v>
      </c>
      <c r="H488" s="246">
        <v>198</v>
      </c>
      <c r="I488" s="246">
        <v>-721</v>
      </c>
      <c r="J488" s="246">
        <v>-1396</v>
      </c>
      <c r="K488" s="246">
        <v>-1522</v>
      </c>
      <c r="L488" s="246">
        <v>-1756</v>
      </c>
      <c r="M488" s="246">
        <v>-792</v>
      </c>
      <c r="N488" s="246">
        <v>-568</v>
      </c>
      <c r="O488" s="246">
        <v>-1639</v>
      </c>
      <c r="P488" s="246">
        <v>153</v>
      </c>
      <c r="Q488" s="246">
        <v>-480.63261972233488</v>
      </c>
      <c r="R488" s="246">
        <v>30.903726759935807</v>
      </c>
      <c r="S488" s="246">
        <v>165.84850917177465</v>
      </c>
      <c r="T488" s="246">
        <v>1021.3718903356307</v>
      </c>
      <c r="U488" s="246">
        <v>1130.5907223966037</v>
      </c>
      <c r="V488" s="246">
        <v>1275.2957895094069</v>
      </c>
      <c r="W488" s="246">
        <v>1368.3482838229465</v>
      </c>
      <c r="X488" s="246">
        <v>1545.04281047933</v>
      </c>
      <c r="Y488" s="246">
        <v>1702.5436515337035</v>
      </c>
      <c r="Z488" s="246">
        <v>1937.0279737659607</v>
      </c>
    </row>
    <row r="489" spans="1:26" x14ac:dyDescent="0.55000000000000004">
      <c r="A489" s="133"/>
      <c r="B489" s="133"/>
      <c r="C489" s="133"/>
      <c r="D489" s="133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</row>
    <row r="490" spans="1:26" x14ac:dyDescent="0.55000000000000004">
      <c r="A490" s="133"/>
      <c r="B490" s="133"/>
      <c r="C490" s="133"/>
      <c r="D490" s="133"/>
      <c r="E490" s="144" t="s">
        <v>572</v>
      </c>
      <c r="F490" s="177"/>
      <c r="G490" s="177"/>
      <c r="H490" s="177"/>
      <c r="I490" s="177"/>
      <c r="J490" s="177"/>
      <c r="K490" s="177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</row>
    <row r="491" spans="1:26" x14ac:dyDescent="0.55000000000000004">
      <c r="A491" s="133"/>
      <c r="B491" s="133"/>
      <c r="C491" s="133"/>
      <c r="D491" s="133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</row>
    <row r="492" spans="1:26" x14ac:dyDescent="0.55000000000000004">
      <c r="A492" s="142"/>
      <c r="B492" s="142"/>
      <c r="C492" s="142"/>
      <c r="D492" s="142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44"/>
      <c r="Q492" s="139"/>
      <c r="R492" s="144"/>
      <c r="S492" s="144"/>
      <c r="T492" s="144"/>
      <c r="U492" s="144"/>
      <c r="V492" s="144"/>
      <c r="W492" s="144"/>
      <c r="X492" s="144"/>
      <c r="Y492" s="144"/>
      <c r="Z492" s="144"/>
    </row>
    <row r="493" spans="1:26" x14ac:dyDescent="0.55000000000000004">
      <c r="A493" s="203" t="s">
        <v>573</v>
      </c>
      <c r="B493" s="203"/>
      <c r="C493" s="20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</row>
    <row r="494" spans="1:26" x14ac:dyDescent="0.55000000000000004">
      <c r="A494" s="133"/>
      <c r="B494" s="133"/>
      <c r="C494" s="133"/>
      <c r="D494" s="133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44"/>
      <c r="Q494" s="220"/>
      <c r="R494" s="144"/>
      <c r="S494" s="144"/>
      <c r="T494" s="144"/>
      <c r="U494" s="144"/>
      <c r="V494" s="144"/>
      <c r="W494" s="144"/>
      <c r="X494" s="144"/>
      <c r="Y494" s="144"/>
      <c r="Z494" s="144"/>
    </row>
    <row r="495" spans="1:26" x14ac:dyDescent="0.55000000000000004">
      <c r="A495" s="133"/>
      <c r="B495" s="133"/>
      <c r="C495" s="133"/>
      <c r="D495" s="133"/>
      <c r="E495" s="176" t="s">
        <v>574</v>
      </c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44"/>
      <c r="Q495" s="300">
        <v>0.03</v>
      </c>
      <c r="R495" s="144" t="s">
        <v>575</v>
      </c>
      <c r="S495" s="144"/>
      <c r="T495" s="144"/>
      <c r="U495" s="144"/>
      <c r="V495" s="144"/>
      <c r="W495" s="144"/>
      <c r="X495" s="144"/>
      <c r="Y495" s="144"/>
      <c r="Z495" s="144"/>
    </row>
    <row r="496" spans="1:26" x14ac:dyDescent="0.55000000000000004">
      <c r="A496" s="133"/>
      <c r="B496" s="133"/>
      <c r="C496" s="133"/>
      <c r="D496" s="133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44"/>
      <c r="Q496" s="220"/>
      <c r="R496" s="144"/>
      <c r="S496" s="144"/>
      <c r="T496" s="144"/>
      <c r="U496" s="144"/>
      <c r="V496" s="144"/>
      <c r="W496" s="144"/>
      <c r="X496" s="144"/>
      <c r="Y496" s="144"/>
      <c r="Z496" s="144"/>
    </row>
    <row r="497" spans="5:67" x14ac:dyDescent="0.55000000000000004">
      <c r="E497" s="141"/>
      <c r="F497" s="141" t="s">
        <v>576</v>
      </c>
      <c r="G497" s="141" t="s">
        <v>576</v>
      </c>
      <c r="H497" s="141" t="s">
        <v>576</v>
      </c>
      <c r="I497" s="141" t="s">
        <v>576</v>
      </c>
      <c r="J497" s="141" t="s">
        <v>576</v>
      </c>
      <c r="K497" s="141" t="s">
        <v>576</v>
      </c>
      <c r="L497" s="141" t="s">
        <v>576</v>
      </c>
      <c r="M497" s="141" t="s">
        <v>576</v>
      </c>
      <c r="N497" s="141" t="s">
        <v>576</v>
      </c>
      <c r="O497" s="141" t="s">
        <v>576</v>
      </c>
      <c r="P497" s="141" t="s">
        <v>576</v>
      </c>
      <c r="Q497" s="356" t="s">
        <v>363</v>
      </c>
      <c r="R497" s="141" t="s">
        <v>363</v>
      </c>
      <c r="S497" s="141" t="s">
        <v>363</v>
      </c>
      <c r="T497" s="141" t="s">
        <v>363</v>
      </c>
      <c r="U497" s="141" t="s">
        <v>363</v>
      </c>
      <c r="V497" s="141" t="s">
        <v>363</v>
      </c>
      <c r="W497" s="141" t="s">
        <v>363</v>
      </c>
      <c r="X497" s="141" t="s">
        <v>363</v>
      </c>
      <c r="Y497" s="141" t="s">
        <v>363</v>
      </c>
      <c r="Z497" s="141" t="s">
        <v>363</v>
      </c>
      <c r="AA497" s="141" t="s">
        <v>577</v>
      </c>
      <c r="AB497" s="141" t="s">
        <v>578</v>
      </c>
      <c r="AC497" s="141" t="s">
        <v>578</v>
      </c>
      <c r="AD497" s="141" t="s">
        <v>578</v>
      </c>
      <c r="AE497" s="141" t="s">
        <v>578</v>
      </c>
      <c r="AF497" s="141" t="s">
        <v>578</v>
      </c>
      <c r="AG497" s="141" t="s">
        <v>578</v>
      </c>
      <c r="AH497" s="141" t="s">
        <v>578</v>
      </c>
      <c r="AI497" s="141" t="s">
        <v>578</v>
      </c>
      <c r="AJ497" s="141" t="s">
        <v>578</v>
      </c>
      <c r="AK497" s="141" t="s">
        <v>578</v>
      </c>
      <c r="AL497" s="141" t="s">
        <v>578</v>
      </c>
      <c r="AM497" s="141" t="s">
        <v>578</v>
      </c>
      <c r="AN497" s="141" t="s">
        <v>578</v>
      </c>
      <c r="AO497" s="141" t="s">
        <v>578</v>
      </c>
      <c r="AP497" s="141" t="s">
        <v>578</v>
      </c>
      <c r="AQ497" s="141" t="s">
        <v>578</v>
      </c>
      <c r="AR497" s="141" t="s">
        <v>578</v>
      </c>
      <c r="AS497" s="141" t="s">
        <v>578</v>
      </c>
      <c r="AT497" s="141" t="s">
        <v>578</v>
      </c>
      <c r="AU497" s="141" t="s">
        <v>578</v>
      </c>
      <c r="AV497" s="141" t="s">
        <v>578</v>
      </c>
      <c r="AW497" s="141" t="s">
        <v>578</v>
      </c>
      <c r="AX497" s="141" t="s">
        <v>578</v>
      </c>
      <c r="AY497" s="141" t="s">
        <v>578</v>
      </c>
      <c r="AZ497" s="141" t="s">
        <v>578</v>
      </c>
      <c r="BA497" s="141" t="s">
        <v>578</v>
      </c>
      <c r="BB497" s="141" t="s">
        <v>578</v>
      </c>
      <c r="BC497" s="141" t="s">
        <v>578</v>
      </c>
      <c r="BD497" s="141" t="s">
        <v>578</v>
      </c>
      <c r="BE497" s="141" t="s">
        <v>578</v>
      </c>
      <c r="BF497" s="141" t="s">
        <v>578</v>
      </c>
      <c r="BG497" s="141" t="s">
        <v>578</v>
      </c>
      <c r="BH497" s="141" t="s">
        <v>578</v>
      </c>
      <c r="BI497" s="141" t="s">
        <v>578</v>
      </c>
      <c r="BJ497" s="141" t="s">
        <v>578</v>
      </c>
      <c r="BK497" s="141" t="s">
        <v>578</v>
      </c>
      <c r="BL497" s="141" t="s">
        <v>578</v>
      </c>
      <c r="BM497" s="141" t="s">
        <v>578</v>
      </c>
      <c r="BN497" s="141" t="s">
        <v>578</v>
      </c>
      <c r="BO497" s="141"/>
    </row>
    <row r="498" spans="5:67" x14ac:dyDescent="0.55000000000000004">
      <c r="E498" s="197"/>
      <c r="F498" s="301">
        <v>2012</v>
      </c>
      <c r="G498" s="301">
        <v>2013</v>
      </c>
      <c r="H498" s="301">
        <v>2014</v>
      </c>
      <c r="I498" s="301">
        <v>2015</v>
      </c>
      <c r="J498" s="301">
        <v>2016</v>
      </c>
      <c r="K498" s="301">
        <v>2017</v>
      </c>
      <c r="L498" s="301">
        <v>2018</v>
      </c>
      <c r="M498" s="301">
        <v>2019</v>
      </c>
      <c r="N498" s="301">
        <v>2020</v>
      </c>
      <c r="O498" s="301">
        <v>2021</v>
      </c>
      <c r="P498" s="301">
        <v>2022</v>
      </c>
      <c r="Q498" s="302">
        <v>2023</v>
      </c>
      <c r="R498" s="301">
        <v>2024</v>
      </c>
      <c r="S498" s="301">
        <v>2025</v>
      </c>
      <c r="T498" s="301">
        <v>2026</v>
      </c>
      <c r="U498" s="301">
        <v>2027</v>
      </c>
      <c r="V498" s="301">
        <v>2028</v>
      </c>
      <c r="W498" s="301">
        <v>2029</v>
      </c>
      <c r="X498" s="301">
        <v>2030</v>
      </c>
      <c r="Y498" s="301">
        <v>2031</v>
      </c>
      <c r="Z498" s="301">
        <v>2032</v>
      </c>
      <c r="AA498" s="301">
        <v>2033</v>
      </c>
      <c r="AB498" s="301">
        <v>2034</v>
      </c>
      <c r="AC498" s="301">
        <v>2035</v>
      </c>
      <c r="AD498" s="301">
        <v>2036</v>
      </c>
      <c r="AE498" s="301">
        <v>2037</v>
      </c>
      <c r="AF498" s="301">
        <v>2038</v>
      </c>
      <c r="AG498" s="301">
        <v>2039</v>
      </c>
      <c r="AH498" s="301">
        <v>2040</v>
      </c>
      <c r="AI498" s="301">
        <v>2041</v>
      </c>
      <c r="AJ498" s="301">
        <v>2042</v>
      </c>
      <c r="AK498" s="301">
        <v>2043</v>
      </c>
      <c r="AL498" s="301">
        <v>2044</v>
      </c>
      <c r="AM498" s="301">
        <v>2045</v>
      </c>
      <c r="AN498" s="301">
        <v>2046</v>
      </c>
      <c r="AO498" s="301">
        <v>2047</v>
      </c>
      <c r="AP498" s="301">
        <v>2048</v>
      </c>
      <c r="AQ498" s="301">
        <v>2049</v>
      </c>
      <c r="AR498" s="301">
        <v>2050</v>
      </c>
      <c r="AS498" s="301">
        <v>2051</v>
      </c>
      <c r="AT498" s="301">
        <v>2052</v>
      </c>
      <c r="AU498" s="301">
        <v>2053</v>
      </c>
      <c r="AV498" s="301">
        <v>2054</v>
      </c>
      <c r="AW498" s="301">
        <v>2055</v>
      </c>
      <c r="AX498" s="301">
        <v>2056</v>
      </c>
      <c r="AY498" s="301">
        <v>2057</v>
      </c>
      <c r="AZ498" s="301">
        <v>2058</v>
      </c>
      <c r="BA498" s="301">
        <v>2059</v>
      </c>
      <c r="BB498" s="301">
        <v>2060</v>
      </c>
      <c r="BC498" s="301">
        <v>2061</v>
      </c>
      <c r="BD498" s="301">
        <v>2062</v>
      </c>
      <c r="BE498" s="301">
        <v>2063</v>
      </c>
      <c r="BF498" s="301">
        <v>2064</v>
      </c>
      <c r="BG498" s="301">
        <v>2065</v>
      </c>
      <c r="BH498" s="301">
        <v>2066</v>
      </c>
      <c r="BI498" s="301">
        <v>2067</v>
      </c>
      <c r="BJ498" s="301">
        <v>2068</v>
      </c>
      <c r="BK498" s="301">
        <v>2069</v>
      </c>
      <c r="BL498" s="301">
        <v>2070</v>
      </c>
      <c r="BM498" s="301">
        <v>2071</v>
      </c>
      <c r="BN498" s="301">
        <v>2072</v>
      </c>
      <c r="BO498" s="301"/>
    </row>
    <row r="499" spans="5:67" x14ac:dyDescent="0.55000000000000004">
      <c r="E499" s="303" t="s">
        <v>579</v>
      </c>
      <c r="F499" s="184">
        <v>135.9625212947189</v>
      </c>
      <c r="G499" s="184">
        <v>368.88679245283021</v>
      </c>
      <c r="H499" s="184">
        <v>689.94534412955466</v>
      </c>
      <c r="I499" s="184">
        <v>890.03087100330754</v>
      </c>
      <c r="J499" s="184">
        <v>1656.0701492537314</v>
      </c>
      <c r="K499" s="184">
        <v>1232.4933774834437</v>
      </c>
      <c r="L499" s="184">
        <v>996.47077922077915</v>
      </c>
      <c r="M499" s="184">
        <v>1114.9196078431373</v>
      </c>
      <c r="N499" s="184">
        <v>1110.7888015717092</v>
      </c>
      <c r="O499" s="184">
        <v>744.36853448275861</v>
      </c>
      <c r="P499" s="304">
        <v>-478.04245283018867</v>
      </c>
      <c r="Q499" s="184">
        <v>-101.99776129131098</v>
      </c>
      <c r="R499" s="184">
        <v>602.21618153795066</v>
      </c>
      <c r="S499" s="184">
        <v>1092.0245599483078</v>
      </c>
      <c r="T499" s="184">
        <v>1548.0951121664191</v>
      </c>
      <c r="U499" s="184">
        <v>1858.6304283737688</v>
      </c>
      <c r="V499" s="184">
        <v>2138.3780675126363</v>
      </c>
      <c r="W499" s="184">
        <v>2323.2289420319771</v>
      </c>
      <c r="X499" s="184">
        <v>2497.5348068031599</v>
      </c>
      <c r="Y499" s="184">
        <v>2661.8723032910857</v>
      </c>
      <c r="Z499" s="184">
        <v>2839.0290193017559</v>
      </c>
      <c r="AA499" s="184">
        <v>3030.6634781046241</v>
      </c>
      <c r="AB499" s="184">
        <v>3121.5833824477631</v>
      </c>
      <c r="AC499" s="184">
        <v>3215.230883921196</v>
      </c>
      <c r="AD499" s="184">
        <v>3311.687810438832</v>
      </c>
      <c r="AE499" s="184">
        <v>3411.0384447519968</v>
      </c>
      <c r="AF499" s="184">
        <v>3513.3695980945567</v>
      </c>
      <c r="AG499" s="184">
        <v>3618.7706860373937</v>
      </c>
      <c r="AH499" s="184">
        <v>3727.3338066185156</v>
      </c>
      <c r="AI499" s="184">
        <v>3839.1538208170714</v>
      </c>
      <c r="AJ499" s="184">
        <v>3954.3284354415837</v>
      </c>
      <c r="AK499" s="184">
        <v>4072.9582885048312</v>
      </c>
      <c r="AL499" s="184">
        <v>4195.1470371599762</v>
      </c>
      <c r="AM499" s="184">
        <v>4321.0014482747756</v>
      </c>
      <c r="AN499" s="184">
        <v>4450.6314917230193</v>
      </c>
      <c r="AO499" s="184">
        <v>4584.1504364747097</v>
      </c>
      <c r="AP499" s="184">
        <v>4721.674949568951</v>
      </c>
      <c r="AQ499" s="184">
        <v>4863.3251980560199</v>
      </c>
      <c r="AR499" s="184">
        <v>5009.224953997701</v>
      </c>
      <c r="AS499" s="184">
        <v>5159.501702617632</v>
      </c>
      <c r="AT499" s="184">
        <v>5314.2867536961612</v>
      </c>
      <c r="AU499" s="184">
        <v>5473.715356307046</v>
      </c>
      <c r="AV499" s="184">
        <v>5637.9268169962579</v>
      </c>
      <c r="AW499" s="184">
        <v>5807.0646215061461</v>
      </c>
      <c r="AX499" s="184">
        <v>5981.2765601513302</v>
      </c>
      <c r="AY499" s="184">
        <v>6160.7148569558703</v>
      </c>
      <c r="AZ499" s="184">
        <v>6345.5363026645464</v>
      </c>
      <c r="BA499" s="184">
        <v>6535.9023917444829</v>
      </c>
      <c r="BB499" s="184">
        <v>6731.9794634968175</v>
      </c>
      <c r="BC499" s="184">
        <v>6933.9388474017223</v>
      </c>
      <c r="BD499" s="184">
        <v>7141.9570128237738</v>
      </c>
      <c r="BE499" s="184">
        <v>7356.2157232084874</v>
      </c>
      <c r="BF499" s="184">
        <v>7576.9021949047419</v>
      </c>
      <c r="BG499" s="184">
        <v>7804.2092607518844</v>
      </c>
      <c r="BH499" s="184">
        <v>8038.3355385744408</v>
      </c>
      <c r="BI499" s="184">
        <v>8279.4856047316734</v>
      </c>
      <c r="BJ499" s="184">
        <v>8527.8701728736232</v>
      </c>
      <c r="BK499" s="184">
        <v>8783.7062780598317</v>
      </c>
      <c r="BL499" s="184">
        <v>9047.2174664016275</v>
      </c>
      <c r="BM499" s="184">
        <v>9318.6339903936769</v>
      </c>
      <c r="BN499" s="184">
        <v>9598.1930101054877</v>
      </c>
      <c r="BO499" s="184"/>
    </row>
    <row r="500" spans="5:67" x14ac:dyDescent="0.55000000000000004">
      <c r="E500" s="305" t="s">
        <v>580</v>
      </c>
      <c r="F500" s="184">
        <v>-349</v>
      </c>
      <c r="G500" s="184">
        <v>769</v>
      </c>
      <c r="H500" s="184">
        <v>161</v>
      </c>
      <c r="I500" s="184">
        <v>205</v>
      </c>
      <c r="J500" s="184">
        <v>-65</v>
      </c>
      <c r="K500" s="184">
        <v>15</v>
      </c>
      <c r="L500" s="184">
        <v>-1009</v>
      </c>
      <c r="M500" s="184">
        <v>-635</v>
      </c>
      <c r="N500" s="184">
        <v>-500</v>
      </c>
      <c r="O500" s="184">
        <v>-284</v>
      </c>
      <c r="P500" s="304">
        <v>-257</v>
      </c>
      <c r="Q500" s="184">
        <v>-279.34568465113193</v>
      </c>
      <c r="R500" s="184">
        <v>-507.07700817853538</v>
      </c>
      <c r="S500" s="184">
        <v>-784.54544147197169</v>
      </c>
      <c r="T500" s="184">
        <v>-239.19069385635203</v>
      </c>
      <c r="U500" s="184">
        <v>-303.56208673989568</v>
      </c>
      <c r="V500" s="184">
        <v>-345.12849658402172</v>
      </c>
      <c r="W500" s="184">
        <v>-352.87358843678226</v>
      </c>
      <c r="X500" s="184">
        <v>-294.87582388460646</v>
      </c>
      <c r="Y500" s="184">
        <v>-249.29493292148254</v>
      </c>
      <c r="Z500" s="184">
        <v>-142.53959340061419</v>
      </c>
      <c r="AA500" s="184">
        <v>-1022.8489238603107</v>
      </c>
      <c r="AB500" s="184">
        <v>-1114.7516766173603</v>
      </c>
      <c r="AC500" s="184">
        <v>-1148.194226915881</v>
      </c>
      <c r="AD500" s="184">
        <v>-1182.6400537233576</v>
      </c>
      <c r="AE500" s="184">
        <v>-1218.1192553350581</v>
      </c>
      <c r="AF500" s="184">
        <v>-1254.66283299511</v>
      </c>
      <c r="AG500" s="184">
        <v>-1292.3027179849635</v>
      </c>
      <c r="AH500" s="184">
        <v>-1331.0717995245122</v>
      </c>
      <c r="AI500" s="184">
        <v>-1371.0039535102476</v>
      </c>
      <c r="AJ500" s="184">
        <v>-1412.1340721155552</v>
      </c>
      <c r="AK500" s="184">
        <v>-1454.4980942790219</v>
      </c>
      <c r="AL500" s="184">
        <v>-1498.1330371073925</v>
      </c>
      <c r="AM500" s="184">
        <v>-1543.0770282206145</v>
      </c>
      <c r="AN500" s="184">
        <v>-1589.3693390672331</v>
      </c>
      <c r="AO500" s="184">
        <v>-1637.05041923925</v>
      </c>
      <c r="AP500" s="184">
        <v>-1686.1619318164273</v>
      </c>
      <c r="AQ500" s="184">
        <v>-1736.7467897709203</v>
      </c>
      <c r="AR500" s="184">
        <v>-1788.8491934640481</v>
      </c>
      <c r="AS500" s="184">
        <v>-1842.5146692679698</v>
      </c>
      <c r="AT500" s="184">
        <v>-1897.7901093460089</v>
      </c>
      <c r="AU500" s="184">
        <v>-1954.7238126263892</v>
      </c>
      <c r="AV500" s="184">
        <v>-2013.3655270051809</v>
      </c>
      <c r="AW500" s="184">
        <v>-2073.7664928153363</v>
      </c>
      <c r="AX500" s="184">
        <v>-2135.9794875997964</v>
      </c>
      <c r="AY500" s="184">
        <v>-2200.0588722277903</v>
      </c>
      <c r="AZ500" s="184">
        <v>-2266.0606383946242</v>
      </c>
      <c r="BA500" s="184">
        <v>-2334.0424575464631</v>
      </c>
      <c r="BB500" s="184">
        <v>-2404.0637312728568</v>
      </c>
      <c r="BC500" s="184">
        <v>-2476.1856432110426</v>
      </c>
      <c r="BD500" s="184">
        <v>-2550.4712125073738</v>
      </c>
      <c r="BE500" s="184">
        <v>-2626.9853488825952</v>
      </c>
      <c r="BF500" s="184">
        <v>-2705.7949093490729</v>
      </c>
      <c r="BG500" s="184">
        <v>-2786.9687566295452</v>
      </c>
      <c r="BH500" s="184">
        <v>-2870.5778193284318</v>
      </c>
      <c r="BI500" s="184">
        <v>-2956.6951539082843</v>
      </c>
      <c r="BJ500" s="184">
        <v>-3045.396008525533</v>
      </c>
      <c r="BK500" s="184">
        <v>-3136.7578887812983</v>
      </c>
      <c r="BL500" s="184">
        <v>-3230.8606254447382</v>
      </c>
      <c r="BM500" s="184">
        <v>-3327.7864442080804</v>
      </c>
      <c r="BN500" s="184">
        <v>-3427.6200375343233</v>
      </c>
      <c r="BO500" s="184"/>
    </row>
    <row r="501" spans="5:67" x14ac:dyDescent="0.55000000000000004">
      <c r="E501" s="306" t="s">
        <v>581</v>
      </c>
      <c r="F501" s="307">
        <v>-213.0374787052811</v>
      </c>
      <c r="G501" s="307">
        <v>1137.8867924528302</v>
      </c>
      <c r="H501" s="307">
        <v>850.94534412955466</v>
      </c>
      <c r="I501" s="307">
        <v>1095.0308710033075</v>
      </c>
      <c r="J501" s="307">
        <v>1591.0701492537314</v>
      </c>
      <c r="K501" s="307">
        <v>1247.4933774834437</v>
      </c>
      <c r="L501" s="307">
        <v>-12.52922077922085</v>
      </c>
      <c r="M501" s="307">
        <v>479.91960784313733</v>
      </c>
      <c r="N501" s="307">
        <v>610.7888015717092</v>
      </c>
      <c r="O501" s="307">
        <v>460.36853448275861</v>
      </c>
      <c r="P501" s="308">
        <v>-735.04245283018872</v>
      </c>
      <c r="Q501" s="307">
        <v>-381.34344594244294</v>
      </c>
      <c r="R501" s="307">
        <v>95.139173359415281</v>
      </c>
      <c r="S501" s="307">
        <v>307.47911847633611</v>
      </c>
      <c r="T501" s="307">
        <v>1308.9044183100671</v>
      </c>
      <c r="U501" s="307">
        <v>1555.0683416338732</v>
      </c>
      <c r="V501" s="307">
        <v>1793.2495709286145</v>
      </c>
      <c r="W501" s="307">
        <v>1970.3553535951949</v>
      </c>
      <c r="X501" s="307">
        <v>2202.6589829185532</v>
      </c>
      <c r="Y501" s="307">
        <v>2412.5773703696032</v>
      </c>
      <c r="Z501" s="307">
        <v>2696.4894259011417</v>
      </c>
      <c r="AA501" s="307">
        <v>2007.8145542443135</v>
      </c>
      <c r="AB501" s="307">
        <v>2006.8317058304028</v>
      </c>
      <c r="AC501" s="307">
        <v>2067.0366570053147</v>
      </c>
      <c r="AD501" s="307">
        <v>2129.0477567154744</v>
      </c>
      <c r="AE501" s="307">
        <v>2192.9191894169389</v>
      </c>
      <c r="AF501" s="307">
        <v>2258.7067650994468</v>
      </c>
      <c r="AG501" s="307">
        <v>2326.4679680524305</v>
      </c>
      <c r="AH501" s="307">
        <v>2396.2620070940034</v>
      </c>
      <c r="AI501" s="307">
        <v>2468.1498673068236</v>
      </c>
      <c r="AJ501" s="307">
        <v>2542.1943633260285</v>
      </c>
      <c r="AK501" s="307">
        <v>2618.4601942258096</v>
      </c>
      <c r="AL501" s="307">
        <v>2697.0140000525835</v>
      </c>
      <c r="AM501" s="307">
        <v>2777.9244200541611</v>
      </c>
      <c r="AN501" s="307">
        <v>2861.2621526557859</v>
      </c>
      <c r="AO501" s="307">
        <v>2947.1000172354597</v>
      </c>
      <c r="AP501" s="307">
        <v>3035.5130177525234</v>
      </c>
      <c r="AQ501" s="307">
        <v>3126.5784082850996</v>
      </c>
      <c r="AR501" s="307">
        <v>3220.3757605336532</v>
      </c>
      <c r="AS501" s="307">
        <v>3316.9870333496619</v>
      </c>
      <c r="AT501" s="307">
        <v>3416.4966443501526</v>
      </c>
      <c r="AU501" s="307">
        <v>3518.9915436806568</v>
      </c>
      <c r="AV501" s="307">
        <v>3624.561289991077</v>
      </c>
      <c r="AW501" s="307">
        <v>3733.2981286908098</v>
      </c>
      <c r="AX501" s="307">
        <v>3845.2970725515338</v>
      </c>
      <c r="AY501" s="307">
        <v>3960.6559847280801</v>
      </c>
      <c r="AZ501" s="307">
        <v>4079.4756642699222</v>
      </c>
      <c r="BA501" s="307">
        <v>4201.8599341980198</v>
      </c>
      <c r="BB501" s="307">
        <v>4327.9157322239607</v>
      </c>
      <c r="BC501" s="307">
        <v>4457.7532041906798</v>
      </c>
      <c r="BD501" s="307">
        <v>4591.4858003163999</v>
      </c>
      <c r="BE501" s="307">
        <v>4729.2303743258926</v>
      </c>
      <c r="BF501" s="307">
        <v>4871.1072855556686</v>
      </c>
      <c r="BG501" s="307">
        <v>5017.2405041223392</v>
      </c>
      <c r="BH501" s="307">
        <v>5167.7577192460085</v>
      </c>
      <c r="BI501" s="307">
        <v>5322.7904508233896</v>
      </c>
      <c r="BJ501" s="307">
        <v>5482.4741643480902</v>
      </c>
      <c r="BK501" s="307">
        <v>5646.9483892785338</v>
      </c>
      <c r="BL501" s="307">
        <v>5816.3568409568888</v>
      </c>
      <c r="BM501" s="307">
        <v>5990.847546185596</v>
      </c>
      <c r="BN501" s="307">
        <v>6170.5729725711644</v>
      </c>
      <c r="BO501" s="307"/>
    </row>
    <row r="502" spans="5:67" x14ac:dyDescent="0.55000000000000004"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44"/>
      <c r="Q502" s="220"/>
      <c r="R502" s="144"/>
      <c r="S502" s="144"/>
      <c r="T502" s="144"/>
      <c r="U502" s="144"/>
      <c r="V502" s="144"/>
      <c r="W502" s="144"/>
      <c r="X502" s="144"/>
      <c r="Y502" s="144"/>
      <c r="Z502" s="144"/>
      <c r="AA502" s="133"/>
      <c r="AB502" s="133"/>
      <c r="AC502" s="133"/>
      <c r="AD502" s="133"/>
      <c r="AE502" s="133"/>
      <c r="AF502" s="133"/>
      <c r="AG502" s="133"/>
      <c r="AH502" s="133"/>
      <c r="AI502" s="133"/>
      <c r="AJ502" s="133"/>
      <c r="AK502" s="133"/>
      <c r="AL502" s="133"/>
      <c r="AM502" s="133"/>
      <c r="AN502" s="133"/>
      <c r="AO502" s="133"/>
      <c r="AP502" s="133"/>
      <c r="AQ502" s="133"/>
      <c r="AR502" s="133"/>
      <c r="AS502" s="133"/>
      <c r="AT502" s="133"/>
      <c r="AU502" s="133"/>
      <c r="AV502" s="133"/>
      <c r="AW502" s="133"/>
      <c r="AX502" s="133"/>
      <c r="AY502" s="133"/>
      <c r="AZ502" s="133"/>
      <c r="BA502" s="133"/>
      <c r="BB502" s="133"/>
      <c r="BC502" s="133"/>
      <c r="BD502" s="133"/>
      <c r="BE502" s="133"/>
      <c r="BF502" s="133"/>
      <c r="BG502" s="133"/>
      <c r="BH502" s="133"/>
      <c r="BI502" s="133"/>
      <c r="BJ502" s="133"/>
      <c r="BK502" s="133"/>
      <c r="BL502" s="133"/>
      <c r="BM502" s="133"/>
      <c r="BN502" s="133"/>
      <c r="BO502" s="133"/>
    </row>
    <row r="503" spans="5:67" x14ac:dyDescent="0.55000000000000004"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44"/>
      <c r="Q503" s="220"/>
      <c r="R503" s="144"/>
      <c r="S503" s="144"/>
      <c r="T503" s="144"/>
      <c r="U503" s="144"/>
      <c r="V503" s="144"/>
      <c r="W503" s="144"/>
      <c r="X503" s="144"/>
      <c r="Y503" s="144"/>
      <c r="Z503" s="144"/>
      <c r="AA503" s="133"/>
      <c r="AB503" s="133"/>
      <c r="AC503" s="133"/>
      <c r="AD503" s="133"/>
      <c r="AE503" s="133"/>
      <c r="AF503" s="133"/>
      <c r="AG503" s="133"/>
      <c r="AH503" s="133"/>
      <c r="AI503" s="133"/>
      <c r="AJ503" s="133"/>
      <c r="AK503" s="133"/>
      <c r="AL503" s="133"/>
      <c r="AM503" s="133"/>
      <c r="AN503" s="133"/>
      <c r="AO503" s="133"/>
      <c r="AP503" s="133"/>
      <c r="AQ503" s="133"/>
      <c r="AR503" s="133"/>
      <c r="AS503" s="133"/>
      <c r="AT503" s="133"/>
      <c r="AU503" s="133"/>
      <c r="AV503" s="133"/>
      <c r="AW503" s="133"/>
      <c r="AX503" s="133"/>
      <c r="AY503" s="133"/>
      <c r="AZ503" s="133"/>
      <c r="BA503" s="133"/>
      <c r="BB503" s="133"/>
      <c r="BC503" s="133"/>
      <c r="BD503" s="133"/>
      <c r="BE503" s="133"/>
      <c r="BF503" s="133"/>
      <c r="BG503" s="133"/>
      <c r="BH503" s="133"/>
      <c r="BI503" s="133"/>
      <c r="BJ503" s="133"/>
      <c r="BK503" s="133"/>
      <c r="BL503" s="133"/>
      <c r="BM503" s="133"/>
      <c r="BN503" s="133"/>
      <c r="BO503" s="133"/>
    </row>
    <row r="504" spans="5:67" x14ac:dyDescent="0.55000000000000004"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220"/>
      <c r="R504" s="144"/>
      <c r="S504" s="144"/>
      <c r="T504" s="144"/>
      <c r="U504" s="144"/>
      <c r="V504" s="144"/>
      <c r="W504" s="144"/>
      <c r="X504" s="144"/>
      <c r="Y504" s="144"/>
      <c r="Z504" s="144"/>
      <c r="AA504" s="133"/>
      <c r="AB504" s="133"/>
      <c r="AC504" s="133"/>
      <c r="AD504" s="133"/>
      <c r="AE504" s="133"/>
      <c r="AF504" s="133"/>
      <c r="AG504" s="133"/>
      <c r="AH504" s="133"/>
      <c r="AI504" s="133"/>
      <c r="AJ504" s="133"/>
      <c r="AK504" s="133"/>
      <c r="AL504" s="133"/>
      <c r="AM504" s="133"/>
      <c r="AN504" s="133"/>
      <c r="AO504" s="133"/>
      <c r="AP504" s="133"/>
      <c r="AQ504" s="133"/>
      <c r="AR504" s="133"/>
      <c r="AS504" s="133"/>
      <c r="AT504" s="133"/>
      <c r="AU504" s="133"/>
      <c r="AV504" s="133"/>
      <c r="AW504" s="133"/>
      <c r="AX504" s="133"/>
      <c r="AY504" s="133"/>
      <c r="AZ504" s="133"/>
      <c r="BA504" s="133"/>
      <c r="BB504" s="133"/>
      <c r="BC504" s="133"/>
      <c r="BD504" s="133"/>
      <c r="BE504" s="133"/>
      <c r="BF504" s="133"/>
      <c r="BG504" s="133"/>
      <c r="BH504" s="133"/>
      <c r="BI504" s="133"/>
      <c r="BJ504" s="133"/>
      <c r="BK504" s="133"/>
      <c r="BL504" s="133"/>
      <c r="BM504" s="133"/>
      <c r="BN504" s="133"/>
      <c r="BO504" s="133"/>
    </row>
    <row r="505" spans="5:67" x14ac:dyDescent="0.55000000000000004"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44"/>
      <c r="Q505" s="220"/>
      <c r="R505" s="144"/>
      <c r="S505" s="144"/>
      <c r="T505" s="144"/>
      <c r="U505" s="144"/>
      <c r="V505" s="144"/>
      <c r="W505" s="144"/>
      <c r="X505" s="144"/>
      <c r="Y505" s="144"/>
      <c r="Z505" s="144"/>
      <c r="AA505" s="133"/>
      <c r="AB505" s="133"/>
      <c r="AC505" s="133"/>
      <c r="AD505" s="133"/>
      <c r="AE505" s="133"/>
      <c r="AF505" s="133"/>
      <c r="AG505" s="133"/>
      <c r="AH505" s="133"/>
      <c r="AI505" s="133"/>
      <c r="AJ505" s="133"/>
      <c r="AK505" s="133"/>
      <c r="AL505" s="133"/>
      <c r="AM505" s="133"/>
      <c r="AN505" s="133"/>
      <c r="AO505" s="133"/>
      <c r="AP505" s="133"/>
      <c r="AQ505" s="133"/>
      <c r="AR505" s="133"/>
      <c r="AS505" s="133"/>
      <c r="AT505" s="133"/>
      <c r="AU505" s="133"/>
      <c r="AV505" s="133"/>
      <c r="AW505" s="133"/>
      <c r="AX505" s="133"/>
      <c r="AY505" s="133"/>
      <c r="AZ505" s="133"/>
      <c r="BA505" s="133"/>
      <c r="BB505" s="133"/>
      <c r="BC505" s="133"/>
      <c r="BD505" s="133"/>
      <c r="BE505" s="133"/>
      <c r="BF505" s="133"/>
      <c r="BG505" s="133"/>
      <c r="BH505" s="133"/>
      <c r="BI505" s="133"/>
      <c r="BJ505" s="133"/>
      <c r="BK505" s="133"/>
      <c r="BL505" s="133"/>
      <c r="BM505" s="133"/>
      <c r="BN505" s="133"/>
      <c r="BO505" s="133"/>
    </row>
    <row r="506" spans="5:67" x14ac:dyDescent="0.55000000000000004"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220"/>
      <c r="R506" s="144"/>
      <c r="S506" s="144"/>
      <c r="T506" s="144"/>
      <c r="U506" s="144"/>
      <c r="V506" s="144"/>
      <c r="W506" s="144"/>
      <c r="X506" s="144"/>
      <c r="Y506" s="144"/>
      <c r="Z506" s="144"/>
      <c r="AA506" s="133"/>
      <c r="AB506" s="133"/>
      <c r="AC506" s="133"/>
      <c r="AD506" s="133"/>
      <c r="AE506" s="133"/>
      <c r="AF506" s="133"/>
      <c r="AG506" s="133"/>
      <c r="AH506" s="133"/>
      <c r="AI506" s="133"/>
      <c r="AJ506" s="133"/>
      <c r="AK506" s="133"/>
      <c r="AL506" s="133"/>
      <c r="AM506" s="133"/>
      <c r="AN506" s="133"/>
      <c r="AO506" s="133"/>
      <c r="AP506" s="133"/>
      <c r="AQ506" s="133"/>
      <c r="AR506" s="133"/>
      <c r="AS506" s="133"/>
      <c r="AT506" s="133"/>
      <c r="AU506" s="133"/>
      <c r="AV506" s="133"/>
      <c r="AW506" s="133"/>
      <c r="AX506" s="133"/>
      <c r="AY506" s="133"/>
      <c r="AZ506" s="133"/>
      <c r="BA506" s="133"/>
      <c r="BB506" s="133"/>
      <c r="BC506" s="133"/>
      <c r="BD506" s="133"/>
      <c r="BE506" s="133"/>
      <c r="BF506" s="133"/>
      <c r="BG506" s="133"/>
      <c r="BH506" s="133"/>
      <c r="BI506" s="133"/>
      <c r="BJ506" s="133"/>
      <c r="BK506" s="133"/>
      <c r="BL506" s="133"/>
      <c r="BM506" s="133"/>
      <c r="BN506" s="133"/>
      <c r="BO506" s="133"/>
    </row>
    <row r="507" spans="5:67" x14ac:dyDescent="0.55000000000000004"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220"/>
      <c r="R507" s="144"/>
      <c r="S507" s="144"/>
      <c r="T507" s="144"/>
      <c r="U507" s="144"/>
      <c r="V507" s="144"/>
      <c r="W507" s="144"/>
      <c r="X507" s="144"/>
      <c r="Y507" s="144"/>
      <c r="Z507" s="144"/>
      <c r="AA507" s="133"/>
      <c r="AB507" s="133"/>
      <c r="AC507" s="133"/>
      <c r="AD507" s="133"/>
      <c r="AE507" s="133"/>
      <c r="AF507" s="133"/>
      <c r="AG507" s="133"/>
      <c r="AH507" s="133"/>
      <c r="AI507" s="133"/>
      <c r="AJ507" s="133"/>
      <c r="AK507" s="133"/>
      <c r="AL507" s="133"/>
      <c r="AM507" s="133"/>
      <c r="AN507" s="133"/>
      <c r="AO507" s="133"/>
      <c r="AP507" s="133"/>
      <c r="AQ507" s="133"/>
      <c r="AR507" s="133"/>
      <c r="AS507" s="133"/>
      <c r="AT507" s="133"/>
      <c r="AU507" s="133"/>
      <c r="AV507" s="133"/>
      <c r="AW507" s="133"/>
      <c r="AX507" s="133"/>
      <c r="AY507" s="133"/>
      <c r="AZ507" s="133"/>
      <c r="BA507" s="133"/>
      <c r="BB507" s="133"/>
      <c r="BC507" s="133"/>
      <c r="BD507" s="133"/>
      <c r="BE507" s="133"/>
      <c r="BF507" s="133"/>
      <c r="BG507" s="133"/>
      <c r="BH507" s="133"/>
      <c r="BI507" s="133"/>
      <c r="BJ507" s="133"/>
      <c r="BK507" s="133"/>
      <c r="BL507" s="133"/>
      <c r="BM507" s="133"/>
      <c r="BN507" s="133"/>
      <c r="BO507" s="133"/>
    </row>
    <row r="508" spans="5:67" x14ac:dyDescent="0.55000000000000004"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220"/>
      <c r="R508" s="144"/>
      <c r="S508" s="144"/>
      <c r="T508" s="144"/>
      <c r="U508" s="144"/>
      <c r="V508" s="144"/>
      <c r="W508" s="144"/>
      <c r="X508" s="144"/>
      <c r="Y508" s="144"/>
      <c r="Z508" s="144"/>
      <c r="AA508" s="133"/>
      <c r="AB508" s="133"/>
      <c r="AC508" s="133"/>
      <c r="AD508" s="133"/>
      <c r="AE508" s="133"/>
      <c r="AF508" s="133"/>
      <c r="AG508" s="133"/>
      <c r="AH508" s="133"/>
      <c r="AI508" s="133"/>
      <c r="AJ508" s="133"/>
      <c r="AK508" s="133"/>
      <c r="AL508" s="133"/>
      <c r="AM508" s="133"/>
      <c r="AN508" s="133"/>
      <c r="AO508" s="133"/>
      <c r="AP508" s="133"/>
      <c r="AQ508" s="133"/>
      <c r="AR508" s="133"/>
      <c r="AS508" s="133"/>
      <c r="AT508" s="133"/>
      <c r="AU508" s="133"/>
      <c r="AV508" s="133"/>
      <c r="AW508" s="133"/>
      <c r="AX508" s="133"/>
      <c r="AY508" s="133"/>
      <c r="AZ508" s="133"/>
      <c r="BA508" s="133"/>
      <c r="BB508" s="133"/>
      <c r="BC508" s="133"/>
      <c r="BD508" s="133"/>
      <c r="BE508" s="133"/>
      <c r="BF508" s="133"/>
      <c r="BG508" s="133"/>
      <c r="BH508" s="133"/>
      <c r="BI508" s="133"/>
      <c r="BJ508" s="133"/>
      <c r="BK508" s="133"/>
      <c r="BL508" s="133"/>
      <c r="BM508" s="133"/>
      <c r="BN508" s="133"/>
      <c r="BO508" s="133"/>
    </row>
    <row r="509" spans="5:67" x14ac:dyDescent="0.55000000000000004"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220"/>
      <c r="R509" s="144"/>
      <c r="S509" s="144"/>
      <c r="T509" s="144"/>
      <c r="U509" s="144"/>
      <c r="V509" s="144"/>
      <c r="W509" s="144"/>
      <c r="X509" s="144"/>
      <c r="Y509" s="144"/>
      <c r="Z509" s="144"/>
      <c r="AA509" s="133"/>
      <c r="AB509" s="133"/>
      <c r="AC509" s="133"/>
      <c r="AD509" s="133"/>
      <c r="AE509" s="133"/>
      <c r="AF509" s="133"/>
      <c r="AG509" s="133"/>
      <c r="AH509" s="133"/>
      <c r="AI509" s="133"/>
      <c r="AJ509" s="133"/>
      <c r="AK509" s="133"/>
      <c r="AL509" s="133"/>
      <c r="AM509" s="133"/>
      <c r="AN509" s="133"/>
      <c r="AO509" s="133"/>
      <c r="AP509" s="133"/>
      <c r="AQ509" s="133"/>
      <c r="AR509" s="133"/>
      <c r="AS509" s="133"/>
      <c r="AT509" s="133"/>
      <c r="AU509" s="133"/>
      <c r="AV509" s="133"/>
      <c r="AW509" s="133"/>
      <c r="AX509" s="133"/>
      <c r="AY509" s="133"/>
      <c r="AZ509" s="133"/>
      <c r="BA509" s="133"/>
      <c r="BB509" s="133"/>
      <c r="BC509" s="133"/>
      <c r="BD509" s="133"/>
      <c r="BE509" s="133"/>
      <c r="BF509" s="133"/>
      <c r="BG509" s="133"/>
      <c r="BH509" s="133"/>
      <c r="BI509" s="133"/>
      <c r="BJ509" s="133"/>
      <c r="BK509" s="133"/>
      <c r="BL509" s="133"/>
      <c r="BM509" s="133"/>
      <c r="BN509" s="133"/>
      <c r="BO509" s="133"/>
    </row>
    <row r="510" spans="5:67" x14ac:dyDescent="0.55000000000000004"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220"/>
      <c r="R510" s="144"/>
      <c r="S510" s="144"/>
      <c r="T510" s="144"/>
      <c r="U510" s="144"/>
      <c r="V510" s="144"/>
      <c r="W510" s="144"/>
      <c r="X510" s="144"/>
      <c r="Y510" s="144"/>
      <c r="Z510" s="144"/>
      <c r="AA510" s="133"/>
      <c r="AB510" s="133"/>
      <c r="AC510" s="133"/>
      <c r="AD510" s="133"/>
      <c r="AE510" s="133"/>
      <c r="AF510" s="133"/>
      <c r="AG510" s="133"/>
      <c r="AH510" s="133"/>
      <c r="AI510" s="133"/>
      <c r="AJ510" s="133"/>
      <c r="AK510" s="133"/>
      <c r="AL510" s="133"/>
      <c r="AM510" s="133"/>
      <c r="AN510" s="133"/>
      <c r="AO510" s="133"/>
      <c r="AP510" s="133"/>
      <c r="AQ510" s="133"/>
      <c r="AR510" s="133"/>
      <c r="AS510" s="133"/>
      <c r="AT510" s="133"/>
      <c r="AU510" s="133"/>
      <c r="AV510" s="133"/>
      <c r="AW510" s="133"/>
      <c r="AX510" s="133"/>
      <c r="AY510" s="133"/>
      <c r="AZ510" s="133"/>
      <c r="BA510" s="133"/>
      <c r="BB510" s="133"/>
      <c r="BC510" s="133"/>
      <c r="BD510" s="133"/>
      <c r="BE510" s="133"/>
      <c r="BF510" s="133"/>
      <c r="BG510" s="133"/>
      <c r="BH510" s="133"/>
      <c r="BI510" s="133"/>
      <c r="BJ510" s="133"/>
      <c r="BK510" s="133"/>
      <c r="BL510" s="133"/>
      <c r="BM510" s="133"/>
      <c r="BN510" s="133"/>
      <c r="BO510" s="133"/>
    </row>
    <row r="511" spans="5:67" x14ac:dyDescent="0.55000000000000004"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220"/>
      <c r="R511" s="144"/>
      <c r="S511" s="144"/>
      <c r="T511" s="144"/>
      <c r="U511" s="144"/>
      <c r="V511" s="144"/>
      <c r="W511" s="144"/>
      <c r="X511" s="144"/>
      <c r="Y511" s="144"/>
      <c r="Z511" s="144"/>
      <c r="AA511" s="133"/>
      <c r="AB511" s="133"/>
      <c r="AC511" s="133"/>
      <c r="AD511" s="133"/>
      <c r="AE511" s="133"/>
      <c r="AF511" s="133"/>
      <c r="AG511" s="133"/>
      <c r="AH511" s="133"/>
      <c r="AI511" s="133"/>
      <c r="AJ511" s="133"/>
      <c r="AK511" s="133"/>
      <c r="AL511" s="133"/>
      <c r="AM511" s="133"/>
      <c r="AN511" s="133"/>
      <c r="AO511" s="133"/>
      <c r="AP511" s="133"/>
      <c r="AQ511" s="133"/>
      <c r="AR511" s="133"/>
      <c r="AS511" s="133"/>
      <c r="AT511" s="133"/>
      <c r="AU511" s="133"/>
      <c r="AV511" s="133"/>
      <c r="AW511" s="133"/>
      <c r="AX511" s="133"/>
      <c r="AY511" s="133"/>
      <c r="AZ511" s="133"/>
      <c r="BA511" s="133"/>
      <c r="BB511" s="133"/>
      <c r="BC511" s="133"/>
      <c r="BD511" s="133"/>
      <c r="BE511" s="133"/>
      <c r="BF511" s="133"/>
      <c r="BG511" s="133"/>
      <c r="BH511" s="133"/>
      <c r="BI511" s="133"/>
      <c r="BJ511" s="133"/>
      <c r="BK511" s="133"/>
      <c r="BL511" s="133"/>
      <c r="BM511" s="133"/>
      <c r="BN511" s="133"/>
      <c r="BO511" s="133"/>
    </row>
    <row r="512" spans="5:67" x14ac:dyDescent="0.55000000000000004"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220"/>
      <c r="R512" s="144"/>
      <c r="S512" s="144"/>
      <c r="T512" s="144"/>
      <c r="U512" s="144"/>
      <c r="V512" s="144"/>
      <c r="W512" s="144"/>
      <c r="X512" s="144"/>
      <c r="Y512" s="144"/>
      <c r="Z512" s="144"/>
      <c r="AA512" s="133"/>
      <c r="AB512" s="133"/>
      <c r="AC512" s="133"/>
      <c r="AD512" s="133"/>
      <c r="AE512" s="133"/>
      <c r="AF512" s="133"/>
      <c r="AG512" s="133"/>
      <c r="AH512" s="133"/>
      <c r="AI512" s="133"/>
      <c r="AJ512" s="133"/>
      <c r="AK512" s="133"/>
      <c r="AL512" s="133"/>
      <c r="AM512" s="133"/>
      <c r="AN512" s="133"/>
      <c r="AO512" s="133"/>
      <c r="AP512" s="133"/>
      <c r="AQ512" s="133"/>
      <c r="AR512" s="133"/>
      <c r="AS512" s="133"/>
      <c r="AT512" s="133"/>
      <c r="AU512" s="133"/>
      <c r="AV512" s="133"/>
      <c r="AW512" s="133"/>
      <c r="AX512" s="133"/>
      <c r="AY512" s="133"/>
      <c r="AZ512" s="133"/>
      <c r="BA512" s="133"/>
      <c r="BB512" s="133"/>
      <c r="BC512" s="133"/>
      <c r="BD512" s="133"/>
      <c r="BE512" s="133"/>
      <c r="BF512" s="133"/>
      <c r="BG512" s="133"/>
      <c r="BH512" s="133"/>
      <c r="BI512" s="133"/>
      <c r="BJ512" s="133"/>
      <c r="BK512" s="133"/>
      <c r="BL512" s="133"/>
      <c r="BM512" s="133"/>
      <c r="BN512" s="133"/>
      <c r="BO512" s="133"/>
    </row>
    <row r="513" spans="1:21" x14ac:dyDescent="0.55000000000000004">
      <c r="A513" s="203" t="s">
        <v>582</v>
      </c>
      <c r="B513" s="203"/>
      <c r="C513" s="20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</row>
    <row r="514" spans="1:21" x14ac:dyDescent="0.55000000000000004">
      <c r="A514" s="144"/>
      <c r="B514" s="144"/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83"/>
      <c r="Q514" s="144"/>
      <c r="R514" s="144"/>
      <c r="S514" s="144"/>
      <c r="T514" s="144"/>
      <c r="U514" s="144"/>
    </row>
    <row r="515" spans="1:21" x14ac:dyDescent="0.55000000000000004">
      <c r="A515" s="144"/>
      <c r="B515" s="144"/>
      <c r="C515" s="144"/>
      <c r="D515" s="144"/>
      <c r="E515" s="144" t="s">
        <v>96</v>
      </c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83"/>
      <c r="Q515" s="744" t="s">
        <v>111</v>
      </c>
      <c r="R515" s="745"/>
      <c r="S515" s="745"/>
      <c r="T515" s="745"/>
      <c r="U515" s="144"/>
    </row>
    <row r="516" spans="1:21" x14ac:dyDescent="0.55000000000000004">
      <c r="A516" s="144"/>
      <c r="B516" s="144"/>
      <c r="C516" s="144"/>
      <c r="D516" s="144"/>
      <c r="E516" s="144" t="s">
        <v>7</v>
      </c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83"/>
      <c r="Q516" s="198" t="s">
        <v>8</v>
      </c>
      <c r="R516" s="144"/>
      <c r="S516" s="144"/>
      <c r="T516" s="144"/>
      <c r="U516" s="144"/>
    </row>
    <row r="517" spans="1:21" x14ac:dyDescent="0.55000000000000004">
      <c r="A517" s="144"/>
      <c r="B517" s="144"/>
      <c r="C517" s="144"/>
      <c r="D517" s="144"/>
      <c r="E517" s="144" t="s">
        <v>583</v>
      </c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83"/>
      <c r="Q517" s="198" t="s">
        <v>584</v>
      </c>
      <c r="R517" s="144"/>
      <c r="S517" s="309" t="s">
        <v>585</v>
      </c>
      <c r="T517" s="144"/>
      <c r="U517" s="310" t="s">
        <v>586</v>
      </c>
    </row>
    <row r="518" spans="1:21" x14ac:dyDescent="0.55000000000000004">
      <c r="A518" s="144"/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83"/>
      <c r="Q518" s="142"/>
      <c r="R518" s="142">
        <v>0.76232046124288</v>
      </c>
      <c r="S518" s="142" t="e">
        <v>#N/A</v>
      </c>
      <c r="T518" s="142"/>
      <c r="U518" s="144"/>
    </row>
    <row r="519" spans="1:21" x14ac:dyDescent="0.55000000000000004">
      <c r="A519" s="144"/>
      <c r="B519" s="144"/>
      <c r="C519" s="144"/>
      <c r="D519" s="144"/>
      <c r="E519" s="144" t="s">
        <v>587</v>
      </c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83"/>
      <c r="Q519" s="744" t="s">
        <v>588</v>
      </c>
      <c r="R519" s="745"/>
      <c r="S519" s="745"/>
      <c r="T519" s="745"/>
      <c r="U519" s="144"/>
    </row>
    <row r="520" spans="1:21" x14ac:dyDescent="0.55000000000000004">
      <c r="A520" s="144"/>
      <c r="B520" s="144"/>
      <c r="C520" s="144"/>
      <c r="D520" s="144"/>
      <c r="E520" s="144" t="s">
        <v>589</v>
      </c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83"/>
      <c r="Q520" s="773" t="s">
        <v>590</v>
      </c>
      <c r="R520" s="745"/>
      <c r="S520" s="745"/>
      <c r="T520" s="745"/>
      <c r="U520" s="144"/>
    </row>
    <row r="521" spans="1:21" x14ac:dyDescent="0.55000000000000004">
      <c r="A521" s="144"/>
      <c r="B521" s="144"/>
      <c r="C521" s="144"/>
      <c r="D521" s="144"/>
      <c r="E521" s="144" t="s">
        <v>591</v>
      </c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83"/>
      <c r="Q521" s="744" t="s">
        <v>592</v>
      </c>
      <c r="R521" s="745"/>
      <c r="S521" s="745"/>
      <c r="T521" s="745"/>
      <c r="U521" s="144"/>
    </row>
    <row r="522" spans="1:21" x14ac:dyDescent="0.55000000000000004">
      <c r="A522" s="144"/>
      <c r="B522" s="144"/>
      <c r="C522" s="144"/>
      <c r="D522" s="144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83"/>
      <c r="Q522" s="144"/>
      <c r="R522" s="144"/>
      <c r="S522" s="144"/>
      <c r="T522" s="144"/>
      <c r="U522" s="144"/>
    </row>
    <row r="523" spans="1:21" x14ac:dyDescent="0.55000000000000004">
      <c r="A523" s="144"/>
      <c r="B523" s="144"/>
      <c r="C523" s="144"/>
      <c r="D523" s="144"/>
      <c r="E523" s="144" t="s">
        <v>593</v>
      </c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83"/>
      <c r="Q523" s="311">
        <v>44926</v>
      </c>
      <c r="R523" s="144"/>
      <c r="S523" s="144"/>
      <c r="T523" s="144"/>
      <c r="U523" s="144"/>
    </row>
    <row r="524" spans="1:21" x14ac:dyDescent="0.55000000000000004">
      <c r="A524" s="144"/>
      <c r="B524" s="144"/>
      <c r="C524" s="144"/>
      <c r="D524" s="144"/>
      <c r="E524" s="144" t="s">
        <v>594</v>
      </c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83"/>
      <c r="Q524" s="311" t="s">
        <v>595</v>
      </c>
      <c r="R524" s="144"/>
      <c r="S524" s="144"/>
      <c r="T524" s="144"/>
      <c r="U524" s="144"/>
    </row>
    <row r="525" spans="1:21" x14ac:dyDescent="0.55000000000000004">
      <c r="A525" s="142"/>
      <c r="B525" s="142"/>
      <c r="C525" s="142"/>
      <c r="D525" s="142"/>
      <c r="E525" s="144" t="s">
        <v>596</v>
      </c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83"/>
      <c r="Q525" s="198" t="s">
        <v>597</v>
      </c>
      <c r="R525" s="160"/>
      <c r="S525" s="144"/>
      <c r="T525" s="144"/>
      <c r="U525" s="144"/>
    </row>
    <row r="526" spans="1:21" x14ac:dyDescent="0.55000000000000004">
      <c r="A526" s="144"/>
      <c r="B526" s="144"/>
      <c r="C526" s="144"/>
      <c r="D526" s="144"/>
      <c r="E526" s="144" t="s">
        <v>598</v>
      </c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83"/>
      <c r="Q526" s="198" t="s">
        <v>599</v>
      </c>
      <c r="R526" s="144" t="s">
        <v>600</v>
      </c>
      <c r="S526" s="144"/>
      <c r="T526" s="144"/>
      <c r="U526" s="144"/>
    </row>
    <row r="527" spans="1:21" x14ac:dyDescent="0.55000000000000004">
      <c r="A527" s="142"/>
      <c r="B527" s="142"/>
      <c r="C527" s="142"/>
      <c r="D527" s="142"/>
      <c r="E527" s="144" t="s">
        <v>601</v>
      </c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83"/>
      <c r="Q527" s="198" t="s">
        <v>602</v>
      </c>
      <c r="R527" s="144" t="s">
        <v>603</v>
      </c>
      <c r="S527" s="144"/>
      <c r="T527" s="746">
        <v>14486000000</v>
      </c>
      <c r="U527" s="746"/>
    </row>
    <row r="528" spans="1:21" x14ac:dyDescent="0.55000000000000004">
      <c r="A528" s="142"/>
      <c r="B528" s="142"/>
      <c r="C528" s="142"/>
      <c r="D528" s="142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83"/>
      <c r="Q528" s="144"/>
      <c r="R528" s="144"/>
      <c r="S528" s="144"/>
      <c r="T528" s="144"/>
      <c r="U528" s="144"/>
    </row>
    <row r="529" spans="5:26" x14ac:dyDescent="0.55000000000000004">
      <c r="E529" s="144" t="s">
        <v>604</v>
      </c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83"/>
      <c r="Q529" s="744" t="s">
        <v>605</v>
      </c>
      <c r="R529" s="745"/>
      <c r="S529" s="745"/>
      <c r="T529" s="144"/>
      <c r="U529" s="144"/>
      <c r="V529" s="144"/>
      <c r="W529" s="144"/>
      <c r="X529" s="144"/>
      <c r="Y529" s="144"/>
      <c r="Z529" s="144"/>
    </row>
    <row r="530" spans="5:26" x14ac:dyDescent="0.55000000000000004">
      <c r="E530" s="144" t="s">
        <v>606</v>
      </c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83"/>
      <c r="Q530" s="744" t="s">
        <v>607</v>
      </c>
      <c r="R530" s="745"/>
      <c r="S530" s="745"/>
      <c r="T530" s="144"/>
      <c r="U530" s="144"/>
      <c r="V530" s="144"/>
      <c r="W530" s="144"/>
      <c r="X530" s="144"/>
      <c r="Y530" s="144"/>
      <c r="Z530" s="144"/>
    </row>
    <row r="531" spans="5:26" x14ac:dyDescent="0.55000000000000004">
      <c r="E531" s="144" t="s">
        <v>608</v>
      </c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44"/>
      <c r="Q531" s="312" t="s">
        <v>165</v>
      </c>
      <c r="R531" s="144"/>
      <c r="S531" s="144"/>
      <c r="T531" s="144"/>
      <c r="U531" s="144"/>
      <c r="V531" s="144"/>
      <c r="W531" s="144"/>
      <c r="X531" s="144"/>
      <c r="Y531" s="144"/>
      <c r="Z531" s="144"/>
    </row>
    <row r="532" spans="5:26" x14ac:dyDescent="0.55000000000000004">
      <c r="E532" s="144" t="s">
        <v>609</v>
      </c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83"/>
      <c r="Q532" s="159" t="s">
        <v>610</v>
      </c>
      <c r="R532" s="144"/>
      <c r="S532" s="144"/>
      <c r="T532" s="144"/>
      <c r="U532" s="144"/>
      <c r="V532" s="144"/>
      <c r="W532" s="144"/>
      <c r="X532" s="144"/>
      <c r="Y532" s="144"/>
      <c r="Z532" s="144"/>
    </row>
    <row r="533" spans="5:26" x14ac:dyDescent="0.55000000000000004">
      <c r="E533" s="144" t="s">
        <v>611</v>
      </c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83"/>
      <c r="Q533" s="159" t="s">
        <v>612</v>
      </c>
      <c r="R533" s="144"/>
      <c r="S533" s="144"/>
      <c r="T533" s="144"/>
      <c r="U533" s="144"/>
      <c r="V533" s="144"/>
      <c r="W533" s="144"/>
      <c r="X533" s="144"/>
      <c r="Y533" s="144"/>
      <c r="Z533" s="144"/>
    </row>
    <row r="534" spans="5:26" x14ac:dyDescent="0.55000000000000004">
      <c r="E534" s="144" t="s">
        <v>195</v>
      </c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83"/>
      <c r="Q534" s="144" t="s">
        <v>71</v>
      </c>
      <c r="R534" s="144"/>
      <c r="S534" s="144"/>
      <c r="T534" s="144"/>
      <c r="U534" s="144"/>
      <c r="V534" s="144"/>
      <c r="W534" s="144"/>
      <c r="X534" s="144"/>
      <c r="Y534" s="144"/>
      <c r="Z534" s="144"/>
    </row>
    <row r="535" spans="5:26" x14ac:dyDescent="0.55000000000000004"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83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</row>
    <row r="536" spans="5:26" x14ac:dyDescent="0.55000000000000004">
      <c r="E536" s="144" t="s">
        <v>613</v>
      </c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83"/>
      <c r="Q536" s="313">
        <v>10</v>
      </c>
      <c r="R536" s="144"/>
      <c r="S536" s="144"/>
      <c r="T536" s="144"/>
      <c r="U536" s="144"/>
      <c r="V536" s="144"/>
      <c r="W536" s="144"/>
      <c r="X536" s="144"/>
      <c r="Y536" s="144"/>
      <c r="Z536" s="144"/>
    </row>
    <row r="537" spans="5:26" x14ac:dyDescent="0.55000000000000004">
      <c r="E537" s="133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44"/>
      <c r="Q537" s="220"/>
      <c r="R537" s="144"/>
      <c r="S537" s="144"/>
      <c r="T537" s="144"/>
      <c r="U537" s="144"/>
      <c r="V537" s="144"/>
      <c r="W537" s="144"/>
      <c r="X537" s="144"/>
      <c r="Y537" s="144"/>
      <c r="Z537" s="144"/>
    </row>
    <row r="538" spans="5:26" x14ac:dyDescent="0.55000000000000004">
      <c r="E538" s="144" t="s">
        <v>614</v>
      </c>
      <c r="F538" s="176"/>
      <c r="G538" s="176"/>
      <c r="H538" s="144"/>
      <c r="I538" s="144"/>
      <c r="J538" s="144"/>
      <c r="K538" s="144"/>
      <c r="L538" s="144"/>
      <c r="M538" s="144"/>
      <c r="N538" s="144"/>
      <c r="O538" s="144"/>
      <c r="P538" s="183"/>
      <c r="Q538" s="742" t="s">
        <v>615</v>
      </c>
      <c r="R538" s="743"/>
      <c r="S538" s="144"/>
      <c r="T538" s="144"/>
      <c r="U538" s="144"/>
      <c r="V538" s="144"/>
      <c r="W538" s="144"/>
      <c r="X538" s="144"/>
      <c r="Y538" s="144"/>
      <c r="Z538" s="144"/>
    </row>
    <row r="539" spans="5:26" x14ac:dyDescent="0.55000000000000004"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83"/>
      <c r="Q539" s="357"/>
      <c r="R539" s="144"/>
      <c r="S539" s="144"/>
      <c r="T539" s="144"/>
      <c r="U539" s="144"/>
      <c r="V539" s="144"/>
      <c r="W539" s="144"/>
      <c r="X539" s="144"/>
      <c r="Y539" s="144"/>
      <c r="Z539" s="144"/>
    </row>
    <row r="540" spans="5:26" x14ac:dyDescent="0.55000000000000004">
      <c r="E540" s="144" t="s">
        <v>616</v>
      </c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83"/>
      <c r="Q540" s="164">
        <v>109.2</v>
      </c>
      <c r="R540" s="144"/>
      <c r="S540" s="144"/>
      <c r="T540" s="144"/>
      <c r="U540" s="144"/>
      <c r="V540" s="144"/>
      <c r="W540" s="144"/>
      <c r="X540" s="144"/>
      <c r="Y540" s="144"/>
      <c r="Z540" s="144"/>
    </row>
    <row r="541" spans="5:26" x14ac:dyDescent="0.55000000000000004">
      <c r="E541" s="144" t="s">
        <v>617</v>
      </c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83"/>
      <c r="Q541" s="164">
        <v>154.69999999999999</v>
      </c>
      <c r="R541" s="144"/>
      <c r="S541" s="144"/>
      <c r="T541" s="144"/>
      <c r="U541" s="144"/>
      <c r="V541" s="144"/>
      <c r="W541" s="144"/>
      <c r="X541" s="144"/>
      <c r="Y541" s="144"/>
      <c r="Z541" s="144"/>
    </row>
    <row r="542" spans="5:26" x14ac:dyDescent="0.55000000000000004">
      <c r="E542" s="176" t="s">
        <v>186</v>
      </c>
      <c r="F542" s="180"/>
      <c r="G542" s="180"/>
      <c r="H542" s="144"/>
      <c r="I542" s="144"/>
      <c r="J542" s="144"/>
      <c r="K542" s="144"/>
      <c r="L542" s="144"/>
      <c r="M542" s="144"/>
      <c r="N542" s="144"/>
      <c r="O542" s="144"/>
      <c r="P542" s="183"/>
      <c r="Q542" s="314">
        <v>182</v>
      </c>
      <c r="R542" s="144"/>
      <c r="S542" s="164">
        <v>182.41147566148516</v>
      </c>
      <c r="T542" s="195" t="s">
        <v>618</v>
      </c>
      <c r="U542" s="144"/>
      <c r="V542" s="144"/>
      <c r="W542" s="144"/>
      <c r="X542" s="144"/>
      <c r="Y542" s="144"/>
      <c r="Z542" s="144"/>
    </row>
    <row r="543" spans="5:26" x14ac:dyDescent="0.55000000000000004">
      <c r="E543" s="144" t="s">
        <v>619</v>
      </c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83"/>
      <c r="Q543" s="164">
        <v>209.29999999999998</v>
      </c>
      <c r="R543" s="144"/>
      <c r="S543" s="144"/>
      <c r="T543" s="144"/>
      <c r="U543" s="144"/>
      <c r="V543" s="144"/>
      <c r="W543" s="144"/>
      <c r="X543" s="144"/>
      <c r="Y543" s="144"/>
      <c r="Z543" s="144"/>
    </row>
    <row r="544" spans="5:26" x14ac:dyDescent="0.55000000000000004">
      <c r="E544" s="144" t="s">
        <v>620</v>
      </c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83"/>
      <c r="Q544" s="164">
        <v>282.10000000000002</v>
      </c>
      <c r="R544" s="144"/>
      <c r="S544" s="144"/>
      <c r="T544" s="144"/>
      <c r="U544" s="144"/>
      <c r="V544" s="144"/>
      <c r="W544" s="144"/>
      <c r="X544" s="144"/>
      <c r="Y544" s="144"/>
      <c r="Z544" s="144"/>
    </row>
    <row r="545" spans="5:37" x14ac:dyDescent="0.55000000000000004"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83"/>
      <c r="Q545" s="357"/>
      <c r="R545" s="144"/>
      <c r="S545" s="144"/>
      <c r="T545" s="144"/>
      <c r="U545" s="144"/>
      <c r="V545" s="144"/>
      <c r="W545" s="144"/>
      <c r="X545" s="144"/>
      <c r="Y545" s="144"/>
      <c r="Z545" s="144"/>
      <c r="AA545" s="277" t="s">
        <v>621</v>
      </c>
      <c r="AB545" s="237"/>
      <c r="AC545" s="237"/>
      <c r="AD545" s="237"/>
      <c r="AE545" s="237"/>
      <c r="AF545" s="237"/>
      <c r="AG545" s="278"/>
      <c r="AH545" s="144"/>
      <c r="AI545" s="144"/>
      <c r="AJ545" s="144"/>
      <c r="AK545" s="144"/>
    </row>
    <row r="546" spans="5:37" x14ac:dyDescent="0.55000000000000004">
      <c r="E546" s="144" t="s">
        <v>622</v>
      </c>
      <c r="F546" s="176"/>
      <c r="G546" s="176"/>
      <c r="H546" s="144"/>
      <c r="I546" s="144"/>
      <c r="J546" s="144"/>
      <c r="K546" s="144"/>
      <c r="L546" s="144"/>
      <c r="M546" s="144"/>
      <c r="N546" s="144"/>
      <c r="O546" s="144"/>
      <c r="P546" s="183"/>
      <c r="Q546" s="742"/>
      <c r="R546" s="743"/>
      <c r="S546" s="743"/>
      <c r="T546" s="743"/>
      <c r="U546" s="743"/>
      <c r="V546" s="144" t="s">
        <v>623</v>
      </c>
      <c r="W546" s="144"/>
      <c r="X546" s="144"/>
      <c r="Y546" s="144"/>
      <c r="Z546" s="144"/>
      <c r="AA546" s="220"/>
      <c r="AB546" s="144"/>
      <c r="AC546" s="144"/>
      <c r="AD546" s="144"/>
      <c r="AE546" s="144"/>
      <c r="AF546" s="144"/>
      <c r="AG546" s="251"/>
      <c r="AH546" s="144"/>
      <c r="AI546" s="144"/>
      <c r="AJ546" s="144"/>
      <c r="AK546" s="144"/>
    </row>
    <row r="547" spans="5:37" x14ac:dyDescent="0.55000000000000004"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44"/>
      <c r="Q547" s="220"/>
      <c r="R547" s="144"/>
      <c r="S547" s="144"/>
      <c r="T547" s="144"/>
      <c r="U547" s="144"/>
      <c r="V547" s="144"/>
      <c r="W547" s="144"/>
      <c r="X547" s="144"/>
      <c r="Y547" s="144"/>
      <c r="Z547" s="144"/>
      <c r="AA547" s="220" t="s">
        <v>624</v>
      </c>
      <c r="AB547" s="144"/>
      <c r="AC547" s="144"/>
      <c r="AD547" s="144"/>
      <c r="AE547" s="144"/>
      <c r="AF547" s="144"/>
      <c r="AG547" s="251"/>
      <c r="AH547" s="133"/>
      <c r="AI547" s="133"/>
      <c r="AJ547" s="133"/>
      <c r="AK547" s="133"/>
    </row>
    <row r="548" spans="5:37" x14ac:dyDescent="0.55000000000000004">
      <c r="E548" s="144" t="s">
        <v>625</v>
      </c>
      <c r="F548" s="176"/>
      <c r="G548" s="176"/>
      <c r="H548" s="144"/>
      <c r="I548" s="144"/>
      <c r="J548" s="144"/>
      <c r="K548" s="144"/>
      <c r="L548" s="144"/>
      <c r="M548" s="144"/>
      <c r="N548" s="144"/>
      <c r="O548" s="144"/>
      <c r="P548" s="183"/>
      <c r="Q548" s="315">
        <v>1</v>
      </c>
      <c r="R548" s="144"/>
      <c r="S548" s="144"/>
      <c r="T548" s="144"/>
      <c r="U548" s="144"/>
      <c r="V548" s="144"/>
      <c r="W548" s="144"/>
      <c r="X548" s="144"/>
      <c r="Y548" s="144"/>
      <c r="Z548" s="144"/>
      <c r="AA548" s="220" t="s">
        <v>626</v>
      </c>
      <c r="AB548" s="144"/>
      <c r="AC548" s="144"/>
      <c r="AD548" s="144"/>
      <c r="AE548" s="144"/>
      <c r="AF548" s="144"/>
      <c r="AG548" s="251"/>
      <c r="AH548" s="144"/>
      <c r="AI548" s="144"/>
      <c r="AJ548" s="144"/>
      <c r="AK548" s="144"/>
    </row>
    <row r="549" spans="5:37" x14ac:dyDescent="0.55000000000000004">
      <c r="E549" s="144" t="s">
        <v>627</v>
      </c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83"/>
      <c r="Q549" s="316">
        <v>2378</v>
      </c>
      <c r="R549" s="144"/>
      <c r="S549" s="144"/>
      <c r="T549" s="144"/>
      <c r="U549" s="144"/>
      <c r="V549" s="144"/>
      <c r="W549" s="144"/>
      <c r="X549" s="144"/>
      <c r="Y549" s="144"/>
      <c r="Z549" s="144"/>
      <c r="AA549" s="220"/>
      <c r="AB549" s="144"/>
      <c r="AC549" s="144"/>
      <c r="AD549" s="144"/>
      <c r="AE549" s="144"/>
      <c r="AF549" s="144"/>
      <c r="AG549" s="251"/>
      <c r="AH549" s="144"/>
      <c r="AI549" s="144"/>
      <c r="AJ549" s="144"/>
      <c r="AK549" s="144"/>
    </row>
    <row r="550" spans="5:37" x14ac:dyDescent="0.55000000000000004"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44"/>
      <c r="Q550" s="220"/>
      <c r="R550" s="144"/>
      <c r="S550" s="144"/>
      <c r="T550" s="144"/>
      <c r="U550" s="144"/>
      <c r="V550" s="144"/>
      <c r="W550" s="144"/>
      <c r="X550" s="144"/>
      <c r="Y550" s="144"/>
      <c r="Z550" s="144"/>
      <c r="AA550" s="737" t="s">
        <v>628</v>
      </c>
      <c r="AB550" s="738"/>
      <c r="AC550" s="144"/>
      <c r="AD550" s="144"/>
      <c r="AE550" s="317" t="s">
        <v>629</v>
      </c>
      <c r="AF550" s="144" t="s">
        <v>630</v>
      </c>
      <c r="AG550" s="251"/>
      <c r="AH550" s="133"/>
      <c r="AI550" s="133"/>
      <c r="AJ550" s="133"/>
      <c r="AK550" s="133"/>
    </row>
    <row r="551" spans="5:37" x14ac:dyDescent="0.55000000000000004">
      <c r="E551" s="176" t="s">
        <v>631</v>
      </c>
      <c r="F551" s="176"/>
      <c r="G551" s="176"/>
      <c r="H551" s="144"/>
      <c r="I551" s="144"/>
      <c r="J551" s="144"/>
      <c r="K551" s="144"/>
      <c r="L551" s="144"/>
      <c r="M551" s="144"/>
      <c r="N551" s="144"/>
      <c r="O551" s="144"/>
      <c r="P551" s="183"/>
      <c r="Q551" s="144"/>
      <c r="R551" s="144"/>
      <c r="S551" s="144"/>
      <c r="T551" s="144"/>
      <c r="U551" s="144"/>
      <c r="V551" s="144"/>
      <c r="W551" s="277" t="s">
        <v>632</v>
      </c>
      <c r="X551" s="237"/>
      <c r="Y551" s="276"/>
      <c r="Z551" s="144"/>
      <c r="AA551" s="220"/>
      <c r="AB551" s="144"/>
      <c r="AC551" s="144"/>
      <c r="AD551" s="144"/>
      <c r="AE551" s="142">
        <v>2</v>
      </c>
      <c r="AF551" s="144"/>
      <c r="AG551" s="251"/>
      <c r="AH551" s="144"/>
      <c r="AI551" s="144"/>
      <c r="AJ551" s="144"/>
      <c r="AK551" s="144"/>
    </row>
    <row r="552" spans="5:37" x14ac:dyDescent="0.55000000000000004">
      <c r="E552" s="144" t="s">
        <v>633</v>
      </c>
      <c r="F552" s="176"/>
      <c r="G552" s="176"/>
      <c r="H552" s="144"/>
      <c r="I552" s="144"/>
      <c r="J552" s="144"/>
      <c r="K552" s="144"/>
      <c r="L552" s="144"/>
      <c r="M552" s="144"/>
      <c r="N552" s="144"/>
      <c r="O552" s="144"/>
      <c r="P552" s="183"/>
      <c r="Q552" s="737" t="s">
        <v>634</v>
      </c>
      <c r="R552" s="765"/>
      <c r="S552" s="144"/>
      <c r="T552" s="144"/>
      <c r="U552" s="144"/>
      <c r="V552" s="144"/>
      <c r="W552" s="220" t="s">
        <v>635</v>
      </c>
      <c r="X552" s="144"/>
      <c r="Y552" s="183">
        <v>75</v>
      </c>
      <c r="Z552" s="144"/>
      <c r="AA552" s="220" t="s">
        <v>636</v>
      </c>
      <c r="AB552" s="144"/>
      <c r="AC552" s="144"/>
      <c r="AD552" s="144"/>
      <c r="AE552" s="144"/>
      <c r="AF552" s="144"/>
      <c r="AG552" s="251"/>
      <c r="AH552" s="144"/>
      <c r="AI552" s="144"/>
      <c r="AJ552" s="144"/>
      <c r="AK552" s="144"/>
    </row>
    <row r="553" spans="5:37" x14ac:dyDescent="0.55000000000000004">
      <c r="E553" s="144" t="s">
        <v>637</v>
      </c>
      <c r="F553" s="176"/>
      <c r="G553" s="176"/>
      <c r="H553" s="144"/>
      <c r="I553" s="144"/>
      <c r="J553" s="144"/>
      <c r="K553" s="144"/>
      <c r="L553" s="144"/>
      <c r="M553" s="144"/>
      <c r="N553" s="144"/>
      <c r="O553" s="144"/>
      <c r="P553" s="183"/>
      <c r="Q553" s="255">
        <v>0</v>
      </c>
      <c r="R553" s="144"/>
      <c r="S553" s="144"/>
      <c r="T553" s="144"/>
      <c r="U553" s="144"/>
      <c r="V553" s="144"/>
      <c r="W553" s="220" t="s">
        <v>638</v>
      </c>
      <c r="X553" s="144"/>
      <c r="Y553" s="183">
        <v>100</v>
      </c>
      <c r="Z553" s="144"/>
      <c r="AA553" s="220"/>
      <c r="AB553" s="144"/>
      <c r="AC553" s="144"/>
      <c r="AD553" s="144"/>
      <c r="AE553" s="144"/>
      <c r="AF553" s="144"/>
      <c r="AG553" s="251"/>
      <c r="AH553" s="144"/>
      <c r="AI553" s="144"/>
      <c r="AJ553" s="144"/>
      <c r="AK553" s="144"/>
    </row>
    <row r="554" spans="5:37" x14ac:dyDescent="0.55000000000000004">
      <c r="E554" s="144" t="s">
        <v>639</v>
      </c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83"/>
      <c r="Q554" s="258">
        <v>0.09</v>
      </c>
      <c r="R554" s="144"/>
      <c r="S554" s="144"/>
      <c r="T554" s="144"/>
      <c r="U554" s="144"/>
      <c r="V554" s="144"/>
      <c r="W554" s="220" t="s">
        <v>69</v>
      </c>
      <c r="X554" s="144"/>
      <c r="Y554" s="183">
        <v>130</v>
      </c>
      <c r="Z554" s="144"/>
      <c r="AA554" s="318">
        <v>0.11</v>
      </c>
      <c r="AB554" s="144"/>
      <c r="AC554" s="144"/>
      <c r="AD554" s="144"/>
      <c r="AE554" s="144"/>
      <c r="AF554" s="144"/>
      <c r="AG554" s="251"/>
      <c r="AH554" s="144"/>
      <c r="AI554" s="144"/>
      <c r="AJ554" s="144"/>
      <c r="AK554" s="144"/>
    </row>
    <row r="555" spans="5:37" x14ac:dyDescent="0.55000000000000004">
      <c r="E555" s="144" t="s">
        <v>640</v>
      </c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83"/>
      <c r="Q555" s="755" t="s">
        <v>641</v>
      </c>
      <c r="R555" s="756"/>
      <c r="S555" s="144"/>
      <c r="T555" s="144"/>
      <c r="U555" s="144"/>
      <c r="V555" s="144"/>
      <c r="W555" s="220" t="s">
        <v>641</v>
      </c>
      <c r="X555" s="144"/>
      <c r="Y555" s="183">
        <v>200</v>
      </c>
      <c r="Z555" s="144"/>
      <c r="AA555" s="220"/>
      <c r="AB555" s="144"/>
      <c r="AC555" s="144"/>
      <c r="AD555" s="144"/>
      <c r="AE555" s="144"/>
      <c r="AF555" s="144"/>
      <c r="AG555" s="251"/>
      <c r="AH555" s="144"/>
      <c r="AI555" s="144"/>
      <c r="AJ555" s="144"/>
      <c r="AK555" s="144"/>
    </row>
    <row r="556" spans="5:37" x14ac:dyDescent="0.55000000000000004">
      <c r="E556" s="144" t="s">
        <v>642</v>
      </c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83"/>
      <c r="Q556" s="319">
        <v>6.5000000000000002E-2</v>
      </c>
      <c r="R556" s="144"/>
      <c r="S556" s="144"/>
      <c r="T556" s="144"/>
      <c r="U556" s="144"/>
      <c r="V556" s="144"/>
      <c r="W556" s="220" t="s">
        <v>643</v>
      </c>
      <c r="X556" s="144"/>
      <c r="Y556" s="183">
        <v>350</v>
      </c>
      <c r="Z556" s="144"/>
      <c r="AA556" s="220" t="s">
        <v>644</v>
      </c>
      <c r="AB556" s="144"/>
      <c r="AC556" s="144"/>
      <c r="AD556" s="144"/>
      <c r="AE556" s="144"/>
      <c r="AF556" s="144"/>
      <c r="AG556" s="251"/>
      <c r="AH556" s="144"/>
      <c r="AI556" s="144"/>
      <c r="AJ556" s="144"/>
      <c r="AK556" s="144"/>
    </row>
    <row r="557" spans="5:37" x14ac:dyDescent="0.55000000000000004">
      <c r="E557" s="144" t="s">
        <v>645</v>
      </c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83"/>
      <c r="Q557" s="255"/>
      <c r="R557" s="144"/>
      <c r="S557" s="144"/>
      <c r="T557" s="144"/>
      <c r="U557" s="144"/>
      <c r="V557" s="144"/>
      <c r="W557" s="220" t="s">
        <v>71</v>
      </c>
      <c r="X557" s="144"/>
      <c r="Y557" s="183">
        <v>550</v>
      </c>
      <c r="Z557" s="144"/>
      <c r="AA557" s="220" t="s">
        <v>646</v>
      </c>
      <c r="AB557" s="144"/>
      <c r="AC557" s="144"/>
      <c r="AD557" s="144"/>
      <c r="AE557" s="144"/>
      <c r="AF557" s="144"/>
      <c r="AG557" s="251"/>
      <c r="AH557" s="144"/>
      <c r="AI557" s="144"/>
      <c r="AJ557" s="144"/>
      <c r="AK557" s="144"/>
    </row>
    <row r="558" spans="5:37" x14ac:dyDescent="0.55000000000000004">
      <c r="E558" s="144" t="s">
        <v>647</v>
      </c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83"/>
      <c r="Q558" s="255"/>
      <c r="R558" s="144"/>
      <c r="S558" s="221" t="s">
        <v>648</v>
      </c>
      <c r="T558" s="144"/>
      <c r="U558" s="221" t="s">
        <v>649</v>
      </c>
      <c r="V558" s="144"/>
      <c r="W558" s="236" t="s">
        <v>650</v>
      </c>
      <c r="X558" s="139"/>
      <c r="Y558" s="287">
        <v>1000</v>
      </c>
      <c r="Z558" s="144"/>
      <c r="AA558" s="220"/>
      <c r="AB558" s="144"/>
      <c r="AC558" s="144"/>
      <c r="AD558" s="144"/>
      <c r="AE558" s="317" t="s">
        <v>651</v>
      </c>
      <c r="AF558" s="317" t="s">
        <v>630</v>
      </c>
      <c r="AG558" s="251"/>
      <c r="AH558" s="144"/>
      <c r="AI558" s="144"/>
      <c r="AJ558" s="144"/>
      <c r="AK558" s="144"/>
    </row>
    <row r="559" spans="5:37" x14ac:dyDescent="0.55000000000000004">
      <c r="E559" s="144" t="s">
        <v>652</v>
      </c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83"/>
      <c r="Q559" s="255">
        <v>0.85</v>
      </c>
      <c r="R559" s="144"/>
      <c r="S559" s="258">
        <v>0.91620121478143746</v>
      </c>
      <c r="T559" s="144"/>
      <c r="U559" s="184">
        <v>26535.233684771702</v>
      </c>
      <c r="V559" s="144"/>
      <c r="W559" s="144"/>
      <c r="X559" s="144"/>
      <c r="Y559" s="144"/>
      <c r="Z559" s="144"/>
      <c r="AA559" s="300">
        <v>0.5</v>
      </c>
      <c r="AB559" s="144"/>
      <c r="AC559" s="144"/>
      <c r="AD559" s="144"/>
      <c r="AE559" s="317" t="s">
        <v>653</v>
      </c>
      <c r="AF559" s="320">
        <v>5.0454545454545459</v>
      </c>
      <c r="AG559" s="251"/>
      <c r="AH559" s="144"/>
      <c r="AI559" s="144"/>
      <c r="AJ559" s="144"/>
      <c r="AK559" s="144"/>
    </row>
    <row r="560" spans="5:37" x14ac:dyDescent="0.55000000000000004">
      <c r="E560" s="144" t="s">
        <v>654</v>
      </c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83"/>
      <c r="Q560" s="258">
        <v>0.15000000000000002</v>
      </c>
      <c r="R560" s="144"/>
      <c r="S560" s="258">
        <v>8.3798785218562502E-2</v>
      </c>
      <c r="T560" s="144"/>
      <c r="U560" s="184">
        <v>2427</v>
      </c>
      <c r="V560" s="144"/>
      <c r="W560" s="144"/>
      <c r="X560" s="144"/>
      <c r="Y560" s="144"/>
      <c r="Z560" s="144"/>
      <c r="AA560" s="220"/>
      <c r="AB560" s="144"/>
      <c r="AC560" s="144"/>
      <c r="AD560" s="144"/>
      <c r="AE560" s="144"/>
      <c r="AF560" s="144"/>
      <c r="AG560" s="251"/>
      <c r="AH560" s="144"/>
      <c r="AI560" s="144"/>
      <c r="AJ560" s="142">
        <v>2</v>
      </c>
      <c r="AK560" s="144"/>
    </row>
    <row r="561" spans="5:37" x14ac:dyDescent="0.55000000000000004">
      <c r="E561" s="144" t="s">
        <v>655</v>
      </c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83"/>
      <c r="Q561" s="255"/>
      <c r="R561" s="144"/>
      <c r="S561" s="258">
        <v>0</v>
      </c>
      <c r="T561" s="144"/>
      <c r="U561" s="184">
        <v>0</v>
      </c>
      <c r="V561" s="144"/>
      <c r="W561" s="144"/>
      <c r="X561" s="144"/>
      <c r="Y561" s="144"/>
      <c r="Z561" s="144"/>
      <c r="AA561" s="220" t="s">
        <v>656</v>
      </c>
      <c r="AB561" s="144"/>
      <c r="AC561" s="144"/>
      <c r="AD561" s="144"/>
      <c r="AE561" s="144"/>
      <c r="AF561" s="144"/>
      <c r="AG561" s="251"/>
      <c r="AH561" s="144"/>
      <c r="AI561" s="144"/>
      <c r="AJ561" s="144"/>
      <c r="AK561" s="144"/>
    </row>
    <row r="562" spans="5:37" x14ac:dyDescent="0.55000000000000004">
      <c r="E562" s="144" t="s">
        <v>85</v>
      </c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83"/>
      <c r="Q562" s="241">
        <v>1</v>
      </c>
      <c r="R562" s="144"/>
      <c r="S562" s="144"/>
      <c r="T562" s="144"/>
      <c r="U562" s="184">
        <v>28962.233684771702</v>
      </c>
      <c r="V562" s="144"/>
      <c r="W562" s="144"/>
      <c r="X562" s="144"/>
      <c r="Y562" s="144"/>
      <c r="Z562" s="144"/>
      <c r="AA562" s="220"/>
      <c r="AB562" s="144"/>
      <c r="AC562" s="144"/>
      <c r="AD562" s="144"/>
      <c r="AE562" s="144"/>
      <c r="AF562" s="144"/>
      <c r="AG562" s="251"/>
      <c r="AH562" s="144"/>
      <c r="AI562" s="144"/>
      <c r="AJ562" s="144"/>
      <c r="AK562" s="144"/>
    </row>
    <row r="563" spans="5:37" x14ac:dyDescent="0.55000000000000004"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83"/>
      <c r="Q563" s="241"/>
      <c r="R563" s="144"/>
      <c r="S563" s="144"/>
      <c r="T563" s="144"/>
      <c r="U563" s="144"/>
      <c r="V563" s="144"/>
      <c r="W563" s="144"/>
      <c r="X563" s="144"/>
      <c r="Y563" s="144"/>
      <c r="Z563" s="144"/>
      <c r="AA563" s="291">
        <v>1.0020127955394889</v>
      </c>
      <c r="AB563" s="144"/>
      <c r="AC563" s="144"/>
      <c r="AD563" s="144"/>
      <c r="AE563" s="317" t="s">
        <v>657</v>
      </c>
      <c r="AF563" s="144" t="s">
        <v>69</v>
      </c>
      <c r="AG563" s="251"/>
      <c r="AH563" s="144"/>
      <c r="AI563" s="144"/>
      <c r="AJ563" s="144"/>
      <c r="AK563" s="144"/>
    </row>
    <row r="564" spans="5:37" x14ac:dyDescent="0.55000000000000004">
      <c r="E564" s="144" t="s">
        <v>658</v>
      </c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83"/>
      <c r="Q564" s="255">
        <v>0.23</v>
      </c>
      <c r="R564" s="144"/>
      <c r="S564" s="144"/>
      <c r="T564" s="144"/>
      <c r="U564" s="144"/>
      <c r="V564" s="144"/>
      <c r="W564" s="144"/>
      <c r="X564" s="144"/>
      <c r="Y564" s="144"/>
      <c r="Z564" s="144"/>
      <c r="AA564" s="220"/>
      <c r="AB564" s="144"/>
      <c r="AC564" s="144"/>
      <c r="AD564" s="144"/>
      <c r="AE564" s="142">
        <v>1</v>
      </c>
      <c r="AF564" s="144"/>
      <c r="AG564" s="251"/>
      <c r="AH564" s="144"/>
      <c r="AI564" s="144"/>
      <c r="AJ564" s="142">
        <v>1.6666666666666667</v>
      </c>
      <c r="AK564" s="144"/>
    </row>
    <row r="565" spans="5:37" ht="16.149999999999999" thickBot="1" x14ac:dyDescent="0.6"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83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  <c r="AA565" s="285" t="s">
        <v>659</v>
      </c>
      <c r="AB565" s="253"/>
      <c r="AC565" s="253"/>
      <c r="AD565" s="253"/>
      <c r="AE565" s="321" t="s">
        <v>634</v>
      </c>
      <c r="AF565" s="253"/>
      <c r="AG565" s="254"/>
      <c r="AH565" s="144"/>
      <c r="AI565" s="144"/>
      <c r="AJ565" s="144"/>
      <c r="AK565" s="144"/>
    </row>
    <row r="566" spans="5:37" x14ac:dyDescent="0.55000000000000004">
      <c r="E566" s="176" t="s">
        <v>21</v>
      </c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358"/>
      <c r="Q566" s="261">
        <v>8.4007499999999999E-2</v>
      </c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  <c r="AB566" s="176"/>
      <c r="AC566" s="176"/>
      <c r="AD566" s="176"/>
      <c r="AE566" s="176"/>
      <c r="AF566" s="176"/>
      <c r="AG566" s="176"/>
      <c r="AH566" s="176"/>
      <c r="AI566" s="176"/>
      <c r="AJ566" s="176"/>
      <c r="AK566" s="176"/>
    </row>
    <row r="567" spans="5:37" x14ac:dyDescent="0.55000000000000004"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220"/>
      <c r="R567" s="144"/>
      <c r="S567" s="144"/>
      <c r="T567" s="144"/>
      <c r="U567" s="144"/>
      <c r="V567" s="144"/>
      <c r="W567" s="144"/>
      <c r="X567" s="144"/>
      <c r="Y567" s="144"/>
      <c r="Z567" s="144"/>
      <c r="AA567" s="133"/>
      <c r="AB567" s="133"/>
      <c r="AC567" s="133"/>
      <c r="AD567" s="133"/>
      <c r="AE567" s="133"/>
      <c r="AF567" s="133"/>
      <c r="AG567" s="133"/>
      <c r="AH567" s="133"/>
      <c r="AI567" s="133"/>
      <c r="AJ567" s="133"/>
      <c r="AK567" s="133"/>
    </row>
    <row r="568" spans="5:37" ht="16.149999999999999" thickBot="1" x14ac:dyDescent="0.6"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44"/>
      <c r="Q568" s="252"/>
      <c r="R568" s="144"/>
      <c r="S568" s="144"/>
      <c r="T568" s="144"/>
      <c r="U568" s="144"/>
      <c r="V568" s="144"/>
      <c r="W568" s="144"/>
      <c r="X568" s="144"/>
      <c r="Y568" s="144"/>
      <c r="Z568" s="144"/>
      <c r="AA568" s="133"/>
      <c r="AB568" s="133"/>
      <c r="AC568" s="133"/>
      <c r="AD568" s="133"/>
      <c r="AE568" s="133"/>
      <c r="AF568" s="133"/>
      <c r="AG568" s="133"/>
      <c r="AH568" s="133"/>
      <c r="AI568" s="133"/>
      <c r="AJ568" s="133"/>
      <c r="AK568" s="133"/>
    </row>
    <row r="569" spans="5:37" x14ac:dyDescent="0.55000000000000004">
      <c r="E569" s="174"/>
      <c r="F569" s="174"/>
      <c r="G569" s="174"/>
      <c r="H569" s="174"/>
      <c r="I569" s="174"/>
      <c r="J569" s="174"/>
      <c r="K569" s="174"/>
      <c r="L569" s="174"/>
      <c r="M569" s="174"/>
      <c r="N569" s="174"/>
      <c r="O569" s="174"/>
      <c r="P569" s="174"/>
      <c r="Q569" s="174"/>
      <c r="R569" s="174"/>
      <c r="S569" s="174"/>
      <c r="T569" s="174"/>
      <c r="U569" s="174"/>
      <c r="V569" s="174"/>
      <c r="W569" s="174"/>
      <c r="X569" s="174"/>
      <c r="Y569" s="174"/>
      <c r="Z569" s="174"/>
      <c r="AA569" s="174"/>
      <c r="AB569" s="174"/>
      <c r="AC569" s="174"/>
      <c r="AD569" s="174"/>
      <c r="AE569" s="174"/>
      <c r="AF569" s="174"/>
      <c r="AG569" s="174"/>
      <c r="AH569" s="174"/>
      <c r="AI569" s="174"/>
      <c r="AJ569" s="174"/>
      <c r="AK569" s="174"/>
    </row>
    <row r="570" spans="5:37" x14ac:dyDescent="0.55000000000000004"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44"/>
      <c r="U570" s="133"/>
      <c r="V570" s="133"/>
      <c r="W570" s="133"/>
      <c r="X570" s="133"/>
      <c r="Y570" s="133"/>
      <c r="Z570" s="133"/>
      <c r="AA570" s="133"/>
      <c r="AB570" s="133"/>
      <c r="AC570" s="133"/>
      <c r="AD570" s="133"/>
      <c r="AE570" s="133"/>
      <c r="AF570" s="133"/>
      <c r="AG570" s="133"/>
      <c r="AH570" s="133"/>
      <c r="AI570" s="133"/>
      <c r="AJ570" s="133"/>
      <c r="AK570" s="133"/>
    </row>
    <row r="571" spans="5:37" x14ac:dyDescent="0.55000000000000004"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44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  <c r="AC571" s="133"/>
      <c r="AD571" s="133"/>
      <c r="AE571" s="133"/>
      <c r="AF571" s="133"/>
      <c r="AG571" s="133"/>
      <c r="AH571" s="133"/>
      <c r="AI571" s="133"/>
      <c r="AJ571" s="133"/>
      <c r="AK571" s="133"/>
    </row>
    <row r="572" spans="5:37" x14ac:dyDescent="0.55000000000000004">
      <c r="E572" s="144" t="s">
        <v>660</v>
      </c>
      <c r="F572" s="161">
        <v>104</v>
      </c>
      <c r="G572" s="161">
        <v>-37</v>
      </c>
      <c r="H572" s="161">
        <v>11</v>
      </c>
      <c r="I572" s="161">
        <v>-46</v>
      </c>
      <c r="J572" s="161">
        <v>0</v>
      </c>
      <c r="K572" s="161">
        <v>0</v>
      </c>
      <c r="L572" s="161">
        <v>0</v>
      </c>
      <c r="M572" s="161">
        <v>0</v>
      </c>
      <c r="N572" s="161">
        <v>43</v>
      </c>
      <c r="O572" s="161">
        <v>68</v>
      </c>
      <c r="P572" s="161">
        <v>329</v>
      </c>
      <c r="Q572" s="161">
        <v>0</v>
      </c>
      <c r="R572" s="161">
        <v>0</v>
      </c>
      <c r="S572" s="161">
        <v>0</v>
      </c>
      <c r="T572" s="161">
        <v>0</v>
      </c>
      <c r="U572" s="161">
        <v>0</v>
      </c>
      <c r="V572" s="161">
        <v>0</v>
      </c>
      <c r="W572" s="161">
        <v>0</v>
      </c>
      <c r="X572" s="161">
        <v>0</v>
      </c>
      <c r="Y572" s="161">
        <v>0</v>
      </c>
      <c r="Z572" s="161">
        <v>0</v>
      </c>
      <c r="AA572" s="133"/>
      <c r="AB572" s="133"/>
      <c r="AC572" s="133"/>
      <c r="AD572" s="133"/>
      <c r="AE572" s="133"/>
      <c r="AF572" s="133"/>
      <c r="AG572" s="133"/>
      <c r="AH572" s="133"/>
      <c r="AI572" s="133"/>
      <c r="AJ572" s="133"/>
      <c r="AK572" s="133"/>
    </row>
    <row r="573" spans="5:37" x14ac:dyDescent="0.55000000000000004">
      <c r="E573" s="144" t="s">
        <v>661</v>
      </c>
      <c r="F573" s="161">
        <v>597</v>
      </c>
      <c r="G573" s="161">
        <v>146</v>
      </c>
      <c r="H573" s="161">
        <v>-59</v>
      </c>
      <c r="I573" s="161">
        <v>0</v>
      </c>
      <c r="J573" s="161">
        <v>0</v>
      </c>
      <c r="K573" s="161">
        <v>0</v>
      </c>
      <c r="L573" s="161">
        <v>38</v>
      </c>
      <c r="M573" s="161">
        <v>0</v>
      </c>
      <c r="N573" s="161">
        <v>9</v>
      </c>
      <c r="O573" s="161">
        <v>71</v>
      </c>
      <c r="P573" s="161">
        <v>115</v>
      </c>
      <c r="Q573" s="161">
        <v>0</v>
      </c>
      <c r="R573" s="161">
        <v>0</v>
      </c>
      <c r="S573" s="161">
        <v>0</v>
      </c>
      <c r="T573" s="161">
        <v>0</v>
      </c>
      <c r="U573" s="161">
        <v>0</v>
      </c>
      <c r="V573" s="161">
        <v>0</v>
      </c>
      <c r="W573" s="161">
        <v>0</v>
      </c>
      <c r="X573" s="161">
        <v>0</v>
      </c>
      <c r="Y573" s="161">
        <v>0</v>
      </c>
      <c r="Z573" s="161">
        <v>0</v>
      </c>
      <c r="AA573" s="133"/>
      <c r="AB573" s="133"/>
      <c r="AC573" s="133"/>
      <c r="AD573" s="133"/>
      <c r="AE573" s="133"/>
      <c r="AF573" s="133"/>
      <c r="AG573" s="133"/>
      <c r="AH573" s="133"/>
      <c r="AI573" s="133"/>
      <c r="AJ573" s="133"/>
      <c r="AK573" s="133"/>
    </row>
    <row r="574" spans="5:37" x14ac:dyDescent="0.55000000000000004"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  <c r="AC574" s="133"/>
      <c r="AD574" s="133"/>
      <c r="AE574" s="133"/>
      <c r="AF574" s="133"/>
      <c r="AG574" s="133"/>
      <c r="AH574" s="133"/>
      <c r="AI574" s="133"/>
      <c r="AJ574" s="133"/>
      <c r="AK574" s="133"/>
    </row>
    <row r="575" spans="5:37" x14ac:dyDescent="0.55000000000000004">
      <c r="E575" s="144" t="s">
        <v>662</v>
      </c>
      <c r="F575" s="161">
        <v>14</v>
      </c>
      <c r="G575" s="161">
        <v>138</v>
      </c>
      <c r="H575" s="161">
        <v>53</v>
      </c>
      <c r="I575" s="161">
        <v>15</v>
      </c>
      <c r="J575" s="161">
        <v>33</v>
      </c>
      <c r="K575" s="161">
        <v>-2</v>
      </c>
      <c r="L575" s="161">
        <v>51</v>
      </c>
      <c r="M575" s="161">
        <v>98</v>
      </c>
      <c r="N575" s="161">
        <v>95</v>
      </c>
      <c r="O575" s="161">
        <v>101</v>
      </c>
      <c r="P575" s="161">
        <v>110</v>
      </c>
      <c r="Q575" s="161">
        <v>110</v>
      </c>
      <c r="R575" s="161">
        <v>110</v>
      </c>
      <c r="S575" s="161">
        <v>110</v>
      </c>
      <c r="T575" s="161">
        <v>110</v>
      </c>
      <c r="U575" s="161">
        <v>110</v>
      </c>
      <c r="V575" s="161">
        <v>110</v>
      </c>
      <c r="W575" s="161">
        <v>110</v>
      </c>
      <c r="X575" s="161">
        <v>110</v>
      </c>
      <c r="Y575" s="161">
        <v>110</v>
      </c>
      <c r="Z575" s="161">
        <v>110</v>
      </c>
      <c r="AA575" s="133"/>
      <c r="AB575" s="133"/>
      <c r="AC575" s="133"/>
      <c r="AD575" s="133"/>
      <c r="AE575" s="133"/>
      <c r="AF575" s="133"/>
      <c r="AG575" s="133"/>
      <c r="AH575" s="133"/>
      <c r="AI575" s="133"/>
      <c r="AJ575" s="133"/>
      <c r="AK575" s="133"/>
    </row>
    <row r="576" spans="5:37" x14ac:dyDescent="0.55000000000000004">
      <c r="E576" s="144" t="s">
        <v>663</v>
      </c>
      <c r="F576" s="161">
        <v>0</v>
      </c>
      <c r="G576" s="161">
        <v>0</v>
      </c>
      <c r="H576" s="161">
        <v>0</v>
      </c>
      <c r="I576" s="161">
        <v>0</v>
      </c>
      <c r="J576" s="161">
        <v>0</v>
      </c>
      <c r="K576" s="161">
        <v>0</v>
      </c>
      <c r="L576" s="161">
        <v>0</v>
      </c>
      <c r="M576" s="161">
        <v>0</v>
      </c>
      <c r="N576" s="161">
        <v>0</v>
      </c>
      <c r="O576" s="161">
        <v>0</v>
      </c>
      <c r="P576" s="161">
        <v>0</v>
      </c>
      <c r="Q576" s="161">
        <v>0</v>
      </c>
      <c r="R576" s="161">
        <v>0</v>
      </c>
      <c r="S576" s="161">
        <v>0</v>
      </c>
      <c r="T576" s="161">
        <v>0</v>
      </c>
      <c r="U576" s="161">
        <v>0</v>
      </c>
      <c r="V576" s="161">
        <v>0</v>
      </c>
      <c r="W576" s="161">
        <v>0</v>
      </c>
      <c r="X576" s="161">
        <v>0</v>
      </c>
      <c r="Y576" s="161">
        <v>0</v>
      </c>
      <c r="Z576" s="161">
        <v>0</v>
      </c>
      <c r="AA576" s="133"/>
      <c r="AB576" s="133"/>
      <c r="AC576" s="133"/>
      <c r="AD576" s="133"/>
      <c r="AE576" s="133"/>
      <c r="AF576" s="133"/>
      <c r="AG576" s="133"/>
      <c r="AH576" s="133"/>
      <c r="AI576" s="133"/>
      <c r="AJ576" s="133"/>
      <c r="AK576" s="133"/>
    </row>
    <row r="577" spans="5:26" x14ac:dyDescent="0.55000000000000004">
      <c r="E577" s="144" t="s">
        <v>664</v>
      </c>
      <c r="F577" s="161">
        <v>533</v>
      </c>
      <c r="G577" s="161">
        <v>-150</v>
      </c>
      <c r="H577" s="161">
        <v>-666</v>
      </c>
      <c r="I577" s="161">
        <v>-1138</v>
      </c>
      <c r="J577" s="161">
        <v>-1809</v>
      </c>
      <c r="K577" s="161">
        <v>-1879</v>
      </c>
      <c r="L577" s="161">
        <v>-1895</v>
      </c>
      <c r="M577" s="161">
        <v>-1217</v>
      </c>
      <c r="N577" s="161">
        <v>-844</v>
      </c>
      <c r="O577" s="161">
        <v>-824</v>
      </c>
      <c r="P577" s="161">
        <v>-893</v>
      </c>
      <c r="Q577" s="161">
        <v>-1013.6543153488692</v>
      </c>
      <c r="R577" s="161">
        <v>-762.51716998063057</v>
      </c>
      <c r="S577" s="161">
        <v>-57.60527199572789</v>
      </c>
      <c r="T577" s="161">
        <v>-18.414578139374498</v>
      </c>
      <c r="U577" s="161">
        <v>336.90332855558518</v>
      </c>
      <c r="V577" s="161">
        <v>747.15970211460808</v>
      </c>
      <c r="W577" s="161">
        <v>1178.882930912956</v>
      </c>
      <c r="X577" s="161">
        <v>1564.9063916031428</v>
      </c>
      <c r="Y577" s="161">
        <v>1916.5699069288603</v>
      </c>
      <c r="Z577" s="161">
        <v>2169.7442241524586</v>
      </c>
    </row>
    <row r="578" spans="5:26" x14ac:dyDescent="0.55000000000000004">
      <c r="E578" s="144" t="s">
        <v>665</v>
      </c>
      <c r="F578" s="161">
        <v>-225</v>
      </c>
      <c r="G578" s="161">
        <v>938</v>
      </c>
      <c r="H578" s="161">
        <v>268</v>
      </c>
      <c r="I578" s="161">
        <v>352</v>
      </c>
      <c r="J578" s="161">
        <v>116</v>
      </c>
      <c r="K578" s="161">
        <v>230</v>
      </c>
      <c r="L578" s="161">
        <v>-722</v>
      </c>
      <c r="M578" s="161">
        <v>-314</v>
      </c>
      <c r="N578" s="161">
        <v>-192</v>
      </c>
      <c r="O578" s="161">
        <v>113</v>
      </c>
      <c r="P578" s="161">
        <v>143</v>
      </c>
      <c r="Q578" s="161">
        <v>120.65431534886807</v>
      </c>
      <c r="R578" s="161">
        <v>-157.07700817853538</v>
      </c>
      <c r="S578" s="161">
        <v>-584.54544147197169</v>
      </c>
      <c r="T578" s="161">
        <v>-39.190693856352027</v>
      </c>
      <c r="U578" s="161">
        <v>-203.56208673989568</v>
      </c>
      <c r="V578" s="161">
        <v>-245.12849658402172</v>
      </c>
      <c r="W578" s="161">
        <v>-252.87358843678226</v>
      </c>
      <c r="X578" s="161">
        <v>-194.87582388460646</v>
      </c>
      <c r="Y578" s="161">
        <v>-149.29493292148254</v>
      </c>
      <c r="Z578" s="161">
        <v>-42.539593400614194</v>
      </c>
    </row>
    <row r="579" spans="5:26" x14ac:dyDescent="0.55000000000000004">
      <c r="E579" s="144" t="s">
        <v>666</v>
      </c>
      <c r="F579" s="161">
        <v>-349</v>
      </c>
      <c r="G579" s="161">
        <v>769</v>
      </c>
      <c r="H579" s="161">
        <v>161</v>
      </c>
      <c r="I579" s="161">
        <v>205</v>
      </c>
      <c r="J579" s="161">
        <v>-65</v>
      </c>
      <c r="K579" s="161">
        <v>15</v>
      </c>
      <c r="L579" s="161">
        <v>-1009</v>
      </c>
      <c r="M579" s="161">
        <v>-635</v>
      </c>
      <c r="N579" s="161">
        <v>-500</v>
      </c>
      <c r="O579" s="161">
        <v>-284</v>
      </c>
      <c r="P579" s="161">
        <v>-257</v>
      </c>
      <c r="Q579" s="161">
        <v>-279.34568465113193</v>
      </c>
      <c r="R579" s="161">
        <v>-507.07700817853538</v>
      </c>
      <c r="S579" s="161">
        <v>-784.54544147197169</v>
      </c>
      <c r="T579" s="161">
        <v>-239.19069385635203</v>
      </c>
      <c r="U579" s="161">
        <v>-303.56208673989568</v>
      </c>
      <c r="V579" s="161">
        <v>-345.12849658402172</v>
      </c>
      <c r="W579" s="161">
        <v>-352.87358843678226</v>
      </c>
      <c r="X579" s="161">
        <v>-294.87582388460646</v>
      </c>
      <c r="Y579" s="161">
        <v>-249.29493292148254</v>
      </c>
      <c r="Z579" s="161">
        <v>-142.53959340061419</v>
      </c>
    </row>
    <row r="580" spans="5:26" x14ac:dyDescent="0.55000000000000004">
      <c r="E580" s="144" t="s">
        <v>667</v>
      </c>
      <c r="F580" s="161">
        <v>-124</v>
      </c>
      <c r="G580" s="161">
        <v>-169</v>
      </c>
      <c r="H580" s="161">
        <v>-107</v>
      </c>
      <c r="I580" s="161">
        <v>-147</v>
      </c>
      <c r="J580" s="161">
        <v>-181</v>
      </c>
      <c r="K580" s="161">
        <v>-215</v>
      </c>
      <c r="L580" s="161">
        <v>-287</v>
      </c>
      <c r="M580" s="161">
        <v>-321</v>
      </c>
      <c r="N580" s="161">
        <v>-308</v>
      </c>
      <c r="O580" s="161">
        <v>-397</v>
      </c>
      <c r="P580" s="161">
        <v>-400</v>
      </c>
      <c r="Q580" s="161">
        <v>-400</v>
      </c>
      <c r="R580" s="161">
        <v>-350</v>
      </c>
      <c r="S580" s="161">
        <v>-200</v>
      </c>
      <c r="T580" s="161">
        <v>-200</v>
      </c>
      <c r="U580" s="161">
        <v>-100</v>
      </c>
      <c r="V580" s="161">
        <v>-100</v>
      </c>
      <c r="W580" s="161">
        <v>-100</v>
      </c>
      <c r="X580" s="161">
        <v>-100</v>
      </c>
      <c r="Y580" s="161">
        <v>-100</v>
      </c>
      <c r="Z580" s="161">
        <v>-100</v>
      </c>
    </row>
    <row r="581" spans="5:26" x14ac:dyDescent="0.55000000000000004">
      <c r="E581" s="144" t="s">
        <v>668</v>
      </c>
      <c r="F581" s="161">
        <v>696</v>
      </c>
      <c r="G581" s="161">
        <v>371</v>
      </c>
      <c r="H581" s="161">
        <v>294</v>
      </c>
      <c r="I581" s="161">
        <v>202</v>
      </c>
      <c r="J581" s="161">
        <v>503</v>
      </c>
      <c r="K581" s="161">
        <v>288</v>
      </c>
      <c r="L581" s="161">
        <v>229</v>
      </c>
      <c r="M581" s="161">
        <v>268</v>
      </c>
      <c r="N581" s="161">
        <v>189</v>
      </c>
      <c r="O581" s="161">
        <v>303</v>
      </c>
      <c r="P581" s="161">
        <v>953</v>
      </c>
      <c r="Q581" s="161">
        <v>325</v>
      </c>
      <c r="R581" s="161">
        <v>325</v>
      </c>
      <c r="S581" s="161">
        <v>325</v>
      </c>
      <c r="T581" s="161">
        <v>325</v>
      </c>
      <c r="U581" s="161">
        <v>325</v>
      </c>
      <c r="V581" s="161">
        <v>325</v>
      </c>
      <c r="W581" s="161">
        <v>325</v>
      </c>
      <c r="X581" s="161">
        <v>325</v>
      </c>
      <c r="Y581" s="161">
        <v>325</v>
      </c>
      <c r="Z581" s="161">
        <v>325</v>
      </c>
    </row>
    <row r="582" spans="5:26" x14ac:dyDescent="0.55000000000000004">
      <c r="E582" s="144" t="s">
        <v>669</v>
      </c>
      <c r="F582" s="133"/>
      <c r="G582" s="161">
        <v>683</v>
      </c>
      <c r="H582" s="161">
        <v>516</v>
      </c>
      <c r="I582" s="161">
        <v>472</v>
      </c>
      <c r="J582" s="161">
        <v>671</v>
      </c>
      <c r="K582" s="161">
        <v>70</v>
      </c>
      <c r="L582" s="161">
        <v>16</v>
      </c>
      <c r="M582" s="161">
        <v>-678</v>
      </c>
      <c r="N582" s="161">
        <v>-373</v>
      </c>
      <c r="O582" s="161">
        <v>-20</v>
      </c>
      <c r="P582" s="161">
        <v>69</v>
      </c>
      <c r="Q582" s="161">
        <v>120.6543153488692</v>
      </c>
      <c r="R582" s="161">
        <v>-251.13714536823863</v>
      </c>
      <c r="S582" s="161">
        <v>-704.91189798490268</v>
      </c>
      <c r="T582" s="161">
        <v>-39.190693856353391</v>
      </c>
      <c r="U582" s="161">
        <v>-355.31790669495967</v>
      </c>
      <c r="V582" s="161">
        <v>-410.2563735590229</v>
      </c>
      <c r="W582" s="161">
        <v>-431.72322879834792</v>
      </c>
      <c r="X582" s="161">
        <v>-386.02346069018677</v>
      </c>
      <c r="Y582" s="161">
        <v>-351.66351532571753</v>
      </c>
      <c r="Z582" s="161">
        <v>-253.17431722359834</v>
      </c>
    </row>
    <row r="583" spans="5:26" x14ac:dyDescent="0.55000000000000004">
      <c r="E583" s="144" t="s">
        <v>670</v>
      </c>
      <c r="F583" s="161">
        <v>652</v>
      </c>
      <c r="G583" s="161">
        <v>601</v>
      </c>
      <c r="H583" s="161">
        <v>965</v>
      </c>
      <c r="I583" s="161">
        <v>930</v>
      </c>
      <c r="J583" s="161">
        <v>830</v>
      </c>
      <c r="K583" s="161">
        <v>946</v>
      </c>
      <c r="L583" s="161">
        <v>1854</v>
      </c>
      <c r="M583" s="161">
        <v>2401</v>
      </c>
      <c r="N583" s="161">
        <v>2879</v>
      </c>
      <c r="O583" s="161">
        <v>4341</v>
      </c>
      <c r="P583" s="161">
        <v>4786</v>
      </c>
      <c r="Q583" s="161">
        <v>4786</v>
      </c>
      <c r="R583" s="161">
        <v>4786</v>
      </c>
      <c r="S583" s="161">
        <v>4786</v>
      </c>
      <c r="T583" s="161">
        <v>4786</v>
      </c>
      <c r="U583" s="161">
        <v>4786</v>
      </c>
      <c r="V583" s="161">
        <v>4786</v>
      </c>
      <c r="W583" s="161">
        <v>4786</v>
      </c>
      <c r="X583" s="161">
        <v>4786</v>
      </c>
      <c r="Y583" s="161">
        <v>4786</v>
      </c>
      <c r="Z583" s="161">
        <v>4786</v>
      </c>
    </row>
    <row r="584" spans="5:26" x14ac:dyDescent="0.55000000000000004">
      <c r="E584" s="144" t="s">
        <v>671</v>
      </c>
      <c r="F584" s="161">
        <v>131</v>
      </c>
      <c r="G584" s="161">
        <v>332</v>
      </c>
      <c r="H584" s="161">
        <v>117</v>
      </c>
      <c r="I584" s="161">
        <v>232</v>
      </c>
      <c r="J584" s="161">
        <v>360</v>
      </c>
      <c r="K584" s="161">
        <v>277</v>
      </c>
      <c r="L584" s="161">
        <v>337</v>
      </c>
      <c r="M584" s="161">
        <v>432</v>
      </c>
      <c r="N584" s="161">
        <v>370</v>
      </c>
      <c r="O584" s="161">
        <v>410</v>
      </c>
      <c r="P584" s="161">
        <v>456</v>
      </c>
      <c r="Q584" s="161">
        <v>456</v>
      </c>
      <c r="R584" s="161">
        <v>456</v>
      </c>
      <c r="S584" s="161">
        <v>456</v>
      </c>
      <c r="T584" s="161">
        <v>456</v>
      </c>
      <c r="U584" s="161">
        <v>456</v>
      </c>
      <c r="V584" s="161">
        <v>456</v>
      </c>
      <c r="W584" s="161">
        <v>456</v>
      </c>
      <c r="X584" s="161">
        <v>456</v>
      </c>
      <c r="Y584" s="161">
        <v>456</v>
      </c>
      <c r="Z584" s="161">
        <v>456</v>
      </c>
    </row>
    <row r="585" spans="5:26" x14ac:dyDescent="0.55000000000000004">
      <c r="E585" s="144" t="s">
        <v>100</v>
      </c>
      <c r="F585" s="161">
        <v>1751</v>
      </c>
      <c r="G585" s="161">
        <v>608</v>
      </c>
      <c r="H585" s="161">
        <v>607</v>
      </c>
      <c r="I585" s="161">
        <v>495</v>
      </c>
      <c r="J585" s="161">
        <v>496</v>
      </c>
      <c r="K585" s="161">
        <v>497</v>
      </c>
      <c r="L585" s="161">
        <v>498</v>
      </c>
      <c r="M585" s="161">
        <v>820</v>
      </c>
      <c r="N585" s="161">
        <v>1354</v>
      </c>
      <c r="O585" s="161">
        <v>1436</v>
      </c>
      <c r="P585" s="161">
        <v>2427</v>
      </c>
      <c r="Q585" s="161">
        <v>2427</v>
      </c>
      <c r="R585" s="161">
        <v>2427</v>
      </c>
      <c r="S585" s="161">
        <v>2427</v>
      </c>
      <c r="T585" s="161">
        <v>2427</v>
      </c>
      <c r="U585" s="161">
        <v>2427</v>
      </c>
      <c r="V585" s="161">
        <v>2427</v>
      </c>
      <c r="W585" s="161">
        <v>2427</v>
      </c>
      <c r="X585" s="161">
        <v>2427</v>
      </c>
      <c r="Y585" s="161">
        <v>2427</v>
      </c>
      <c r="Z585" s="161">
        <v>2427</v>
      </c>
    </row>
    <row r="586" spans="5:26" x14ac:dyDescent="0.55000000000000004">
      <c r="E586" s="144" t="s">
        <v>672</v>
      </c>
      <c r="F586" s="161">
        <v>2018</v>
      </c>
      <c r="G586" s="161">
        <v>1840</v>
      </c>
      <c r="H586" s="161">
        <v>2457</v>
      </c>
      <c r="I586" s="161">
        <v>2756</v>
      </c>
      <c r="J586" s="161">
        <v>3757</v>
      </c>
      <c r="K586" s="161">
        <v>3734</v>
      </c>
      <c r="L586" s="161">
        <v>4925</v>
      </c>
      <c r="M586" s="161">
        <v>5754</v>
      </c>
      <c r="N586" s="161">
        <v>6553</v>
      </c>
      <c r="O586" s="161">
        <v>7303</v>
      </c>
      <c r="P586" s="161">
        <v>8097</v>
      </c>
      <c r="Q586" s="161">
        <v>8097</v>
      </c>
      <c r="R586" s="161">
        <v>8097</v>
      </c>
      <c r="S586" s="161">
        <v>8097</v>
      </c>
      <c r="T586" s="161">
        <v>8097</v>
      </c>
      <c r="U586" s="161">
        <v>8097</v>
      </c>
      <c r="V586" s="161">
        <v>8097</v>
      </c>
      <c r="W586" s="161">
        <v>8097</v>
      </c>
      <c r="X586" s="161">
        <v>8097</v>
      </c>
      <c r="Y586" s="161">
        <v>8097</v>
      </c>
      <c r="Z586" s="161">
        <v>8097</v>
      </c>
    </row>
    <row r="587" spans="5:26" x14ac:dyDescent="0.55000000000000004">
      <c r="E587" s="144" t="s">
        <v>673</v>
      </c>
      <c r="F587" s="161">
        <v>573</v>
      </c>
      <c r="G587" s="161">
        <v>836</v>
      </c>
      <c r="H587" s="161">
        <v>609</v>
      </c>
      <c r="I587" s="161">
        <v>677</v>
      </c>
      <c r="J587" s="161">
        <v>822</v>
      </c>
      <c r="K587" s="161">
        <v>868</v>
      </c>
      <c r="L587" s="161">
        <v>955</v>
      </c>
      <c r="M587" s="161">
        <v>1293</v>
      </c>
      <c r="N587" s="161">
        <v>1942</v>
      </c>
      <c r="O587" s="161">
        <v>1926</v>
      </c>
      <c r="P587" s="161">
        <v>2417</v>
      </c>
      <c r="Q587" s="161">
        <v>2417</v>
      </c>
      <c r="R587" s="161">
        <v>2417</v>
      </c>
      <c r="S587" s="161">
        <v>2417</v>
      </c>
      <c r="T587" s="161">
        <v>2417</v>
      </c>
      <c r="U587" s="161">
        <v>2417</v>
      </c>
      <c r="V587" s="161">
        <v>2417</v>
      </c>
      <c r="W587" s="161">
        <v>2417</v>
      </c>
      <c r="X587" s="161">
        <v>2417</v>
      </c>
      <c r="Y587" s="161">
        <v>2417</v>
      </c>
      <c r="Z587" s="161">
        <v>2417</v>
      </c>
    </row>
    <row r="588" spans="5:26" x14ac:dyDescent="0.55000000000000004"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 spans="5:26" x14ac:dyDescent="0.55000000000000004">
      <c r="E589" s="144" t="s">
        <v>674</v>
      </c>
      <c r="F589" s="161">
        <v>-240</v>
      </c>
      <c r="G589" s="161">
        <v>1176</v>
      </c>
      <c r="H589" s="161">
        <v>963</v>
      </c>
      <c r="I589" s="161">
        <v>1252</v>
      </c>
      <c r="J589" s="161">
        <v>1894</v>
      </c>
      <c r="K589" s="161">
        <v>1357</v>
      </c>
      <c r="L589" s="161">
        <v>709</v>
      </c>
      <c r="M589" s="161">
        <v>372</v>
      </c>
      <c r="N589" s="161">
        <v>364</v>
      </c>
      <c r="O589" s="161">
        <v>520</v>
      </c>
      <c r="P589" s="161">
        <v>-569</v>
      </c>
      <c r="Q589" s="161">
        <v>-80.63261972233488</v>
      </c>
      <c r="R589" s="161">
        <v>380.90372675993581</v>
      </c>
      <c r="S589" s="161">
        <v>429.74272965331591</v>
      </c>
      <c r="T589" s="161">
        <v>1428.1583416732169</v>
      </c>
      <c r="U589" s="161">
        <v>1573.2954330554744</v>
      </c>
      <c r="V589" s="161">
        <v>1810.8530454480178</v>
      </c>
      <c r="W589" s="161">
        <v>1987.6427464325582</v>
      </c>
      <c r="X589" s="161">
        <v>2219.6977109401323</v>
      </c>
      <c r="Y589" s="161">
        <v>2429.4157119811252</v>
      </c>
      <c r="Z589" s="161">
        <v>2713.1411672367431</v>
      </c>
    </row>
    <row r="590" spans="5:26" x14ac:dyDescent="0.55000000000000004">
      <c r="E590" s="144" t="s">
        <v>675</v>
      </c>
      <c r="F590" s="161">
        <v>900</v>
      </c>
      <c r="G590" s="161">
        <v>-86</v>
      </c>
      <c r="H590" s="161">
        <v>-1411</v>
      </c>
      <c r="I590" s="161">
        <v>-2270</v>
      </c>
      <c r="J590" s="161">
        <v>-3065</v>
      </c>
      <c r="K590" s="161">
        <v>-3163</v>
      </c>
      <c r="L590" s="161">
        <v>-2842</v>
      </c>
      <c r="M590" s="161">
        <v>-2241</v>
      </c>
      <c r="N590" s="161">
        <v>-1820</v>
      </c>
      <c r="O590" s="161">
        <v>-1100</v>
      </c>
      <c r="P590" s="161">
        <v>49</v>
      </c>
      <c r="Q590" s="161">
        <v>529.63261972233522</v>
      </c>
      <c r="R590" s="161">
        <v>498.72889296239373</v>
      </c>
      <c r="S590" s="161">
        <v>332.88038379062709</v>
      </c>
      <c r="T590" s="161">
        <v>-688.49150654500409</v>
      </c>
      <c r="U590" s="161">
        <v>-1819.0822289416101</v>
      </c>
      <c r="V590" s="161">
        <v>-3094.3780184510179</v>
      </c>
      <c r="W590" s="161">
        <v>-4462.7263022739608</v>
      </c>
      <c r="X590" s="161">
        <v>-6007.7691127532926</v>
      </c>
      <c r="Y590" s="161">
        <v>-7710.3127642869986</v>
      </c>
      <c r="Z590" s="161">
        <v>-9647.3407380529534</v>
      </c>
    </row>
    <row r="591" spans="5:26" x14ac:dyDescent="0.55000000000000004">
      <c r="E591" s="144" t="s">
        <v>676</v>
      </c>
      <c r="F591" s="164">
        <v>4.2087042532146395</v>
      </c>
      <c r="G591" s="164">
        <v>3.4339435922810493</v>
      </c>
      <c r="H591" s="164">
        <v>9.1270918136589785</v>
      </c>
      <c r="I591" s="164">
        <v>12.404665769403319</v>
      </c>
      <c r="J591" s="164">
        <v>16.165755919854281</v>
      </c>
      <c r="K591" s="164">
        <v>17.174424071462155</v>
      </c>
      <c r="L591" s="164">
        <v>14.481389578163771</v>
      </c>
      <c r="M591" s="164">
        <v>14.57334611697028</v>
      </c>
      <c r="N591" s="164">
        <v>3.1161145463767372</v>
      </c>
      <c r="O591" s="164">
        <v>2.4008637140942595</v>
      </c>
      <c r="P591" s="164">
        <v>2.3633999596719288</v>
      </c>
      <c r="Q591" s="164">
        <v>1.885718246438632</v>
      </c>
      <c r="R591" s="164">
        <v>1.9164322357482022</v>
      </c>
      <c r="S591" s="164">
        <v>2.0812624964244857</v>
      </c>
      <c r="T591" s="164">
        <v>3.0963635411802777</v>
      </c>
      <c r="U591" s="164">
        <v>4.2200128547705198</v>
      </c>
      <c r="V591" s="164">
        <v>5.4874787998909218</v>
      </c>
      <c r="W591" s="164">
        <v>6.8474259314318369</v>
      </c>
      <c r="X591" s="164">
        <v>8.3829827505984706</v>
      </c>
      <c r="Y591" s="164">
        <v>10.075073413918261</v>
      </c>
      <c r="Z591" s="164">
        <v>12.000208752472448</v>
      </c>
    </row>
    <row r="592" spans="5:26" x14ac:dyDescent="0.55000000000000004">
      <c r="E592" s="144" t="s">
        <v>677</v>
      </c>
      <c r="F592" s="161">
        <v>7789</v>
      </c>
      <c r="G592" s="161">
        <v>6052</v>
      </c>
      <c r="H592" s="161">
        <v>6363</v>
      </c>
      <c r="I592" s="161">
        <v>7501</v>
      </c>
      <c r="J592" s="161">
        <v>8864</v>
      </c>
      <c r="K592" s="161">
        <v>8747</v>
      </c>
      <c r="L592" s="161">
        <v>9159</v>
      </c>
      <c r="M592" s="161">
        <v>11029</v>
      </c>
      <c r="N592" s="161">
        <v>13706</v>
      </c>
      <c r="O592" s="161">
        <v>15022</v>
      </c>
      <c r="P592" s="161">
        <v>16072</v>
      </c>
      <c r="Q592" s="161">
        <v>15775.832051761039</v>
      </c>
      <c r="R592" s="161">
        <v>18337.308546993743</v>
      </c>
      <c r="S592" s="161">
        <v>22987.92185242573</v>
      </c>
      <c r="T592" s="161">
        <v>26332.263798806664</v>
      </c>
      <c r="U592" s="161">
        <v>28288.141529736498</v>
      </c>
      <c r="V592" s="161">
        <v>30604.701623164645</v>
      </c>
      <c r="W592" s="161">
        <v>33112.471232736883</v>
      </c>
      <c r="X592" s="161">
        <v>35348.920265187051</v>
      </c>
      <c r="Y592" s="161">
        <v>37382.677192509909</v>
      </c>
      <c r="Z592" s="161">
        <v>38809.020712497717</v>
      </c>
    </row>
    <row r="593" spans="5:26" x14ac:dyDescent="0.55000000000000004">
      <c r="E593" s="144" t="s">
        <v>678</v>
      </c>
      <c r="F593" s="164">
        <v>-0.36102868447082098</v>
      </c>
      <c r="G593" s="164">
        <v>6.1801088570014846</v>
      </c>
      <c r="H593" s="164">
        <v>5.0927182270465856</v>
      </c>
      <c r="I593" s="164">
        <v>6.6038582323912065</v>
      </c>
      <c r="J593" s="164">
        <v>9.9316939890710394</v>
      </c>
      <c r="K593" s="164">
        <v>7.6398683591913494</v>
      </c>
      <c r="L593" s="164">
        <v>5.0669975186104219</v>
      </c>
      <c r="M593" s="164">
        <v>4.1529999495382759</v>
      </c>
      <c r="N593" s="164">
        <v>0.75588413580082126</v>
      </c>
      <c r="O593" s="164">
        <v>0.98812407406524072</v>
      </c>
      <c r="P593" s="164">
        <v>-0.1967843532443406</v>
      </c>
      <c r="Q593" s="164">
        <v>0.52821517553801201</v>
      </c>
      <c r="R593" s="164">
        <v>1.0329436179770701</v>
      </c>
      <c r="S593" s="164">
        <v>1.2644964252361495</v>
      </c>
      <c r="T593" s="164">
        <v>2.3933202846878232</v>
      </c>
      <c r="U593" s="164">
        <v>2.4685805532405372</v>
      </c>
      <c r="V593" s="164">
        <v>2.7844193949891647</v>
      </c>
      <c r="W593" s="164">
        <v>3.0419487736198811</v>
      </c>
      <c r="X593" s="164">
        <v>3.3459139542581791</v>
      </c>
      <c r="Y593" s="164">
        <v>3.6212566832130859</v>
      </c>
      <c r="Z593" s="164">
        <v>3.9525325113389673</v>
      </c>
    </row>
    <row r="594" spans="5:26" x14ac:dyDescent="0.55000000000000004">
      <c r="E594" s="144" t="s">
        <v>679</v>
      </c>
      <c r="F594" s="164">
        <v>-1.1869436201780417</v>
      </c>
      <c r="G594" s="164">
        <v>5.8189015338941124</v>
      </c>
      <c r="H594" s="164">
        <v>4.355495251017639</v>
      </c>
      <c r="I594" s="164">
        <v>5.6168685509196949</v>
      </c>
      <c r="J594" s="164">
        <v>8.6247723132969032</v>
      </c>
      <c r="K594" s="164">
        <v>6.3798777621062532</v>
      </c>
      <c r="L594" s="164">
        <v>3.5186104218362284</v>
      </c>
      <c r="M594" s="164">
        <v>1.8771761618812133</v>
      </c>
      <c r="N594" s="164">
        <v>0.37031201269380748</v>
      </c>
      <c r="O594" s="164">
        <v>0.51588807079711363</v>
      </c>
      <c r="P594" s="164">
        <v>-0.56550655048499898</v>
      </c>
      <c r="Q594" s="164">
        <v>-8.0137565264931973E-2</v>
      </c>
      <c r="R594" s="164">
        <v>0.37856511878188381</v>
      </c>
      <c r="S594" s="164">
        <v>0.42710426826406706</v>
      </c>
      <c r="T594" s="164">
        <v>1.4193899777609797</v>
      </c>
      <c r="U594" s="164">
        <v>1.5636359810913953</v>
      </c>
      <c r="V594" s="164">
        <v>1.7997350776213774</v>
      </c>
      <c r="W594" s="164">
        <v>1.97543935524008</v>
      </c>
      <c r="X594" s="164">
        <v>2.2060695881075616</v>
      </c>
      <c r="Y594" s="164">
        <v>2.4144999982012374</v>
      </c>
      <c r="Z594" s="164">
        <v>2.6964834841175649</v>
      </c>
    </row>
    <row r="595" spans="5:26" x14ac:dyDescent="0.55000000000000004"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 spans="5:26" x14ac:dyDescent="0.55000000000000004">
      <c r="E596" s="359" t="s">
        <v>680</v>
      </c>
      <c r="F596" s="360" t="s">
        <v>80</v>
      </c>
      <c r="G596" s="361"/>
      <c r="H596" s="144" t="s">
        <v>681</v>
      </c>
      <c r="I596" s="133"/>
      <c r="J596" s="133"/>
      <c r="K596" s="133"/>
      <c r="L596" s="144" t="s">
        <v>682</v>
      </c>
      <c r="M596" s="316">
        <v>11</v>
      </c>
      <c r="N596" s="133"/>
      <c r="O596" s="133"/>
      <c r="P596" s="133"/>
      <c r="Q596" s="133"/>
      <c r="R596" s="322" t="s">
        <v>683</v>
      </c>
      <c r="S596" s="133"/>
      <c r="T596" s="133"/>
      <c r="U596" s="133"/>
      <c r="V596" s="133"/>
      <c r="W596" s="133"/>
      <c r="X596" s="133"/>
      <c r="Y596" s="133"/>
      <c r="Z596" s="133"/>
    </row>
    <row r="597" spans="5:26" x14ac:dyDescent="0.55000000000000004">
      <c r="E597" s="362" t="s">
        <v>684</v>
      </c>
      <c r="F597" s="310" t="s">
        <v>685</v>
      </c>
      <c r="G597" s="363"/>
      <c r="H597" s="144" t="s">
        <v>208</v>
      </c>
      <c r="I597" s="133"/>
      <c r="J597" s="133"/>
      <c r="K597" s="133"/>
      <c r="L597" s="133"/>
      <c r="M597" s="133"/>
      <c r="N597" s="133"/>
      <c r="O597" s="133"/>
      <c r="P597" s="133"/>
      <c r="Q597" s="133"/>
      <c r="R597" s="144" t="s">
        <v>363</v>
      </c>
      <c r="S597" s="144">
        <v>7.6617664380800043</v>
      </c>
      <c r="T597" s="133"/>
      <c r="U597" s="133"/>
      <c r="V597" s="133"/>
      <c r="W597" s="133"/>
      <c r="X597" s="133"/>
      <c r="Y597" s="133"/>
      <c r="Z597" s="133"/>
    </row>
    <row r="598" spans="5:26" x14ac:dyDescent="0.55000000000000004">
      <c r="E598" s="362" t="s">
        <v>686</v>
      </c>
      <c r="F598" s="310" t="s">
        <v>687</v>
      </c>
      <c r="G598" s="363"/>
      <c r="H598" s="144" t="s">
        <v>688</v>
      </c>
      <c r="I598" s="133"/>
      <c r="J598" s="133"/>
      <c r="K598" s="133"/>
      <c r="L598" s="133"/>
      <c r="M598" s="133"/>
      <c r="N598" s="133"/>
      <c r="O598" s="133"/>
      <c r="P598" s="133"/>
      <c r="Q598" s="133"/>
      <c r="R598" s="144" t="s">
        <v>577</v>
      </c>
      <c r="S598" s="144">
        <v>0.82166315834230508</v>
      </c>
      <c r="T598" s="133"/>
      <c r="U598" s="133"/>
      <c r="V598" s="133"/>
      <c r="W598" s="133"/>
      <c r="X598" s="133"/>
      <c r="Y598" s="133"/>
      <c r="Z598" s="133"/>
    </row>
    <row r="599" spans="5:26" x14ac:dyDescent="0.55000000000000004">
      <c r="E599" s="362" t="s">
        <v>689</v>
      </c>
      <c r="F599" s="310" t="s">
        <v>690</v>
      </c>
      <c r="G599" s="363"/>
      <c r="H599" s="144" t="s">
        <v>691</v>
      </c>
      <c r="I599" s="133"/>
      <c r="J599" s="133"/>
      <c r="K599" s="133"/>
      <c r="L599" s="133"/>
      <c r="M599" s="133"/>
      <c r="N599" s="133"/>
      <c r="O599" s="133"/>
      <c r="P599" s="133"/>
      <c r="Q599" s="133"/>
      <c r="R599" s="144" t="s">
        <v>578</v>
      </c>
      <c r="S599" s="144">
        <v>15.760055952424043</v>
      </c>
      <c r="T599" s="133"/>
      <c r="U599" s="133"/>
      <c r="V599" s="133"/>
      <c r="W599" s="133"/>
      <c r="X599" s="133"/>
      <c r="Y599" s="133"/>
      <c r="Z599" s="133"/>
    </row>
    <row r="600" spans="5:26" x14ac:dyDescent="0.55000000000000004">
      <c r="E600" s="359" t="s">
        <v>692</v>
      </c>
      <c r="F600" s="310" t="s">
        <v>693</v>
      </c>
      <c r="G600" s="361"/>
      <c r="H600" s="144" t="s">
        <v>694</v>
      </c>
      <c r="I600" s="133"/>
      <c r="J600" s="133"/>
      <c r="K600" s="133"/>
      <c r="L600" s="133"/>
      <c r="M600" s="133"/>
      <c r="N600" s="133"/>
      <c r="O600" s="133"/>
      <c r="P600" s="133"/>
      <c r="Q600" s="133"/>
      <c r="R600" s="144" t="s">
        <v>695</v>
      </c>
      <c r="S600" s="144">
        <v>24.243485548846351</v>
      </c>
      <c r="T600" s="133"/>
      <c r="U600" s="133"/>
      <c r="V600" s="133"/>
      <c r="W600" s="133"/>
      <c r="X600" s="133"/>
      <c r="Y600" s="133"/>
      <c r="Z600" s="133"/>
    </row>
    <row r="601" spans="5:26" x14ac:dyDescent="0.55000000000000004">
      <c r="E601" s="362" t="s">
        <v>696</v>
      </c>
      <c r="F601" s="310" t="s">
        <v>697</v>
      </c>
      <c r="G601" s="363"/>
      <c r="H601" s="144" t="s">
        <v>698</v>
      </c>
      <c r="I601" s="133"/>
      <c r="J601" s="133"/>
      <c r="K601" s="133"/>
      <c r="L601" s="133"/>
      <c r="M601" s="133"/>
      <c r="N601" s="133"/>
      <c r="O601" s="133"/>
      <c r="P601" s="133"/>
      <c r="Q601" s="133"/>
      <c r="R601" s="144" t="s">
        <v>357</v>
      </c>
      <c r="S601" s="144">
        <v>2.3633999596719288</v>
      </c>
      <c r="T601" s="133"/>
      <c r="U601" s="133"/>
      <c r="V601" s="133"/>
      <c r="W601" s="133"/>
      <c r="X601" s="133"/>
      <c r="Y601" s="133"/>
      <c r="Z601" s="133"/>
    </row>
    <row r="602" spans="5:26" x14ac:dyDescent="0.55000000000000004">
      <c r="E602" s="359" t="s">
        <v>699</v>
      </c>
      <c r="F602" s="310" t="s">
        <v>700</v>
      </c>
      <c r="G602" s="361"/>
      <c r="H602" s="144" t="s">
        <v>210</v>
      </c>
      <c r="I602" s="133"/>
      <c r="J602" s="133"/>
      <c r="K602" s="133"/>
      <c r="L602" s="133"/>
      <c r="M602" s="133"/>
      <c r="N602" s="133"/>
      <c r="O602" s="133"/>
      <c r="P602" s="133"/>
      <c r="Q602" s="133"/>
      <c r="R602" s="144" t="s">
        <v>100</v>
      </c>
      <c r="S602" s="144">
        <v>-2.4120991177980535</v>
      </c>
      <c r="T602" s="133"/>
      <c r="U602" s="133"/>
      <c r="V602" s="133"/>
      <c r="W602" s="133"/>
      <c r="X602" s="133"/>
      <c r="Y602" s="133"/>
      <c r="Z602" s="133"/>
    </row>
    <row r="603" spans="5:26" x14ac:dyDescent="0.55000000000000004">
      <c r="E603" s="359" t="s">
        <v>701</v>
      </c>
      <c r="F603" s="310" t="s">
        <v>702</v>
      </c>
      <c r="G603" s="361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44" t="s">
        <v>703</v>
      </c>
      <c r="S603" s="144">
        <v>0</v>
      </c>
      <c r="T603" s="133"/>
      <c r="U603" s="133"/>
      <c r="V603" s="133"/>
      <c r="W603" s="133"/>
      <c r="X603" s="133"/>
      <c r="Y603" s="133"/>
      <c r="Z603" s="133"/>
    </row>
    <row r="604" spans="5:26" x14ac:dyDescent="0.55000000000000004">
      <c r="E604" s="359" t="s">
        <v>704</v>
      </c>
      <c r="F604" s="310" t="s">
        <v>705</v>
      </c>
      <c r="G604" s="361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44" t="s">
        <v>358</v>
      </c>
      <c r="S604" s="144">
        <v>0</v>
      </c>
      <c r="T604" s="133"/>
      <c r="U604" s="133"/>
      <c r="V604" s="133"/>
      <c r="W604" s="133"/>
      <c r="X604" s="133"/>
      <c r="Y604" s="133"/>
      <c r="Z604" s="133"/>
    </row>
    <row r="605" spans="5:26" x14ac:dyDescent="0.55000000000000004">
      <c r="E605" s="362" t="s">
        <v>706</v>
      </c>
      <c r="F605" s="310" t="s">
        <v>707</v>
      </c>
      <c r="G605" s="36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44" t="s">
        <v>48</v>
      </c>
      <c r="S605" s="144">
        <v>24.194786390720228</v>
      </c>
      <c r="T605" s="133"/>
      <c r="U605" s="133"/>
      <c r="V605" s="133"/>
      <c r="W605" s="133"/>
      <c r="X605" s="133"/>
      <c r="Y605" s="133"/>
      <c r="Z605" s="133"/>
    </row>
    <row r="606" spans="5:26" x14ac:dyDescent="0.55000000000000004">
      <c r="E606" s="362" t="s">
        <v>708</v>
      </c>
      <c r="F606" s="310" t="s">
        <v>709</v>
      </c>
      <c r="G606" s="36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 spans="5:26" x14ac:dyDescent="0.55000000000000004">
      <c r="E607" s="359" t="s">
        <v>710</v>
      </c>
      <c r="F607" s="310" t="s">
        <v>711</v>
      </c>
      <c r="G607" s="361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 spans="5:26" x14ac:dyDescent="0.55000000000000004">
      <c r="E608" s="362" t="s">
        <v>712</v>
      </c>
      <c r="F608" s="310" t="s">
        <v>713</v>
      </c>
      <c r="G608" s="36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 spans="5:7" x14ac:dyDescent="0.55000000000000004">
      <c r="E609" s="362" t="s">
        <v>714</v>
      </c>
      <c r="F609" s="310" t="s">
        <v>715</v>
      </c>
      <c r="G609" s="363"/>
    </row>
    <row r="610" spans="5:7" x14ac:dyDescent="0.55000000000000004">
      <c r="E610" s="359" t="s">
        <v>716</v>
      </c>
      <c r="F610" s="310" t="s">
        <v>717</v>
      </c>
      <c r="G610" s="361"/>
    </row>
    <row r="611" spans="5:7" x14ac:dyDescent="0.55000000000000004">
      <c r="E611" s="362" t="s">
        <v>718</v>
      </c>
      <c r="F611" s="310" t="s">
        <v>719</v>
      </c>
      <c r="G611" s="363"/>
    </row>
    <row r="612" spans="5:7" x14ac:dyDescent="0.55000000000000004">
      <c r="E612" s="364" t="s">
        <v>720</v>
      </c>
      <c r="F612" s="310" t="s">
        <v>721</v>
      </c>
      <c r="G612" s="365"/>
    </row>
    <row r="613" spans="5:7" x14ac:dyDescent="0.55000000000000004">
      <c r="E613" s="359" t="s">
        <v>722</v>
      </c>
      <c r="F613" s="310" t="s">
        <v>723</v>
      </c>
      <c r="G613" s="361"/>
    </row>
    <row r="614" spans="5:7" x14ac:dyDescent="0.55000000000000004">
      <c r="E614" s="359" t="s">
        <v>724</v>
      </c>
      <c r="F614" s="310" t="s">
        <v>725</v>
      </c>
      <c r="G614" s="361"/>
    </row>
    <row r="615" spans="5:7" x14ac:dyDescent="0.55000000000000004">
      <c r="E615" s="362" t="s">
        <v>726</v>
      </c>
      <c r="F615" s="310" t="s">
        <v>727</v>
      </c>
      <c r="G615" s="363"/>
    </row>
    <row r="616" spans="5:7" x14ac:dyDescent="0.55000000000000004">
      <c r="E616" s="359" t="s">
        <v>728</v>
      </c>
      <c r="F616" s="310" t="s">
        <v>729</v>
      </c>
      <c r="G616" s="361"/>
    </row>
    <row r="617" spans="5:7" x14ac:dyDescent="0.55000000000000004">
      <c r="E617" s="359" t="s">
        <v>730</v>
      </c>
      <c r="F617" s="310" t="s">
        <v>731</v>
      </c>
      <c r="G617" s="361"/>
    </row>
    <row r="618" spans="5:7" x14ac:dyDescent="0.55000000000000004">
      <c r="E618" s="362" t="s">
        <v>732</v>
      </c>
      <c r="F618" s="310" t="s">
        <v>733</v>
      </c>
      <c r="G618" s="363"/>
    </row>
    <row r="619" spans="5:7" x14ac:dyDescent="0.55000000000000004">
      <c r="E619" s="359" t="s">
        <v>734</v>
      </c>
      <c r="F619" s="310" t="s">
        <v>735</v>
      </c>
      <c r="G619" s="361"/>
    </row>
    <row r="620" spans="5:7" x14ac:dyDescent="0.55000000000000004">
      <c r="E620" s="362" t="s">
        <v>736</v>
      </c>
      <c r="F620" s="310" t="s">
        <v>737</v>
      </c>
      <c r="G620" s="363"/>
    </row>
    <row r="621" spans="5:7" x14ac:dyDescent="0.55000000000000004">
      <c r="E621" s="366" t="s">
        <v>738</v>
      </c>
      <c r="F621" s="310" t="s">
        <v>739</v>
      </c>
      <c r="G621" s="367"/>
    </row>
    <row r="622" spans="5:7" x14ac:dyDescent="0.55000000000000004">
      <c r="E622" s="359" t="s">
        <v>740</v>
      </c>
      <c r="F622" s="310" t="s">
        <v>741</v>
      </c>
      <c r="G622" s="361"/>
    </row>
    <row r="623" spans="5:7" x14ac:dyDescent="0.55000000000000004">
      <c r="E623" s="359" t="s">
        <v>742</v>
      </c>
      <c r="F623" s="310" t="s">
        <v>743</v>
      </c>
      <c r="G623" s="361"/>
    </row>
    <row r="624" spans="5:7" x14ac:dyDescent="0.55000000000000004">
      <c r="E624" s="366" t="s">
        <v>744</v>
      </c>
      <c r="F624" s="310" t="s">
        <v>745</v>
      </c>
      <c r="G624" s="367"/>
    </row>
    <row r="625" spans="5:7" x14ac:dyDescent="0.55000000000000004">
      <c r="E625" s="368" t="s">
        <v>746</v>
      </c>
      <c r="F625" s="310" t="s">
        <v>747</v>
      </c>
      <c r="G625" s="369"/>
    </row>
    <row r="626" spans="5:7" x14ac:dyDescent="0.55000000000000004">
      <c r="E626" s="362" t="s">
        <v>748</v>
      </c>
      <c r="F626" s="310" t="s">
        <v>749</v>
      </c>
      <c r="G626" s="363"/>
    </row>
    <row r="627" spans="5:7" x14ac:dyDescent="0.55000000000000004">
      <c r="E627" s="359" t="s">
        <v>750</v>
      </c>
      <c r="F627" s="310" t="s">
        <v>751</v>
      </c>
      <c r="G627" s="361"/>
    </row>
    <row r="628" spans="5:7" x14ac:dyDescent="0.55000000000000004">
      <c r="E628" s="359" t="s">
        <v>752</v>
      </c>
      <c r="F628" s="310" t="s">
        <v>753</v>
      </c>
      <c r="G628" s="361"/>
    </row>
    <row r="629" spans="5:7" x14ac:dyDescent="0.55000000000000004">
      <c r="E629" s="362" t="s">
        <v>754</v>
      </c>
      <c r="F629" s="310" t="s">
        <v>755</v>
      </c>
      <c r="G629" s="363"/>
    </row>
    <row r="630" spans="5:7" x14ac:dyDescent="0.55000000000000004">
      <c r="E630" s="359" t="s">
        <v>756</v>
      </c>
      <c r="F630" s="310" t="s">
        <v>757</v>
      </c>
      <c r="G630" s="361"/>
    </row>
    <row r="631" spans="5:7" x14ac:dyDescent="0.55000000000000004">
      <c r="E631" s="362" t="s">
        <v>758</v>
      </c>
      <c r="F631" s="310" t="s">
        <v>759</v>
      </c>
      <c r="G631" s="363"/>
    </row>
    <row r="632" spans="5:7" x14ac:dyDescent="0.55000000000000004">
      <c r="E632" s="362" t="s">
        <v>760</v>
      </c>
      <c r="F632" s="310" t="s">
        <v>761</v>
      </c>
      <c r="G632" s="363"/>
    </row>
    <row r="633" spans="5:7" x14ac:dyDescent="0.55000000000000004">
      <c r="E633" s="366" t="s">
        <v>762</v>
      </c>
      <c r="F633" s="310" t="s">
        <v>763</v>
      </c>
      <c r="G633" s="367"/>
    </row>
    <row r="634" spans="5:7" x14ac:dyDescent="0.55000000000000004">
      <c r="E634" s="359" t="s">
        <v>764</v>
      </c>
      <c r="F634" s="310" t="s">
        <v>599</v>
      </c>
      <c r="G634" s="361"/>
    </row>
    <row r="635" spans="5:7" x14ac:dyDescent="0.55000000000000004">
      <c r="E635" s="359" t="s">
        <v>765</v>
      </c>
      <c r="F635" s="310" t="s">
        <v>766</v>
      </c>
      <c r="G635" s="361"/>
    </row>
    <row r="636" spans="5:7" x14ac:dyDescent="0.55000000000000004">
      <c r="E636" s="364" t="s">
        <v>767</v>
      </c>
      <c r="F636" s="310" t="s">
        <v>768</v>
      </c>
      <c r="G636" s="365"/>
    </row>
    <row r="637" spans="5:7" x14ac:dyDescent="0.55000000000000004">
      <c r="E637" s="366" t="s">
        <v>769</v>
      </c>
      <c r="F637" s="310" t="s">
        <v>770</v>
      </c>
      <c r="G637" s="367"/>
    </row>
    <row r="638" spans="5:7" x14ac:dyDescent="0.55000000000000004">
      <c r="E638" s="362" t="s">
        <v>771</v>
      </c>
      <c r="F638" s="310" t="s">
        <v>772</v>
      </c>
      <c r="G638" s="363"/>
    </row>
    <row r="639" spans="5:7" x14ac:dyDescent="0.55000000000000004">
      <c r="E639" s="364" t="s">
        <v>773</v>
      </c>
      <c r="F639" s="310" t="s">
        <v>774</v>
      </c>
      <c r="G639" s="365"/>
    </row>
    <row r="640" spans="5:7" x14ac:dyDescent="0.55000000000000004">
      <c r="E640" s="359" t="s">
        <v>775</v>
      </c>
      <c r="F640" s="310" t="s">
        <v>776</v>
      </c>
      <c r="G640" s="361"/>
    </row>
    <row r="641" spans="5:7" x14ac:dyDescent="0.55000000000000004">
      <c r="E641" s="364" t="s">
        <v>607</v>
      </c>
      <c r="F641" s="310" t="s">
        <v>597</v>
      </c>
      <c r="G641" s="365"/>
    </row>
    <row r="642" spans="5:7" x14ac:dyDescent="0.55000000000000004">
      <c r="E642" s="362" t="s">
        <v>777</v>
      </c>
      <c r="F642" s="310" t="s">
        <v>778</v>
      </c>
      <c r="G642" s="363"/>
    </row>
    <row r="643" spans="5:7" x14ac:dyDescent="0.55000000000000004">
      <c r="E643" s="362" t="s">
        <v>779</v>
      </c>
      <c r="F643" s="310" t="s">
        <v>780</v>
      </c>
      <c r="G643" s="363"/>
    </row>
    <row r="644" spans="5:7" x14ac:dyDescent="0.55000000000000004">
      <c r="E644" s="364" t="s">
        <v>781</v>
      </c>
      <c r="F644" s="310" t="s">
        <v>782</v>
      </c>
      <c r="G644" s="365"/>
    </row>
    <row r="645" spans="5:7" x14ac:dyDescent="0.55000000000000004">
      <c r="E645" s="362" t="s">
        <v>783</v>
      </c>
      <c r="F645" s="310" t="s">
        <v>784</v>
      </c>
      <c r="G645" s="363"/>
    </row>
    <row r="646" spans="5:7" x14ac:dyDescent="0.55000000000000004">
      <c r="E646" s="362" t="s">
        <v>785</v>
      </c>
      <c r="F646" s="310" t="s">
        <v>786</v>
      </c>
      <c r="G646" s="363"/>
    </row>
    <row r="647" spans="5:7" x14ac:dyDescent="0.55000000000000004">
      <c r="E647" s="362" t="s">
        <v>787</v>
      </c>
      <c r="F647" s="310" t="s">
        <v>788</v>
      </c>
      <c r="G647" s="363"/>
    </row>
    <row r="648" spans="5:7" x14ac:dyDescent="0.55000000000000004">
      <c r="E648" s="366" t="s">
        <v>789</v>
      </c>
      <c r="F648" s="310" t="s">
        <v>790</v>
      </c>
      <c r="G648" s="367"/>
    </row>
    <row r="649" spans="5:7" x14ac:dyDescent="0.55000000000000004">
      <c r="E649" s="362" t="s">
        <v>791</v>
      </c>
      <c r="F649" s="310" t="s">
        <v>792</v>
      </c>
      <c r="G649" s="363"/>
    </row>
    <row r="650" spans="5:7" x14ac:dyDescent="0.55000000000000004">
      <c r="E650" s="362" t="s">
        <v>793</v>
      </c>
      <c r="F650" s="310" t="s">
        <v>794</v>
      </c>
      <c r="G650" s="363"/>
    </row>
    <row r="651" spans="5:7" x14ac:dyDescent="0.55000000000000004">
      <c r="E651" s="359" t="s">
        <v>795</v>
      </c>
      <c r="F651" s="310" t="s">
        <v>796</v>
      </c>
      <c r="G651" s="361"/>
    </row>
    <row r="652" spans="5:7" x14ac:dyDescent="0.55000000000000004">
      <c r="E652" s="359" t="s">
        <v>797</v>
      </c>
      <c r="F652" s="310" t="s">
        <v>798</v>
      </c>
      <c r="G652" s="361"/>
    </row>
    <row r="653" spans="5:7" x14ac:dyDescent="0.55000000000000004">
      <c r="E653" s="362" t="s">
        <v>799</v>
      </c>
      <c r="F653" s="310" t="s">
        <v>800</v>
      </c>
      <c r="G653" s="363"/>
    </row>
    <row r="654" spans="5:7" x14ac:dyDescent="0.55000000000000004">
      <c r="E654" s="359" t="s">
        <v>801</v>
      </c>
      <c r="F654" s="310" t="s">
        <v>802</v>
      </c>
      <c r="G654" s="361"/>
    </row>
    <row r="655" spans="5:7" x14ac:dyDescent="0.55000000000000004">
      <c r="E655" s="368" t="s">
        <v>803</v>
      </c>
      <c r="F655" s="310" t="s">
        <v>804</v>
      </c>
      <c r="G655" s="369"/>
    </row>
    <row r="656" spans="5:7" x14ac:dyDescent="0.55000000000000004">
      <c r="E656" s="359" t="s">
        <v>805</v>
      </c>
      <c r="F656" s="310" t="s">
        <v>806</v>
      </c>
      <c r="G656" s="361"/>
    </row>
    <row r="657" spans="5:7" x14ac:dyDescent="0.55000000000000004">
      <c r="E657" s="362" t="s">
        <v>807</v>
      </c>
      <c r="F657" s="310" t="s">
        <v>808</v>
      </c>
      <c r="G657" s="363"/>
    </row>
    <row r="658" spans="5:7" x14ac:dyDescent="0.55000000000000004">
      <c r="E658" s="362" t="s">
        <v>809</v>
      </c>
      <c r="F658" s="310" t="s">
        <v>810</v>
      </c>
      <c r="G658" s="363"/>
    </row>
    <row r="659" spans="5:7" x14ac:dyDescent="0.55000000000000004">
      <c r="E659" s="359" t="s">
        <v>811</v>
      </c>
      <c r="F659" s="310" t="s">
        <v>812</v>
      </c>
      <c r="G659" s="361"/>
    </row>
    <row r="660" spans="5:7" x14ac:dyDescent="0.55000000000000004">
      <c r="E660" s="359" t="s">
        <v>813</v>
      </c>
      <c r="F660" s="310" t="s">
        <v>814</v>
      </c>
      <c r="G660" s="361"/>
    </row>
    <row r="661" spans="5:7" x14ac:dyDescent="0.55000000000000004">
      <c r="E661" s="362" t="s">
        <v>815</v>
      </c>
      <c r="F661" s="310" t="s">
        <v>816</v>
      </c>
      <c r="G661" s="363"/>
    </row>
    <row r="662" spans="5:7" x14ac:dyDescent="0.55000000000000004">
      <c r="E662" s="359" t="s">
        <v>817</v>
      </c>
      <c r="F662" s="310" t="s">
        <v>818</v>
      </c>
      <c r="G662" s="361"/>
    </row>
    <row r="663" spans="5:7" x14ac:dyDescent="0.55000000000000004">
      <c r="E663" s="359" t="s">
        <v>819</v>
      </c>
      <c r="F663" s="310" t="s">
        <v>820</v>
      </c>
      <c r="G663" s="361"/>
    </row>
    <row r="664" spans="5:7" x14ac:dyDescent="0.55000000000000004">
      <c r="E664" s="362" t="s">
        <v>821</v>
      </c>
      <c r="F664" s="310" t="s">
        <v>822</v>
      </c>
      <c r="G664" s="363"/>
    </row>
    <row r="665" spans="5:7" x14ac:dyDescent="0.55000000000000004">
      <c r="E665" s="144" t="s">
        <v>823</v>
      </c>
      <c r="F665" s="310" t="s">
        <v>824</v>
      </c>
      <c r="G665" s="133"/>
    </row>
    <row r="666" spans="5:7" x14ac:dyDescent="0.55000000000000004">
      <c r="E666" s="144" t="s">
        <v>825</v>
      </c>
      <c r="F666" s="310" t="s">
        <v>826</v>
      </c>
      <c r="G666" s="133"/>
    </row>
    <row r="667" spans="5:7" x14ac:dyDescent="0.55000000000000004">
      <c r="E667" s="144" t="s">
        <v>827</v>
      </c>
      <c r="F667" s="310" t="s">
        <v>828</v>
      </c>
      <c r="G667" s="133"/>
    </row>
    <row r="668" spans="5:7" x14ac:dyDescent="0.55000000000000004">
      <c r="E668" s="144" t="s">
        <v>829</v>
      </c>
      <c r="F668" s="310" t="s">
        <v>830</v>
      </c>
      <c r="G668" s="133"/>
    </row>
    <row r="669" spans="5:7" x14ac:dyDescent="0.55000000000000004">
      <c r="E669" s="144" t="s">
        <v>831</v>
      </c>
      <c r="F669" s="310" t="s">
        <v>832</v>
      </c>
      <c r="G669" s="133"/>
    </row>
    <row r="670" spans="5:7" x14ac:dyDescent="0.55000000000000004">
      <c r="E670" s="144" t="s">
        <v>833</v>
      </c>
      <c r="F670" s="310" t="s">
        <v>834</v>
      </c>
      <c r="G670" s="133"/>
    </row>
    <row r="671" spans="5:7" x14ac:dyDescent="0.55000000000000004">
      <c r="E671" s="144" t="s">
        <v>835</v>
      </c>
      <c r="F671" s="310" t="s">
        <v>836</v>
      </c>
      <c r="G671" s="133"/>
    </row>
    <row r="672" spans="5:7" x14ac:dyDescent="0.55000000000000004">
      <c r="E672" s="144" t="s">
        <v>837</v>
      </c>
      <c r="F672" s="310" t="s">
        <v>838</v>
      </c>
      <c r="G672" s="133"/>
    </row>
    <row r="673" spans="5:6" x14ac:dyDescent="0.55000000000000004">
      <c r="E673" s="144" t="s">
        <v>839</v>
      </c>
      <c r="F673" s="310" t="s">
        <v>840</v>
      </c>
    </row>
    <row r="674" spans="5:6" x14ac:dyDescent="0.55000000000000004">
      <c r="E674" s="144" t="s">
        <v>841</v>
      </c>
      <c r="F674" s="310" t="s">
        <v>842</v>
      </c>
    </row>
    <row r="675" spans="5:6" x14ac:dyDescent="0.55000000000000004">
      <c r="E675" s="144" t="s">
        <v>843</v>
      </c>
      <c r="F675" s="310" t="s">
        <v>844</v>
      </c>
    </row>
    <row r="676" spans="5:6" x14ac:dyDescent="0.55000000000000004">
      <c r="E676" s="144" t="s">
        <v>845</v>
      </c>
      <c r="F676" s="310" t="s">
        <v>846</v>
      </c>
    </row>
    <row r="677" spans="5:6" x14ac:dyDescent="0.55000000000000004">
      <c r="E677" s="144" t="s">
        <v>847</v>
      </c>
      <c r="F677" s="310" t="s">
        <v>848</v>
      </c>
    </row>
    <row r="678" spans="5:6" x14ac:dyDescent="0.55000000000000004">
      <c r="E678" s="144" t="s">
        <v>849</v>
      </c>
      <c r="F678" s="310" t="s">
        <v>850</v>
      </c>
    </row>
    <row r="679" spans="5:6" x14ac:dyDescent="0.55000000000000004">
      <c r="E679" s="144" t="s">
        <v>851</v>
      </c>
      <c r="F679" s="310" t="s">
        <v>852</v>
      </c>
    </row>
    <row r="680" spans="5:6" x14ac:dyDescent="0.55000000000000004">
      <c r="E680" s="144" t="s">
        <v>853</v>
      </c>
      <c r="F680" s="310" t="s">
        <v>854</v>
      </c>
    </row>
    <row r="681" spans="5:6" x14ac:dyDescent="0.55000000000000004">
      <c r="E681" s="144" t="s">
        <v>855</v>
      </c>
      <c r="F681" s="310" t="s">
        <v>856</v>
      </c>
    </row>
    <row r="682" spans="5:6" x14ac:dyDescent="0.55000000000000004">
      <c r="E682" s="144" t="s">
        <v>857</v>
      </c>
      <c r="F682" s="310" t="s">
        <v>858</v>
      </c>
    </row>
    <row r="683" spans="5:6" x14ac:dyDescent="0.55000000000000004">
      <c r="E683" s="144" t="s">
        <v>859</v>
      </c>
      <c r="F683" s="310" t="s">
        <v>860</v>
      </c>
    </row>
    <row r="684" spans="5:6" x14ac:dyDescent="0.55000000000000004">
      <c r="E684" s="144" t="s">
        <v>861</v>
      </c>
      <c r="F684" s="310" t="s">
        <v>862</v>
      </c>
    </row>
    <row r="685" spans="5:6" x14ac:dyDescent="0.55000000000000004">
      <c r="E685" s="144" t="s">
        <v>863</v>
      </c>
      <c r="F685" s="310" t="s">
        <v>864</v>
      </c>
    </row>
    <row r="686" spans="5:6" x14ac:dyDescent="0.55000000000000004">
      <c r="E686" s="144" t="s">
        <v>865</v>
      </c>
      <c r="F686" s="310" t="s">
        <v>866</v>
      </c>
    </row>
    <row r="687" spans="5:6" x14ac:dyDescent="0.55000000000000004">
      <c r="E687" s="144" t="s">
        <v>867</v>
      </c>
      <c r="F687" s="310" t="s">
        <v>868</v>
      </c>
    </row>
    <row r="688" spans="5:6" x14ac:dyDescent="0.55000000000000004">
      <c r="E688" s="144" t="s">
        <v>869</v>
      </c>
      <c r="F688" s="310" t="s">
        <v>870</v>
      </c>
    </row>
    <row r="689" spans="5:6" x14ac:dyDescent="0.55000000000000004">
      <c r="E689" s="144" t="s">
        <v>871</v>
      </c>
      <c r="F689" s="310" t="s">
        <v>872</v>
      </c>
    </row>
    <row r="690" spans="5:6" x14ac:dyDescent="0.55000000000000004">
      <c r="E690" s="144" t="s">
        <v>873</v>
      </c>
      <c r="F690" s="310" t="s">
        <v>874</v>
      </c>
    </row>
    <row r="691" spans="5:6" x14ac:dyDescent="0.55000000000000004">
      <c r="E691" s="144" t="s">
        <v>875</v>
      </c>
      <c r="F691" s="310" t="s">
        <v>876</v>
      </c>
    </row>
    <row r="692" spans="5:6" x14ac:dyDescent="0.55000000000000004">
      <c r="E692" s="144" t="s">
        <v>877</v>
      </c>
      <c r="F692" s="310" t="s">
        <v>878</v>
      </c>
    </row>
    <row r="693" spans="5:6" x14ac:dyDescent="0.55000000000000004">
      <c r="E693" s="144" t="s">
        <v>879</v>
      </c>
      <c r="F693" s="310" t="s">
        <v>880</v>
      </c>
    </row>
    <row r="694" spans="5:6" x14ac:dyDescent="0.55000000000000004">
      <c r="E694" s="144" t="s">
        <v>881</v>
      </c>
      <c r="F694" s="310" t="s">
        <v>882</v>
      </c>
    </row>
    <row r="695" spans="5:6" x14ac:dyDescent="0.55000000000000004">
      <c r="E695" s="144" t="s">
        <v>883</v>
      </c>
      <c r="F695" s="310" t="s">
        <v>884</v>
      </c>
    </row>
    <row r="696" spans="5:6" x14ac:dyDescent="0.55000000000000004">
      <c r="E696" s="144" t="s">
        <v>885</v>
      </c>
      <c r="F696" s="310" t="s">
        <v>886</v>
      </c>
    </row>
    <row r="697" spans="5:6" x14ac:dyDescent="0.55000000000000004">
      <c r="E697" s="144" t="s">
        <v>887</v>
      </c>
      <c r="F697" s="310" t="s">
        <v>888</v>
      </c>
    </row>
    <row r="698" spans="5:6" x14ac:dyDescent="0.55000000000000004">
      <c r="E698" s="144" t="s">
        <v>889</v>
      </c>
      <c r="F698" s="310" t="s">
        <v>890</v>
      </c>
    </row>
    <row r="699" spans="5:6" x14ac:dyDescent="0.55000000000000004">
      <c r="E699" s="144" t="s">
        <v>891</v>
      </c>
      <c r="F699" s="310" t="s">
        <v>892</v>
      </c>
    </row>
    <row r="700" spans="5:6" x14ac:dyDescent="0.55000000000000004">
      <c r="E700" s="144" t="s">
        <v>893</v>
      </c>
      <c r="F700" s="310" t="s">
        <v>894</v>
      </c>
    </row>
    <row r="701" spans="5:6" x14ac:dyDescent="0.55000000000000004">
      <c r="E701" s="144" t="s">
        <v>895</v>
      </c>
      <c r="F701" s="310" t="s">
        <v>896</v>
      </c>
    </row>
    <row r="702" spans="5:6" x14ac:dyDescent="0.55000000000000004">
      <c r="E702" s="144" t="s">
        <v>897</v>
      </c>
      <c r="F702" s="310" t="s">
        <v>898</v>
      </c>
    </row>
    <row r="703" spans="5:6" x14ac:dyDescent="0.55000000000000004">
      <c r="E703" s="144" t="s">
        <v>899</v>
      </c>
      <c r="F703" s="310" t="s">
        <v>900</v>
      </c>
    </row>
    <row r="704" spans="5:6" x14ac:dyDescent="0.55000000000000004">
      <c r="E704" s="144" t="s">
        <v>901</v>
      </c>
      <c r="F704" s="310" t="s">
        <v>902</v>
      </c>
    </row>
    <row r="705" spans="5:6" x14ac:dyDescent="0.55000000000000004">
      <c r="E705" s="144" t="s">
        <v>903</v>
      </c>
      <c r="F705" s="310" t="s">
        <v>904</v>
      </c>
    </row>
    <row r="706" spans="5:6" x14ac:dyDescent="0.55000000000000004">
      <c r="E706" s="144" t="s">
        <v>905</v>
      </c>
      <c r="F706" s="310" t="s">
        <v>906</v>
      </c>
    </row>
    <row r="707" spans="5:6" x14ac:dyDescent="0.55000000000000004">
      <c r="E707" s="144" t="s">
        <v>907</v>
      </c>
      <c r="F707" s="310" t="s">
        <v>908</v>
      </c>
    </row>
    <row r="708" spans="5:6" x14ac:dyDescent="0.55000000000000004">
      <c r="E708" s="144" t="s">
        <v>909</v>
      </c>
      <c r="F708" s="310" t="s">
        <v>910</v>
      </c>
    </row>
    <row r="709" spans="5:6" x14ac:dyDescent="0.55000000000000004">
      <c r="E709" s="144" t="s">
        <v>911</v>
      </c>
      <c r="F709" s="310" t="s">
        <v>912</v>
      </c>
    </row>
    <row r="710" spans="5:6" x14ac:dyDescent="0.55000000000000004">
      <c r="E710" s="144" t="s">
        <v>913</v>
      </c>
      <c r="F710" s="310" t="s">
        <v>914</v>
      </c>
    </row>
    <row r="711" spans="5:6" x14ac:dyDescent="0.55000000000000004">
      <c r="E711" s="144" t="s">
        <v>915</v>
      </c>
      <c r="F711" s="310" t="s">
        <v>916</v>
      </c>
    </row>
    <row r="712" spans="5:6" x14ac:dyDescent="0.55000000000000004">
      <c r="E712" s="144" t="s">
        <v>917</v>
      </c>
      <c r="F712" s="310" t="s">
        <v>918</v>
      </c>
    </row>
    <row r="713" spans="5:6" x14ac:dyDescent="0.55000000000000004">
      <c r="E713" s="144" t="s">
        <v>919</v>
      </c>
      <c r="F713" s="310" t="s">
        <v>920</v>
      </c>
    </row>
    <row r="714" spans="5:6" x14ac:dyDescent="0.55000000000000004">
      <c r="E714" s="144" t="s">
        <v>921</v>
      </c>
      <c r="F714" s="310" t="s">
        <v>922</v>
      </c>
    </row>
    <row r="715" spans="5:6" x14ac:dyDescent="0.55000000000000004">
      <c r="E715" s="144" t="s">
        <v>923</v>
      </c>
      <c r="F715" s="310" t="s">
        <v>924</v>
      </c>
    </row>
    <row r="716" spans="5:6" x14ac:dyDescent="0.55000000000000004">
      <c r="E716" s="144" t="s">
        <v>925</v>
      </c>
      <c r="F716" s="310" t="s">
        <v>926</v>
      </c>
    </row>
    <row r="717" spans="5:6" x14ac:dyDescent="0.55000000000000004">
      <c r="E717" s="144" t="s">
        <v>927</v>
      </c>
      <c r="F717" s="310" t="s">
        <v>928</v>
      </c>
    </row>
    <row r="718" spans="5:6" x14ac:dyDescent="0.55000000000000004">
      <c r="E718" s="144" t="s">
        <v>929</v>
      </c>
      <c r="F718" s="310" t="s">
        <v>930</v>
      </c>
    </row>
    <row r="719" spans="5:6" x14ac:dyDescent="0.55000000000000004">
      <c r="E719" s="144" t="s">
        <v>931</v>
      </c>
      <c r="F719" s="310" t="s">
        <v>932</v>
      </c>
    </row>
    <row r="720" spans="5:6" x14ac:dyDescent="0.55000000000000004">
      <c r="E720" s="144" t="s">
        <v>933</v>
      </c>
      <c r="F720" s="310" t="s">
        <v>934</v>
      </c>
    </row>
    <row r="721" spans="5:6" x14ac:dyDescent="0.55000000000000004">
      <c r="E721" s="144" t="s">
        <v>935</v>
      </c>
      <c r="F721" s="310" t="s">
        <v>936</v>
      </c>
    </row>
    <row r="722" spans="5:6" x14ac:dyDescent="0.55000000000000004">
      <c r="E722" s="144" t="s">
        <v>937</v>
      </c>
      <c r="F722" s="310" t="s">
        <v>938</v>
      </c>
    </row>
    <row r="723" spans="5:6" x14ac:dyDescent="0.55000000000000004">
      <c r="E723" s="144" t="s">
        <v>939</v>
      </c>
      <c r="F723" s="310" t="s">
        <v>940</v>
      </c>
    </row>
    <row r="724" spans="5:6" x14ac:dyDescent="0.55000000000000004">
      <c r="E724" s="144" t="s">
        <v>941</v>
      </c>
      <c r="F724" s="310" t="s">
        <v>942</v>
      </c>
    </row>
    <row r="725" spans="5:6" x14ac:dyDescent="0.55000000000000004">
      <c r="E725" s="144" t="s">
        <v>943</v>
      </c>
      <c r="F725" s="310" t="s">
        <v>944</v>
      </c>
    </row>
    <row r="726" spans="5:6" x14ac:dyDescent="0.55000000000000004">
      <c r="E726" s="144" t="s">
        <v>945</v>
      </c>
      <c r="F726" s="310" t="s">
        <v>946</v>
      </c>
    </row>
    <row r="727" spans="5:6" x14ac:dyDescent="0.55000000000000004">
      <c r="E727" s="144" t="s">
        <v>947</v>
      </c>
      <c r="F727" s="310" t="s">
        <v>948</v>
      </c>
    </row>
    <row r="728" spans="5:6" x14ac:dyDescent="0.55000000000000004">
      <c r="E728" s="144" t="s">
        <v>949</v>
      </c>
      <c r="F728" s="310" t="s">
        <v>950</v>
      </c>
    </row>
    <row r="729" spans="5:6" x14ac:dyDescent="0.55000000000000004">
      <c r="E729" s="144" t="s">
        <v>951</v>
      </c>
      <c r="F729" s="310" t="s">
        <v>952</v>
      </c>
    </row>
    <row r="730" spans="5:6" x14ac:dyDescent="0.55000000000000004">
      <c r="E730" s="144" t="s">
        <v>953</v>
      </c>
      <c r="F730" s="310" t="s">
        <v>954</v>
      </c>
    </row>
    <row r="731" spans="5:6" x14ac:dyDescent="0.55000000000000004">
      <c r="E731" s="144" t="s">
        <v>955</v>
      </c>
      <c r="F731" s="310" t="s">
        <v>956</v>
      </c>
    </row>
    <row r="732" spans="5:6" x14ac:dyDescent="0.55000000000000004">
      <c r="E732" s="144" t="s">
        <v>957</v>
      </c>
      <c r="F732" s="310" t="s">
        <v>958</v>
      </c>
    </row>
    <row r="733" spans="5:6" x14ac:dyDescent="0.55000000000000004">
      <c r="E733" s="144" t="s">
        <v>959</v>
      </c>
      <c r="F733" s="310" t="s">
        <v>960</v>
      </c>
    </row>
    <row r="734" spans="5:6" x14ac:dyDescent="0.55000000000000004">
      <c r="E734" s="144" t="s">
        <v>961</v>
      </c>
      <c r="F734" s="310" t="s">
        <v>962</v>
      </c>
    </row>
    <row r="735" spans="5:6" x14ac:dyDescent="0.55000000000000004">
      <c r="E735" s="144" t="s">
        <v>963</v>
      </c>
      <c r="F735" s="310" t="s">
        <v>964</v>
      </c>
    </row>
    <row r="736" spans="5:6" x14ac:dyDescent="0.55000000000000004">
      <c r="E736" s="144" t="s">
        <v>965</v>
      </c>
      <c r="F736" s="310" t="s">
        <v>966</v>
      </c>
    </row>
    <row r="737" spans="5:6" x14ac:dyDescent="0.55000000000000004">
      <c r="E737" s="144" t="s">
        <v>967</v>
      </c>
      <c r="F737" s="310" t="s">
        <v>968</v>
      </c>
    </row>
    <row r="738" spans="5:6" x14ac:dyDescent="0.55000000000000004">
      <c r="E738" s="144" t="s">
        <v>969</v>
      </c>
      <c r="F738" s="310" t="s">
        <v>970</v>
      </c>
    </row>
    <row r="739" spans="5:6" x14ac:dyDescent="0.55000000000000004">
      <c r="E739" s="144" t="s">
        <v>971</v>
      </c>
      <c r="F739" s="310" t="s">
        <v>972</v>
      </c>
    </row>
    <row r="740" spans="5:6" x14ac:dyDescent="0.55000000000000004">
      <c r="E740" s="144" t="s">
        <v>973</v>
      </c>
      <c r="F740" s="310" t="s">
        <v>974</v>
      </c>
    </row>
    <row r="741" spans="5:6" x14ac:dyDescent="0.55000000000000004">
      <c r="E741" s="144" t="s">
        <v>975</v>
      </c>
      <c r="F741" s="310" t="s">
        <v>976</v>
      </c>
    </row>
    <row r="742" spans="5:6" x14ac:dyDescent="0.55000000000000004">
      <c r="E742" s="144" t="s">
        <v>977</v>
      </c>
      <c r="F742" s="310" t="s">
        <v>978</v>
      </c>
    </row>
    <row r="743" spans="5:6" x14ac:dyDescent="0.55000000000000004">
      <c r="E743" s="144" t="s">
        <v>979</v>
      </c>
      <c r="F743" s="310" t="s">
        <v>980</v>
      </c>
    </row>
    <row r="744" spans="5:6" x14ac:dyDescent="0.55000000000000004">
      <c r="E744" s="144"/>
      <c r="F744" s="310" t="s">
        <v>981</v>
      </c>
    </row>
    <row r="745" spans="5:6" x14ac:dyDescent="0.55000000000000004">
      <c r="E745" s="144"/>
      <c r="F745" s="310" t="s">
        <v>982</v>
      </c>
    </row>
    <row r="746" spans="5:6" x14ac:dyDescent="0.55000000000000004">
      <c r="E746" s="144"/>
      <c r="F746" s="310" t="s">
        <v>983</v>
      </c>
    </row>
    <row r="747" spans="5:6" x14ac:dyDescent="0.55000000000000004">
      <c r="E747" s="144"/>
      <c r="F747" s="310" t="s">
        <v>984</v>
      </c>
    </row>
    <row r="748" spans="5:6" x14ac:dyDescent="0.55000000000000004">
      <c r="E748" s="144"/>
      <c r="F748" s="310" t="s">
        <v>985</v>
      </c>
    </row>
    <row r="749" spans="5:6" x14ac:dyDescent="0.55000000000000004">
      <c r="E749" s="144"/>
      <c r="F749" s="310" t="s">
        <v>986</v>
      </c>
    </row>
    <row r="750" spans="5:6" x14ac:dyDescent="0.55000000000000004">
      <c r="E750" s="144"/>
      <c r="F750" s="310" t="s">
        <v>987</v>
      </c>
    </row>
    <row r="751" spans="5:6" x14ac:dyDescent="0.55000000000000004">
      <c r="E751" s="144"/>
      <c r="F751" s="310" t="s">
        <v>988</v>
      </c>
    </row>
    <row r="752" spans="5:6" x14ac:dyDescent="0.55000000000000004">
      <c r="E752" s="144"/>
      <c r="F752" s="310" t="s">
        <v>989</v>
      </c>
    </row>
    <row r="753" spans="5:6" x14ac:dyDescent="0.55000000000000004">
      <c r="E753" s="144"/>
      <c r="F753" s="310" t="s">
        <v>990</v>
      </c>
    </row>
    <row r="754" spans="5:6" x14ac:dyDescent="0.55000000000000004">
      <c r="E754" s="144"/>
      <c r="F754" s="310" t="s">
        <v>991</v>
      </c>
    </row>
    <row r="755" spans="5:6" x14ac:dyDescent="0.55000000000000004">
      <c r="E755" s="144"/>
      <c r="F755" s="310" t="s">
        <v>992</v>
      </c>
    </row>
    <row r="756" spans="5:6" x14ac:dyDescent="0.55000000000000004">
      <c r="E756" s="144"/>
      <c r="F756" s="310" t="s">
        <v>993</v>
      </c>
    </row>
    <row r="757" spans="5:6" x14ac:dyDescent="0.55000000000000004">
      <c r="E757" s="144"/>
      <c r="F757" s="310" t="s">
        <v>994</v>
      </c>
    </row>
    <row r="758" spans="5:6" x14ac:dyDescent="0.55000000000000004">
      <c r="E758" s="144"/>
      <c r="F758" s="310" t="s">
        <v>995</v>
      </c>
    </row>
    <row r="759" spans="5:6" x14ac:dyDescent="0.55000000000000004">
      <c r="E759" s="144"/>
      <c r="F759" s="310" t="s">
        <v>996</v>
      </c>
    </row>
    <row r="760" spans="5:6" x14ac:dyDescent="0.55000000000000004">
      <c r="E760" s="144"/>
      <c r="F760" s="310" t="s">
        <v>997</v>
      </c>
    </row>
    <row r="761" spans="5:6" x14ac:dyDescent="0.55000000000000004">
      <c r="E761" s="144"/>
      <c r="F761" s="310" t="s">
        <v>998</v>
      </c>
    </row>
    <row r="762" spans="5:6" x14ac:dyDescent="0.55000000000000004">
      <c r="E762" s="144"/>
      <c r="F762" s="310" t="s">
        <v>999</v>
      </c>
    </row>
    <row r="763" spans="5:6" x14ac:dyDescent="0.55000000000000004">
      <c r="E763" s="144"/>
      <c r="F763" s="310" t="s">
        <v>1000</v>
      </c>
    </row>
    <row r="764" spans="5:6" x14ac:dyDescent="0.55000000000000004">
      <c r="E764" s="144"/>
      <c r="F764" s="310" t="s">
        <v>1001</v>
      </c>
    </row>
    <row r="765" spans="5:6" x14ac:dyDescent="0.55000000000000004">
      <c r="E765" s="144"/>
      <c r="F765" s="310" t="s">
        <v>1002</v>
      </c>
    </row>
    <row r="766" spans="5:6" x14ac:dyDescent="0.55000000000000004">
      <c r="E766" s="144"/>
      <c r="F766" s="310" t="s">
        <v>1003</v>
      </c>
    </row>
    <row r="767" spans="5:6" x14ac:dyDescent="0.55000000000000004">
      <c r="E767" s="133"/>
      <c r="F767" s="310" t="s">
        <v>1004</v>
      </c>
    </row>
    <row r="768" spans="5:6" x14ac:dyDescent="0.55000000000000004">
      <c r="E768" s="133"/>
      <c r="F768" s="133"/>
    </row>
    <row r="769" spans="1:46" x14ac:dyDescent="0.55000000000000004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  <c r="AC769" s="133"/>
      <c r="AD769" s="133"/>
      <c r="AE769" s="133"/>
      <c r="AF769" s="133"/>
      <c r="AG769" s="133"/>
      <c r="AH769" s="133"/>
      <c r="AI769" s="133"/>
      <c r="AJ769" s="133"/>
      <c r="AK769" s="133"/>
      <c r="AL769" s="133"/>
      <c r="AM769" s="133"/>
      <c r="AN769" s="133"/>
      <c r="AO769" s="133"/>
      <c r="AP769" s="133"/>
      <c r="AQ769" s="133"/>
      <c r="AR769" s="133"/>
      <c r="AS769" s="133"/>
      <c r="AT769" s="133"/>
    </row>
    <row r="770" spans="1:46" x14ac:dyDescent="0.55000000000000004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  <c r="AC770" s="133"/>
      <c r="AD770" s="133"/>
      <c r="AE770" s="133"/>
      <c r="AF770" s="133"/>
      <c r="AG770" s="133"/>
      <c r="AH770" s="133"/>
      <c r="AI770" s="133"/>
      <c r="AJ770" s="133"/>
      <c r="AK770" s="133"/>
      <c r="AL770" s="133"/>
      <c r="AM770" s="133"/>
      <c r="AN770" s="133"/>
      <c r="AO770" s="133"/>
      <c r="AP770" s="133"/>
      <c r="AQ770" s="133"/>
      <c r="AR770" s="133"/>
      <c r="AS770" s="133"/>
      <c r="AT770" s="133"/>
    </row>
    <row r="771" spans="1:46" x14ac:dyDescent="0.55000000000000004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  <c r="AC771" s="133"/>
      <c r="AD771" s="133"/>
      <c r="AE771" s="133"/>
      <c r="AF771" s="133"/>
      <c r="AG771" s="133"/>
      <c r="AH771" s="133"/>
      <c r="AI771" s="133"/>
      <c r="AJ771" s="133"/>
      <c r="AK771" s="133"/>
      <c r="AL771" s="133"/>
      <c r="AM771" s="133"/>
      <c r="AN771" s="133"/>
      <c r="AO771" s="133"/>
      <c r="AP771" s="133"/>
      <c r="AQ771" s="133"/>
      <c r="AR771" s="133"/>
      <c r="AS771" s="133"/>
      <c r="AT771" s="133"/>
    </row>
    <row r="773" spans="1:46" x14ac:dyDescent="0.55000000000000004">
      <c r="A773" s="203" t="s">
        <v>1005</v>
      </c>
      <c r="B773" s="203"/>
      <c r="C773" s="20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  <c r="N773" s="203"/>
      <c r="O773" s="203"/>
      <c r="P773" s="32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  <c r="AA773" s="203"/>
      <c r="AB773" s="203"/>
      <c r="AC773" s="203"/>
      <c r="AD773" s="203"/>
      <c r="AE773" s="203"/>
      <c r="AF773" s="203"/>
      <c r="AG773" s="203"/>
      <c r="AH773" s="203"/>
      <c r="AI773" s="203"/>
      <c r="AJ773" s="203"/>
      <c r="AK773" s="203"/>
      <c r="AL773" s="203"/>
      <c r="AM773" s="203"/>
      <c r="AN773" s="203"/>
      <c r="AO773" s="203"/>
      <c r="AP773" s="203"/>
      <c r="AQ773" s="203"/>
      <c r="AR773" s="203"/>
      <c r="AS773" s="203"/>
      <c r="AT773" s="203"/>
    </row>
    <row r="774" spans="1:46" x14ac:dyDescent="0.5500000000000000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44"/>
      <c r="Q774" s="144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  <c r="AC774" s="133"/>
      <c r="AD774" s="133"/>
      <c r="AE774" s="133"/>
      <c r="AF774" s="133"/>
      <c r="AG774" s="133"/>
      <c r="AH774" s="133"/>
      <c r="AI774" s="133"/>
      <c r="AJ774" s="133"/>
      <c r="AK774" s="133"/>
      <c r="AL774" s="133"/>
      <c r="AM774" s="133"/>
      <c r="AN774" s="133"/>
      <c r="AO774" s="133"/>
      <c r="AP774" s="133"/>
      <c r="AQ774" s="133"/>
      <c r="AR774" s="133"/>
      <c r="AS774" s="133"/>
      <c r="AT774" s="133"/>
    </row>
    <row r="775" spans="1:46" x14ac:dyDescent="0.55000000000000004">
      <c r="A775" s="133"/>
      <c r="B775" s="133"/>
      <c r="C775" s="133"/>
      <c r="D775" s="133"/>
      <c r="E775" s="133"/>
      <c r="F775" s="144" t="s">
        <v>1006</v>
      </c>
      <c r="G775" s="133"/>
      <c r="H775" s="133"/>
      <c r="I775" s="133"/>
      <c r="J775" s="133"/>
      <c r="K775" s="133"/>
      <c r="L775" s="133"/>
      <c r="M775" s="133"/>
      <c r="N775" s="133"/>
      <c r="O775" s="133"/>
      <c r="P775" s="144"/>
      <c r="Q775" s="144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  <c r="AC775" s="133"/>
      <c r="AD775" s="133"/>
      <c r="AE775" s="133"/>
      <c r="AF775" s="133"/>
      <c r="AG775" s="133"/>
      <c r="AH775" s="133"/>
      <c r="AI775" s="133"/>
      <c r="AJ775" s="133"/>
      <c r="AK775" s="133"/>
      <c r="AL775" s="133"/>
      <c r="AM775" s="133"/>
      <c r="AN775" s="133"/>
      <c r="AO775" s="133"/>
      <c r="AP775" s="133"/>
      <c r="AQ775" s="133"/>
      <c r="AR775" s="133"/>
      <c r="AS775" s="133"/>
      <c r="AT775" s="133"/>
    </row>
    <row r="776" spans="1:46" x14ac:dyDescent="0.55000000000000004">
      <c r="A776" s="133"/>
      <c r="B776" s="133"/>
      <c r="C776" s="133"/>
      <c r="D776" s="133"/>
      <c r="E776" s="133"/>
      <c r="F776" s="142">
        <v>-30</v>
      </c>
      <c r="G776" s="142">
        <v>-29</v>
      </c>
      <c r="H776" s="142">
        <v>-28</v>
      </c>
      <c r="I776" s="142">
        <v>-27</v>
      </c>
      <c r="J776" s="142">
        <v>-26</v>
      </c>
      <c r="K776" s="142">
        <v>-25</v>
      </c>
      <c r="L776" s="142">
        <v>-24</v>
      </c>
      <c r="M776" s="142">
        <v>-23</v>
      </c>
      <c r="N776" s="142">
        <v>-22</v>
      </c>
      <c r="O776" s="142">
        <v>-21</v>
      </c>
      <c r="P776" s="142">
        <v>-20</v>
      </c>
      <c r="Q776" s="142">
        <v>-19</v>
      </c>
      <c r="R776" s="142">
        <v>-18</v>
      </c>
      <c r="S776" s="142">
        <v>-17</v>
      </c>
      <c r="T776" s="142">
        <v>-16</v>
      </c>
      <c r="U776" s="142">
        <v>-15</v>
      </c>
      <c r="V776" s="142">
        <v>-14</v>
      </c>
      <c r="W776" s="142">
        <v>-13</v>
      </c>
      <c r="X776" s="142">
        <v>-12</v>
      </c>
      <c r="Y776" s="142">
        <v>-11</v>
      </c>
      <c r="Z776" s="142">
        <v>-10</v>
      </c>
      <c r="AA776" s="142">
        <v>-9</v>
      </c>
      <c r="AB776" s="142">
        <v>-8</v>
      </c>
      <c r="AC776" s="142">
        <v>-7</v>
      </c>
      <c r="AD776" s="142">
        <v>-6</v>
      </c>
      <c r="AE776" s="142">
        <v>-5</v>
      </c>
      <c r="AF776" s="142">
        <v>-4</v>
      </c>
      <c r="AG776" s="142">
        <v>-3</v>
      </c>
      <c r="AH776" s="142">
        <v>-2</v>
      </c>
      <c r="AI776" s="142">
        <v>-1</v>
      </c>
      <c r="AJ776" s="142">
        <v>0</v>
      </c>
      <c r="AK776" s="142">
        <v>1</v>
      </c>
      <c r="AL776" s="142">
        <v>2</v>
      </c>
      <c r="AM776" s="142">
        <v>3</v>
      </c>
      <c r="AN776" s="142">
        <v>4</v>
      </c>
      <c r="AO776" s="142">
        <v>5</v>
      </c>
      <c r="AP776" s="142">
        <v>6</v>
      </c>
      <c r="AQ776" s="142">
        <v>7</v>
      </c>
      <c r="AR776" s="142">
        <v>8</v>
      </c>
      <c r="AS776" s="142">
        <v>9</v>
      </c>
      <c r="AT776" s="142">
        <v>10</v>
      </c>
    </row>
    <row r="777" spans="1:46" x14ac:dyDescent="0.55000000000000004">
      <c r="A777" s="133"/>
      <c r="B777" s="133"/>
      <c r="C777" s="133"/>
      <c r="D777" s="133"/>
      <c r="E777" s="176" t="s">
        <v>1007</v>
      </c>
      <c r="F777" s="324">
        <v>1992</v>
      </c>
      <c r="G777" s="324">
        <v>1993</v>
      </c>
      <c r="H777" s="324">
        <v>1994</v>
      </c>
      <c r="I777" s="324">
        <v>1995</v>
      </c>
      <c r="J777" s="324">
        <v>1996</v>
      </c>
      <c r="K777" s="324">
        <v>1997</v>
      </c>
      <c r="L777" s="324">
        <v>1998</v>
      </c>
      <c r="M777" s="324">
        <v>1999</v>
      </c>
      <c r="N777" s="324">
        <v>2000</v>
      </c>
      <c r="O777" s="324">
        <v>2001</v>
      </c>
      <c r="P777" s="324">
        <v>2002</v>
      </c>
      <c r="Q777" s="324">
        <v>2003</v>
      </c>
      <c r="R777" s="324">
        <v>2004</v>
      </c>
      <c r="S777" s="324">
        <v>2005</v>
      </c>
      <c r="T777" s="324">
        <v>2006</v>
      </c>
      <c r="U777" s="324">
        <v>2007</v>
      </c>
      <c r="V777" s="324">
        <v>2008</v>
      </c>
      <c r="W777" s="324">
        <v>2009</v>
      </c>
      <c r="X777" s="324">
        <v>2010</v>
      </c>
      <c r="Y777" s="324">
        <v>2011</v>
      </c>
      <c r="Z777" s="324">
        <v>2012</v>
      </c>
      <c r="AA777" s="324">
        <v>2013</v>
      </c>
      <c r="AB777" s="324">
        <v>2014</v>
      </c>
      <c r="AC777" s="324">
        <v>2015</v>
      </c>
      <c r="AD777" s="324">
        <v>2016</v>
      </c>
      <c r="AE777" s="324">
        <v>2017</v>
      </c>
      <c r="AF777" s="324">
        <v>2018</v>
      </c>
      <c r="AG777" s="324">
        <v>2019</v>
      </c>
      <c r="AH777" s="324">
        <v>2020</v>
      </c>
      <c r="AI777" s="324">
        <v>2021</v>
      </c>
      <c r="AJ777" s="324">
        <v>2022</v>
      </c>
      <c r="AK777" s="324">
        <v>2023</v>
      </c>
      <c r="AL777" s="324">
        <v>2024</v>
      </c>
      <c r="AM777" s="324">
        <v>2025</v>
      </c>
      <c r="AN777" s="324">
        <v>2026</v>
      </c>
      <c r="AO777" s="324">
        <v>2027</v>
      </c>
      <c r="AP777" s="324">
        <v>2028</v>
      </c>
      <c r="AQ777" s="324">
        <v>2029</v>
      </c>
      <c r="AR777" s="324">
        <v>2030</v>
      </c>
      <c r="AS777" s="324">
        <v>2031</v>
      </c>
      <c r="AT777" s="324">
        <v>2032</v>
      </c>
    </row>
    <row r="778" spans="1:46" x14ac:dyDescent="0.55000000000000004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44"/>
      <c r="Q778" s="144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  <c r="AC778" s="133"/>
      <c r="AD778" s="133"/>
      <c r="AE778" s="133"/>
      <c r="AF778" s="133"/>
      <c r="AG778" s="133"/>
      <c r="AH778" s="133"/>
      <c r="AI778" s="133"/>
      <c r="AJ778" s="133"/>
      <c r="AK778" s="133"/>
      <c r="AL778" s="133"/>
      <c r="AM778" s="133"/>
      <c r="AN778" s="133"/>
      <c r="AO778" s="133"/>
      <c r="AP778" s="133"/>
      <c r="AQ778" s="133"/>
      <c r="AR778" s="133"/>
      <c r="AS778" s="133"/>
      <c r="AT778" s="133"/>
    </row>
    <row r="779" spans="1:46" x14ac:dyDescent="0.55000000000000004">
      <c r="A779" s="133"/>
      <c r="B779" s="133"/>
      <c r="C779" s="133"/>
      <c r="D779" s="133"/>
      <c r="E779" s="144" t="s">
        <v>1008</v>
      </c>
      <c r="F779" s="325"/>
      <c r="G779" s="325"/>
      <c r="H779" s="325"/>
      <c r="I779" s="325"/>
      <c r="J779" s="325"/>
      <c r="K779" s="325"/>
      <c r="L779" s="325"/>
      <c r="M779" s="325"/>
      <c r="N779" s="325"/>
      <c r="O779" s="325"/>
      <c r="P779" s="325"/>
      <c r="Q779" s="325"/>
      <c r="R779" s="325"/>
      <c r="S779" s="325"/>
      <c r="T779" s="325"/>
      <c r="U779" s="325"/>
      <c r="V779" s="325"/>
      <c r="W779" s="325"/>
      <c r="X779" s="325"/>
      <c r="Y779" s="325"/>
      <c r="Z779" s="161">
        <v>0</v>
      </c>
      <c r="AA779" s="161">
        <v>0</v>
      </c>
      <c r="AB779" s="161">
        <v>0</v>
      </c>
      <c r="AC779" s="161">
        <v>0</v>
      </c>
      <c r="AD779" s="161">
        <v>0</v>
      </c>
      <c r="AE779" s="161">
        <v>0</v>
      </c>
      <c r="AF779" s="161">
        <v>0</v>
      </c>
      <c r="AG779" s="161">
        <v>0</v>
      </c>
      <c r="AH779" s="161">
        <v>0</v>
      </c>
      <c r="AI779" s="161">
        <v>0</v>
      </c>
      <c r="AJ779" s="161">
        <v>0</v>
      </c>
      <c r="AK779" s="161">
        <v>0</v>
      </c>
      <c r="AL779" s="161">
        <v>0</v>
      </c>
      <c r="AM779" s="161">
        <v>0</v>
      </c>
      <c r="AN779" s="161">
        <v>0</v>
      </c>
      <c r="AO779" s="161">
        <v>0</v>
      </c>
      <c r="AP779" s="161">
        <v>0</v>
      </c>
      <c r="AQ779" s="161">
        <v>0</v>
      </c>
      <c r="AR779" s="161">
        <v>0</v>
      </c>
      <c r="AS779" s="161">
        <v>0</v>
      </c>
      <c r="AT779" s="161">
        <v>0</v>
      </c>
    </row>
    <row r="780" spans="1:46" x14ac:dyDescent="0.55000000000000004">
      <c r="A780" s="133"/>
      <c r="B780" s="133"/>
      <c r="C780" s="133"/>
      <c r="D780" s="133"/>
      <c r="E780" s="144" t="s">
        <v>1009</v>
      </c>
      <c r="F780" s="325"/>
      <c r="G780" s="325"/>
      <c r="H780" s="325"/>
      <c r="I780" s="325"/>
      <c r="J780" s="325"/>
      <c r="K780" s="325"/>
      <c r="L780" s="325"/>
      <c r="M780" s="325"/>
      <c r="N780" s="325"/>
      <c r="O780" s="325"/>
      <c r="P780" s="325"/>
      <c r="Q780" s="325"/>
      <c r="R780" s="325"/>
      <c r="S780" s="325"/>
      <c r="T780" s="325"/>
      <c r="U780" s="325"/>
      <c r="V780" s="325"/>
      <c r="W780" s="325"/>
      <c r="X780" s="325"/>
      <c r="Y780" s="325"/>
      <c r="Z780" s="161">
        <v>0</v>
      </c>
      <c r="AA780" s="161">
        <v>0</v>
      </c>
      <c r="AB780" s="161">
        <v>0</v>
      </c>
      <c r="AC780" s="161">
        <v>0</v>
      </c>
      <c r="AD780" s="161">
        <v>0</v>
      </c>
      <c r="AE780" s="161">
        <v>0</v>
      </c>
      <c r="AF780" s="161">
        <v>0</v>
      </c>
      <c r="AG780" s="161">
        <v>0</v>
      </c>
      <c r="AH780" s="161">
        <v>0</v>
      </c>
      <c r="AI780" s="161">
        <v>0</v>
      </c>
      <c r="AJ780" s="161">
        <v>0</v>
      </c>
      <c r="AK780" s="161">
        <v>0</v>
      </c>
      <c r="AL780" s="161">
        <v>0</v>
      </c>
      <c r="AM780" s="161">
        <v>0</v>
      </c>
      <c r="AN780" s="161">
        <v>0</v>
      </c>
      <c r="AO780" s="161">
        <v>0</v>
      </c>
      <c r="AP780" s="161">
        <v>0</v>
      </c>
      <c r="AQ780" s="161">
        <v>0</v>
      </c>
      <c r="AR780" s="161">
        <v>0</v>
      </c>
      <c r="AS780" s="161">
        <v>0</v>
      </c>
      <c r="AT780" s="161">
        <v>0</v>
      </c>
    </row>
    <row r="781" spans="1:46" x14ac:dyDescent="0.55000000000000004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44"/>
      <c r="Q781" s="144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  <c r="AC781" s="133"/>
      <c r="AD781" s="133"/>
      <c r="AE781" s="133"/>
      <c r="AF781" s="133"/>
      <c r="AG781" s="133"/>
      <c r="AH781" s="133"/>
      <c r="AI781" s="133"/>
      <c r="AJ781" s="133"/>
      <c r="AK781" s="133"/>
      <c r="AL781" s="133"/>
      <c r="AM781" s="133"/>
      <c r="AN781" s="133"/>
      <c r="AO781" s="133"/>
      <c r="AP781" s="133"/>
      <c r="AQ781" s="133"/>
      <c r="AR781" s="133"/>
      <c r="AS781" s="133"/>
      <c r="AT781" s="133"/>
    </row>
    <row r="782" spans="1:46" x14ac:dyDescent="0.55000000000000004">
      <c r="A782" s="133"/>
      <c r="B782" s="133"/>
      <c r="C782" s="133"/>
      <c r="D782" s="133"/>
      <c r="E782" s="144" t="s">
        <v>1010</v>
      </c>
      <c r="F782" s="326">
        <v>10</v>
      </c>
      <c r="G782" s="133"/>
      <c r="H782" s="133"/>
      <c r="I782" s="133"/>
      <c r="J782" s="133"/>
      <c r="K782" s="133"/>
      <c r="L782" s="133"/>
      <c r="M782" s="133"/>
      <c r="N782" s="133"/>
      <c r="O782" s="133"/>
      <c r="P782" s="144"/>
      <c r="Q782" s="144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  <c r="AC782" s="133"/>
      <c r="AD782" s="133"/>
      <c r="AE782" s="133"/>
      <c r="AF782" s="133"/>
      <c r="AG782" s="133"/>
      <c r="AH782" s="133"/>
      <c r="AI782" s="133"/>
      <c r="AJ782" s="133"/>
      <c r="AK782" s="133"/>
      <c r="AL782" s="133"/>
      <c r="AM782" s="133"/>
      <c r="AN782" s="133"/>
      <c r="AO782" s="133"/>
      <c r="AP782" s="133"/>
      <c r="AQ782" s="133"/>
      <c r="AR782" s="133"/>
      <c r="AS782" s="133"/>
      <c r="AT782" s="133"/>
    </row>
    <row r="783" spans="1:46" x14ac:dyDescent="0.55000000000000004">
      <c r="A783" s="133"/>
      <c r="B783" s="133"/>
      <c r="C783" s="133"/>
      <c r="D783" s="133"/>
      <c r="E783" s="133"/>
      <c r="F783" s="327" t="s">
        <v>184</v>
      </c>
      <c r="G783" s="327" t="s">
        <v>184</v>
      </c>
      <c r="H783" s="327" t="s">
        <v>184</v>
      </c>
      <c r="I783" s="327" t="s">
        <v>184</v>
      </c>
      <c r="J783" s="327" t="s">
        <v>184</v>
      </c>
      <c r="K783" s="327" t="s">
        <v>184</v>
      </c>
      <c r="L783" s="327" t="s">
        <v>184</v>
      </c>
      <c r="M783" s="327" t="s">
        <v>184</v>
      </c>
      <c r="N783" s="327" t="s">
        <v>184</v>
      </c>
      <c r="O783" s="327" t="s">
        <v>184</v>
      </c>
      <c r="P783" s="327" t="s">
        <v>1011</v>
      </c>
      <c r="Q783" s="327" t="s">
        <v>184</v>
      </c>
      <c r="R783" s="327" t="s">
        <v>184</v>
      </c>
      <c r="S783" s="327" t="s">
        <v>184</v>
      </c>
      <c r="T783" s="327" t="s">
        <v>184</v>
      </c>
      <c r="U783" s="327" t="s">
        <v>184</v>
      </c>
      <c r="V783" s="327" t="s">
        <v>184</v>
      </c>
      <c r="W783" s="327" t="s">
        <v>184</v>
      </c>
      <c r="X783" s="327" t="s">
        <v>184</v>
      </c>
      <c r="Y783" s="327" t="s">
        <v>184</v>
      </c>
      <c r="Z783" s="327" t="s">
        <v>184</v>
      </c>
      <c r="AA783" s="327" t="s">
        <v>184</v>
      </c>
      <c r="AB783" s="327" t="s">
        <v>184</v>
      </c>
      <c r="AC783" s="327" t="s">
        <v>184</v>
      </c>
      <c r="AD783" s="327" t="s">
        <v>184</v>
      </c>
      <c r="AE783" s="327" t="s">
        <v>184</v>
      </c>
      <c r="AF783" s="327" t="s">
        <v>184</v>
      </c>
      <c r="AG783" s="327" t="s">
        <v>184</v>
      </c>
      <c r="AH783" s="327" t="s">
        <v>184</v>
      </c>
      <c r="AI783" s="327" t="s">
        <v>184</v>
      </c>
      <c r="AJ783" s="327" t="s">
        <v>184</v>
      </c>
      <c r="AK783" s="327"/>
      <c r="AL783" s="327"/>
      <c r="AM783" s="327"/>
      <c r="AN783" s="327"/>
      <c r="AO783" s="327"/>
      <c r="AP783" s="327"/>
      <c r="AQ783" s="327"/>
      <c r="AR783" s="327"/>
      <c r="AS783" s="327"/>
      <c r="AT783" s="327"/>
    </row>
    <row r="784" spans="1:46" x14ac:dyDescent="0.55000000000000004">
      <c r="A784" s="133"/>
      <c r="B784" s="133"/>
      <c r="C784" s="133"/>
      <c r="D784" s="133"/>
      <c r="E784" s="144" t="s">
        <v>1012</v>
      </c>
      <c r="F784" s="15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  <c r="AA784" s="150"/>
      <c r="AB784" s="150"/>
      <c r="AC784" s="150"/>
      <c r="AD784" s="150"/>
      <c r="AE784" s="150"/>
      <c r="AF784" s="150"/>
      <c r="AG784" s="150"/>
      <c r="AH784" s="150"/>
      <c r="AI784" s="150"/>
      <c r="AJ784" s="150"/>
      <c r="AK784" s="150"/>
      <c r="AL784" s="150"/>
      <c r="AM784" s="150"/>
      <c r="AN784" s="150"/>
      <c r="AO784" s="150"/>
      <c r="AP784" s="150"/>
      <c r="AQ784" s="150"/>
      <c r="AR784" s="150"/>
      <c r="AS784" s="150"/>
      <c r="AT784" s="150"/>
    </row>
    <row r="785" spans="4:46" x14ac:dyDescent="0.55000000000000004"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44"/>
      <c r="Q785" s="144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  <c r="AC785" s="133"/>
      <c r="AD785" s="133"/>
      <c r="AE785" s="133"/>
      <c r="AF785" s="133"/>
      <c r="AG785" s="133"/>
      <c r="AH785" s="133"/>
      <c r="AI785" s="133"/>
      <c r="AJ785" s="133"/>
      <c r="AK785" s="133"/>
      <c r="AL785" s="133"/>
      <c r="AM785" s="133"/>
      <c r="AN785" s="133"/>
      <c r="AO785" s="133"/>
      <c r="AP785" s="133"/>
      <c r="AQ785" s="133"/>
      <c r="AR785" s="133"/>
      <c r="AS785" s="133"/>
      <c r="AT785" s="133"/>
    </row>
    <row r="786" spans="4:46" x14ac:dyDescent="0.55000000000000004">
      <c r="D786" s="133"/>
      <c r="E786" s="328" t="s">
        <v>1013</v>
      </c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  <c r="R786" s="211"/>
      <c r="S786" s="211"/>
      <c r="T786" s="211"/>
      <c r="U786" s="211"/>
      <c r="V786" s="211"/>
      <c r="W786" s="211"/>
      <c r="X786" s="211"/>
      <c r="Y786" s="211"/>
      <c r="Z786" s="211"/>
      <c r="AA786" s="211"/>
      <c r="AB786" s="211"/>
      <c r="AC786" s="211"/>
      <c r="AD786" s="211"/>
      <c r="AE786" s="211"/>
      <c r="AF786" s="211"/>
      <c r="AG786" s="211"/>
      <c r="AH786" s="211"/>
      <c r="AI786" s="211"/>
      <c r="AJ786" s="211"/>
      <c r="AK786" s="211"/>
      <c r="AL786" s="211"/>
      <c r="AM786" s="211"/>
      <c r="AN786" s="211"/>
      <c r="AO786" s="211"/>
      <c r="AP786" s="211"/>
      <c r="AQ786" s="211"/>
      <c r="AR786" s="211"/>
      <c r="AS786" s="211"/>
      <c r="AT786" s="211"/>
    </row>
    <row r="787" spans="4:46" x14ac:dyDescent="0.55000000000000004"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44"/>
      <c r="Q787" s="144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  <c r="AC787" s="133"/>
      <c r="AD787" s="133"/>
      <c r="AE787" s="133"/>
      <c r="AF787" s="133"/>
      <c r="AG787" s="133"/>
      <c r="AH787" s="133"/>
      <c r="AI787" s="133"/>
      <c r="AJ787" s="133"/>
      <c r="AK787" s="133"/>
      <c r="AL787" s="133"/>
      <c r="AM787" s="133"/>
      <c r="AN787" s="133"/>
      <c r="AO787" s="133"/>
      <c r="AP787" s="133"/>
      <c r="AQ787" s="133"/>
      <c r="AR787" s="133"/>
      <c r="AS787" s="133"/>
      <c r="AT787" s="133"/>
    </row>
    <row r="788" spans="4:46" x14ac:dyDescent="0.55000000000000004">
      <c r="D788" s="133"/>
      <c r="E788" s="144" t="s">
        <v>1014</v>
      </c>
      <c r="F788" s="161">
        <v>0</v>
      </c>
      <c r="G788" s="161">
        <v>0</v>
      </c>
      <c r="H788" s="161">
        <v>0</v>
      </c>
      <c r="I788" s="161">
        <v>0</v>
      </c>
      <c r="J788" s="161">
        <v>0</v>
      </c>
      <c r="K788" s="161">
        <v>0</v>
      </c>
      <c r="L788" s="161">
        <v>0</v>
      </c>
      <c r="M788" s="161">
        <v>0</v>
      </c>
      <c r="N788" s="161">
        <v>0</v>
      </c>
      <c r="O788" s="161">
        <v>0</v>
      </c>
      <c r="P788" s="161">
        <v>0</v>
      </c>
      <c r="Q788" s="161">
        <v>0</v>
      </c>
      <c r="R788" s="161">
        <v>0</v>
      </c>
      <c r="S788" s="161">
        <v>0</v>
      </c>
      <c r="T788" s="161">
        <v>0</v>
      </c>
      <c r="U788" s="161">
        <v>0</v>
      </c>
      <c r="V788" s="161">
        <v>0</v>
      </c>
      <c r="W788" s="161">
        <v>0</v>
      </c>
      <c r="X788" s="161">
        <v>0</v>
      </c>
      <c r="Y788" s="161">
        <v>0</v>
      </c>
      <c r="Z788" s="161">
        <v>0</v>
      </c>
      <c r="AA788" s="161">
        <v>0</v>
      </c>
      <c r="AB788" s="161">
        <v>0</v>
      </c>
      <c r="AC788" s="161">
        <v>0</v>
      </c>
      <c r="AD788" s="161">
        <v>0</v>
      </c>
      <c r="AE788" s="161">
        <v>0</v>
      </c>
      <c r="AF788" s="161">
        <v>0</v>
      </c>
      <c r="AG788" s="161">
        <v>0</v>
      </c>
      <c r="AH788" s="161">
        <v>0</v>
      </c>
      <c r="AI788" s="161">
        <v>0</v>
      </c>
      <c r="AJ788" s="161">
        <v>0</v>
      </c>
      <c r="AK788" s="161">
        <v>0</v>
      </c>
      <c r="AL788" s="161">
        <v>0</v>
      </c>
      <c r="AM788" s="161">
        <v>0</v>
      </c>
      <c r="AN788" s="161">
        <v>0</v>
      </c>
      <c r="AO788" s="161">
        <v>0</v>
      </c>
      <c r="AP788" s="161">
        <v>0</v>
      </c>
      <c r="AQ788" s="161">
        <v>0</v>
      </c>
      <c r="AR788" s="161">
        <v>0</v>
      </c>
      <c r="AS788" s="161">
        <v>0</v>
      </c>
      <c r="AT788" s="161">
        <v>0</v>
      </c>
    </row>
    <row r="789" spans="4:46" x14ac:dyDescent="0.55000000000000004">
      <c r="D789" s="133"/>
      <c r="E789" s="144" t="s">
        <v>1015</v>
      </c>
      <c r="F789" s="161">
        <v>0</v>
      </c>
      <c r="G789" s="161">
        <v>0</v>
      </c>
      <c r="H789" s="161">
        <v>0</v>
      </c>
      <c r="I789" s="161">
        <v>0</v>
      </c>
      <c r="J789" s="161">
        <v>0</v>
      </c>
      <c r="K789" s="161">
        <v>0</v>
      </c>
      <c r="L789" s="161">
        <v>0</v>
      </c>
      <c r="M789" s="161">
        <v>0</v>
      </c>
      <c r="N789" s="161">
        <v>0</v>
      </c>
      <c r="O789" s="161">
        <v>0</v>
      </c>
      <c r="P789" s="161">
        <v>0</v>
      </c>
      <c r="Q789" s="161">
        <v>0</v>
      </c>
      <c r="R789" s="161">
        <v>0</v>
      </c>
      <c r="S789" s="161">
        <v>0</v>
      </c>
      <c r="T789" s="161">
        <v>0</v>
      </c>
      <c r="U789" s="161">
        <v>0</v>
      </c>
      <c r="V789" s="161">
        <v>0</v>
      </c>
      <c r="W789" s="161">
        <v>0</v>
      </c>
      <c r="X789" s="161">
        <v>0</v>
      </c>
      <c r="Y789" s="161">
        <v>0</v>
      </c>
      <c r="Z789" s="161">
        <v>0</v>
      </c>
      <c r="AA789" s="161">
        <v>0</v>
      </c>
      <c r="AB789" s="161">
        <v>0</v>
      </c>
      <c r="AC789" s="161">
        <v>0</v>
      </c>
      <c r="AD789" s="161">
        <v>0</v>
      </c>
      <c r="AE789" s="161">
        <v>0</v>
      </c>
      <c r="AF789" s="161">
        <v>0</v>
      </c>
      <c r="AG789" s="161">
        <v>0</v>
      </c>
      <c r="AH789" s="161">
        <v>0</v>
      </c>
      <c r="AI789" s="161">
        <v>0</v>
      </c>
      <c r="AJ789" s="161">
        <v>0</v>
      </c>
      <c r="AK789" s="161">
        <v>0</v>
      </c>
      <c r="AL789" s="161">
        <v>0</v>
      </c>
      <c r="AM789" s="161">
        <v>0</v>
      </c>
      <c r="AN789" s="161">
        <v>0</v>
      </c>
      <c r="AO789" s="161">
        <v>0</v>
      </c>
      <c r="AP789" s="161">
        <v>0</v>
      </c>
      <c r="AQ789" s="161">
        <v>0</v>
      </c>
      <c r="AR789" s="161">
        <v>0</v>
      </c>
      <c r="AS789" s="161">
        <v>0</v>
      </c>
      <c r="AT789" s="161">
        <v>0</v>
      </c>
    </row>
    <row r="790" spans="4:46" x14ac:dyDescent="0.55000000000000004"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44"/>
      <c r="Q790" s="144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  <c r="AC790" s="133"/>
      <c r="AD790" s="133"/>
      <c r="AE790" s="133"/>
      <c r="AF790" s="133"/>
      <c r="AG790" s="133"/>
      <c r="AH790" s="133"/>
      <c r="AI790" s="133"/>
      <c r="AJ790" s="133"/>
      <c r="AK790" s="133"/>
      <c r="AL790" s="133"/>
      <c r="AM790" s="133"/>
      <c r="AN790" s="133"/>
      <c r="AO790" s="133"/>
      <c r="AP790" s="133"/>
      <c r="AQ790" s="133"/>
      <c r="AR790" s="133"/>
      <c r="AS790" s="133"/>
      <c r="AT790" s="133"/>
    </row>
    <row r="791" spans="4:46" x14ac:dyDescent="0.55000000000000004">
      <c r="D791" s="144">
        <v>-30</v>
      </c>
      <c r="E791" s="144" t="s">
        <v>1016</v>
      </c>
      <c r="F791" s="133"/>
      <c r="G791" s="144">
        <v>0</v>
      </c>
      <c r="H791" s="144">
        <v>0</v>
      </c>
      <c r="I791" s="144">
        <v>0</v>
      </c>
      <c r="J791" s="144">
        <v>0</v>
      </c>
      <c r="K791" s="144">
        <v>0</v>
      </c>
      <c r="L791" s="144">
        <v>0</v>
      </c>
      <c r="M791" s="144">
        <v>0</v>
      </c>
      <c r="N791" s="144">
        <v>0</v>
      </c>
      <c r="O791" s="144">
        <v>0</v>
      </c>
      <c r="P791" s="144">
        <v>0</v>
      </c>
      <c r="Q791" s="144">
        <v>0</v>
      </c>
      <c r="R791" s="144">
        <v>0</v>
      </c>
      <c r="S791" s="144">
        <v>0</v>
      </c>
      <c r="T791" s="144">
        <v>0</v>
      </c>
      <c r="U791" s="144">
        <v>0</v>
      </c>
      <c r="V791" s="144">
        <v>0</v>
      </c>
      <c r="W791" s="144">
        <v>0</v>
      </c>
      <c r="X791" s="144">
        <v>0</v>
      </c>
      <c r="Y791" s="144">
        <v>0</v>
      </c>
      <c r="Z791" s="144">
        <v>0</v>
      </c>
      <c r="AA791" s="144">
        <v>0</v>
      </c>
      <c r="AB791" s="144">
        <v>0</v>
      </c>
      <c r="AC791" s="144">
        <v>0</v>
      </c>
      <c r="AD791" s="144">
        <v>0</v>
      </c>
      <c r="AE791" s="144">
        <v>0</v>
      </c>
      <c r="AF791" s="144">
        <v>0</v>
      </c>
      <c r="AG791" s="144">
        <v>0</v>
      </c>
      <c r="AH791" s="144">
        <v>0</v>
      </c>
      <c r="AI791" s="144">
        <v>0</v>
      </c>
      <c r="AJ791" s="144">
        <v>0</v>
      </c>
      <c r="AK791" s="144">
        <v>0</v>
      </c>
      <c r="AL791" s="144">
        <v>0</v>
      </c>
      <c r="AM791" s="144">
        <v>0</v>
      </c>
      <c r="AN791" s="144">
        <v>0</v>
      </c>
      <c r="AO791" s="144">
        <v>0</v>
      </c>
      <c r="AP791" s="144">
        <v>0</v>
      </c>
      <c r="AQ791" s="144">
        <v>0</v>
      </c>
      <c r="AR791" s="144">
        <v>0</v>
      </c>
      <c r="AS791" s="144">
        <v>0</v>
      </c>
      <c r="AT791" s="144">
        <v>0</v>
      </c>
    </row>
    <row r="792" spans="4:46" x14ac:dyDescent="0.55000000000000004">
      <c r="D792" s="144">
        <v>-29</v>
      </c>
      <c r="E792" s="144" t="s">
        <v>1017</v>
      </c>
      <c r="F792" s="133"/>
      <c r="G792" s="133"/>
      <c r="H792" s="144">
        <v>0</v>
      </c>
      <c r="I792" s="144">
        <v>0</v>
      </c>
      <c r="J792" s="144">
        <v>0</v>
      </c>
      <c r="K792" s="144">
        <v>0</v>
      </c>
      <c r="L792" s="144">
        <v>0</v>
      </c>
      <c r="M792" s="144">
        <v>0</v>
      </c>
      <c r="N792" s="144">
        <v>0</v>
      </c>
      <c r="O792" s="144">
        <v>0</v>
      </c>
      <c r="P792" s="144">
        <v>0</v>
      </c>
      <c r="Q792" s="144">
        <v>0</v>
      </c>
      <c r="R792" s="144">
        <v>0</v>
      </c>
      <c r="S792" s="144">
        <v>0</v>
      </c>
      <c r="T792" s="144">
        <v>0</v>
      </c>
      <c r="U792" s="144">
        <v>0</v>
      </c>
      <c r="V792" s="144">
        <v>0</v>
      </c>
      <c r="W792" s="144">
        <v>0</v>
      </c>
      <c r="X792" s="144">
        <v>0</v>
      </c>
      <c r="Y792" s="144">
        <v>0</v>
      </c>
      <c r="Z792" s="144">
        <v>0</v>
      </c>
      <c r="AA792" s="144">
        <v>0</v>
      </c>
      <c r="AB792" s="144">
        <v>0</v>
      </c>
      <c r="AC792" s="144">
        <v>0</v>
      </c>
      <c r="AD792" s="144">
        <v>0</v>
      </c>
      <c r="AE792" s="144">
        <v>0</v>
      </c>
      <c r="AF792" s="144">
        <v>0</v>
      </c>
      <c r="AG792" s="144">
        <v>0</v>
      </c>
      <c r="AH792" s="144">
        <v>0</v>
      </c>
      <c r="AI792" s="144">
        <v>0</v>
      </c>
      <c r="AJ792" s="144">
        <v>0</v>
      </c>
      <c r="AK792" s="144">
        <v>0</v>
      </c>
      <c r="AL792" s="144">
        <v>0</v>
      </c>
      <c r="AM792" s="144">
        <v>0</v>
      </c>
      <c r="AN792" s="144">
        <v>0</v>
      </c>
      <c r="AO792" s="144">
        <v>0</v>
      </c>
      <c r="AP792" s="144">
        <v>0</v>
      </c>
      <c r="AQ792" s="144">
        <v>0</v>
      </c>
      <c r="AR792" s="144">
        <v>0</v>
      </c>
      <c r="AS792" s="144">
        <v>0</v>
      </c>
      <c r="AT792" s="144">
        <v>0</v>
      </c>
    </row>
    <row r="793" spans="4:46" x14ac:dyDescent="0.55000000000000004">
      <c r="D793" s="144">
        <v>-28</v>
      </c>
      <c r="E793" s="144" t="s">
        <v>1018</v>
      </c>
      <c r="F793" s="133"/>
      <c r="G793" s="133"/>
      <c r="H793" s="133"/>
      <c r="I793" s="144">
        <v>0</v>
      </c>
      <c r="J793" s="144">
        <v>0</v>
      </c>
      <c r="K793" s="144">
        <v>0</v>
      </c>
      <c r="L793" s="144">
        <v>0</v>
      </c>
      <c r="M793" s="144">
        <v>0</v>
      </c>
      <c r="N793" s="144">
        <v>0</v>
      </c>
      <c r="O793" s="144">
        <v>0</v>
      </c>
      <c r="P793" s="144">
        <v>0</v>
      </c>
      <c r="Q793" s="144">
        <v>0</v>
      </c>
      <c r="R793" s="144">
        <v>0</v>
      </c>
      <c r="S793" s="144">
        <v>0</v>
      </c>
      <c r="T793" s="144">
        <v>0</v>
      </c>
      <c r="U793" s="144">
        <v>0</v>
      </c>
      <c r="V793" s="144">
        <v>0</v>
      </c>
      <c r="W793" s="144">
        <v>0</v>
      </c>
      <c r="X793" s="144">
        <v>0</v>
      </c>
      <c r="Y793" s="144">
        <v>0</v>
      </c>
      <c r="Z793" s="144">
        <v>0</v>
      </c>
      <c r="AA793" s="144">
        <v>0</v>
      </c>
      <c r="AB793" s="144">
        <v>0</v>
      </c>
      <c r="AC793" s="144">
        <v>0</v>
      </c>
      <c r="AD793" s="144">
        <v>0</v>
      </c>
      <c r="AE793" s="144">
        <v>0</v>
      </c>
      <c r="AF793" s="144">
        <v>0</v>
      </c>
      <c r="AG793" s="144">
        <v>0</v>
      </c>
      <c r="AH793" s="144">
        <v>0</v>
      </c>
      <c r="AI793" s="144">
        <v>0</v>
      </c>
      <c r="AJ793" s="144">
        <v>0</v>
      </c>
      <c r="AK793" s="144">
        <v>0</v>
      </c>
      <c r="AL793" s="144">
        <v>0</v>
      </c>
      <c r="AM793" s="144">
        <v>0</v>
      </c>
      <c r="AN793" s="144">
        <v>0</v>
      </c>
      <c r="AO793" s="144">
        <v>0</v>
      </c>
      <c r="AP793" s="144">
        <v>0</v>
      </c>
      <c r="AQ793" s="144">
        <v>0</v>
      </c>
      <c r="AR793" s="144">
        <v>0</v>
      </c>
      <c r="AS793" s="144">
        <v>0</v>
      </c>
      <c r="AT793" s="144">
        <v>0</v>
      </c>
    </row>
    <row r="794" spans="4:46" x14ac:dyDescent="0.55000000000000004">
      <c r="D794" s="144">
        <v>-27</v>
      </c>
      <c r="E794" s="144" t="s">
        <v>1019</v>
      </c>
      <c r="F794" s="133"/>
      <c r="G794" s="133"/>
      <c r="H794" s="133"/>
      <c r="I794" s="133"/>
      <c r="J794" s="144">
        <v>0</v>
      </c>
      <c r="K794" s="144">
        <v>0</v>
      </c>
      <c r="L794" s="144">
        <v>0</v>
      </c>
      <c r="M794" s="144">
        <v>0</v>
      </c>
      <c r="N794" s="144">
        <v>0</v>
      </c>
      <c r="O794" s="144">
        <v>0</v>
      </c>
      <c r="P794" s="144">
        <v>0</v>
      </c>
      <c r="Q794" s="144">
        <v>0</v>
      </c>
      <c r="R794" s="144">
        <v>0</v>
      </c>
      <c r="S794" s="144">
        <v>0</v>
      </c>
      <c r="T794" s="144">
        <v>0</v>
      </c>
      <c r="U794" s="144">
        <v>0</v>
      </c>
      <c r="V794" s="144">
        <v>0</v>
      </c>
      <c r="W794" s="144">
        <v>0</v>
      </c>
      <c r="X794" s="144">
        <v>0</v>
      </c>
      <c r="Y794" s="144">
        <v>0</v>
      </c>
      <c r="Z794" s="144">
        <v>0</v>
      </c>
      <c r="AA794" s="144">
        <v>0</v>
      </c>
      <c r="AB794" s="144">
        <v>0</v>
      </c>
      <c r="AC794" s="144">
        <v>0</v>
      </c>
      <c r="AD794" s="144">
        <v>0</v>
      </c>
      <c r="AE794" s="144">
        <v>0</v>
      </c>
      <c r="AF794" s="144">
        <v>0</v>
      </c>
      <c r="AG794" s="144">
        <v>0</v>
      </c>
      <c r="AH794" s="144">
        <v>0</v>
      </c>
      <c r="AI794" s="144">
        <v>0</v>
      </c>
      <c r="AJ794" s="144">
        <v>0</v>
      </c>
      <c r="AK794" s="144">
        <v>0</v>
      </c>
      <c r="AL794" s="144">
        <v>0</v>
      </c>
      <c r="AM794" s="144">
        <v>0</v>
      </c>
      <c r="AN794" s="144">
        <v>0</v>
      </c>
      <c r="AO794" s="144">
        <v>0</v>
      </c>
      <c r="AP794" s="144">
        <v>0</v>
      </c>
      <c r="AQ794" s="144">
        <v>0</v>
      </c>
      <c r="AR794" s="144">
        <v>0</v>
      </c>
      <c r="AS794" s="144">
        <v>0</v>
      </c>
      <c r="AT794" s="144">
        <v>0</v>
      </c>
    </row>
    <row r="795" spans="4:46" x14ac:dyDescent="0.55000000000000004">
      <c r="D795" s="144">
        <v>-26</v>
      </c>
      <c r="E795" s="144" t="s">
        <v>1020</v>
      </c>
      <c r="F795" s="133"/>
      <c r="G795" s="133"/>
      <c r="H795" s="133"/>
      <c r="I795" s="133"/>
      <c r="J795" s="133"/>
      <c r="K795" s="144">
        <v>0</v>
      </c>
      <c r="L795" s="144">
        <v>0</v>
      </c>
      <c r="M795" s="144">
        <v>0</v>
      </c>
      <c r="N795" s="144">
        <v>0</v>
      </c>
      <c r="O795" s="144">
        <v>0</v>
      </c>
      <c r="P795" s="144">
        <v>0</v>
      </c>
      <c r="Q795" s="144">
        <v>0</v>
      </c>
      <c r="R795" s="144">
        <v>0</v>
      </c>
      <c r="S795" s="144">
        <v>0</v>
      </c>
      <c r="T795" s="144">
        <v>0</v>
      </c>
      <c r="U795" s="144">
        <v>0</v>
      </c>
      <c r="V795" s="144">
        <v>0</v>
      </c>
      <c r="W795" s="144">
        <v>0</v>
      </c>
      <c r="X795" s="144">
        <v>0</v>
      </c>
      <c r="Y795" s="144">
        <v>0</v>
      </c>
      <c r="Z795" s="144">
        <v>0</v>
      </c>
      <c r="AA795" s="144">
        <v>0</v>
      </c>
      <c r="AB795" s="144">
        <v>0</v>
      </c>
      <c r="AC795" s="144">
        <v>0</v>
      </c>
      <c r="AD795" s="144">
        <v>0</v>
      </c>
      <c r="AE795" s="144">
        <v>0</v>
      </c>
      <c r="AF795" s="144">
        <v>0</v>
      </c>
      <c r="AG795" s="144">
        <v>0</v>
      </c>
      <c r="AH795" s="144">
        <v>0</v>
      </c>
      <c r="AI795" s="144">
        <v>0</v>
      </c>
      <c r="AJ795" s="144">
        <v>0</v>
      </c>
      <c r="AK795" s="144">
        <v>0</v>
      </c>
      <c r="AL795" s="144">
        <v>0</v>
      </c>
      <c r="AM795" s="144">
        <v>0</v>
      </c>
      <c r="AN795" s="144">
        <v>0</v>
      </c>
      <c r="AO795" s="144">
        <v>0</v>
      </c>
      <c r="AP795" s="144">
        <v>0</v>
      </c>
      <c r="AQ795" s="144">
        <v>0</v>
      </c>
      <c r="AR795" s="144">
        <v>0</v>
      </c>
      <c r="AS795" s="144">
        <v>0</v>
      </c>
      <c r="AT795" s="144">
        <v>0</v>
      </c>
    </row>
    <row r="796" spans="4:46" x14ac:dyDescent="0.55000000000000004">
      <c r="D796" s="144">
        <v>-25</v>
      </c>
      <c r="E796" s="144" t="s">
        <v>1021</v>
      </c>
      <c r="F796" s="133"/>
      <c r="G796" s="133"/>
      <c r="H796" s="133"/>
      <c r="I796" s="133"/>
      <c r="J796" s="133"/>
      <c r="K796" s="133"/>
      <c r="L796" s="144">
        <v>0</v>
      </c>
      <c r="M796" s="144">
        <v>0</v>
      </c>
      <c r="N796" s="144">
        <v>0</v>
      </c>
      <c r="O796" s="144">
        <v>0</v>
      </c>
      <c r="P796" s="144">
        <v>0</v>
      </c>
      <c r="Q796" s="144">
        <v>0</v>
      </c>
      <c r="R796" s="144">
        <v>0</v>
      </c>
      <c r="S796" s="144">
        <v>0</v>
      </c>
      <c r="T796" s="144">
        <v>0</v>
      </c>
      <c r="U796" s="144">
        <v>0</v>
      </c>
      <c r="V796" s="144">
        <v>0</v>
      </c>
      <c r="W796" s="144">
        <v>0</v>
      </c>
      <c r="X796" s="144">
        <v>0</v>
      </c>
      <c r="Y796" s="144">
        <v>0</v>
      </c>
      <c r="Z796" s="144">
        <v>0</v>
      </c>
      <c r="AA796" s="144">
        <v>0</v>
      </c>
      <c r="AB796" s="144">
        <v>0</v>
      </c>
      <c r="AC796" s="144">
        <v>0</v>
      </c>
      <c r="AD796" s="144">
        <v>0</v>
      </c>
      <c r="AE796" s="144">
        <v>0</v>
      </c>
      <c r="AF796" s="144">
        <v>0</v>
      </c>
      <c r="AG796" s="144">
        <v>0</v>
      </c>
      <c r="AH796" s="144">
        <v>0</v>
      </c>
      <c r="AI796" s="144">
        <v>0</v>
      </c>
      <c r="AJ796" s="144">
        <v>0</v>
      </c>
      <c r="AK796" s="144">
        <v>0</v>
      </c>
      <c r="AL796" s="144">
        <v>0</v>
      </c>
      <c r="AM796" s="144">
        <v>0</v>
      </c>
      <c r="AN796" s="144">
        <v>0</v>
      </c>
      <c r="AO796" s="144">
        <v>0</v>
      </c>
      <c r="AP796" s="144">
        <v>0</v>
      </c>
      <c r="AQ796" s="144">
        <v>0</v>
      </c>
      <c r="AR796" s="144">
        <v>0</v>
      </c>
      <c r="AS796" s="144">
        <v>0</v>
      </c>
      <c r="AT796" s="144">
        <v>0</v>
      </c>
    </row>
    <row r="797" spans="4:46" x14ac:dyDescent="0.55000000000000004">
      <c r="D797" s="144">
        <v>-24</v>
      </c>
      <c r="E797" s="144" t="s">
        <v>1022</v>
      </c>
      <c r="F797" s="133"/>
      <c r="G797" s="133"/>
      <c r="H797" s="133"/>
      <c r="I797" s="133"/>
      <c r="J797" s="133"/>
      <c r="K797" s="133"/>
      <c r="L797" s="133"/>
      <c r="M797" s="144">
        <v>0</v>
      </c>
      <c r="N797" s="144">
        <v>0</v>
      </c>
      <c r="O797" s="144">
        <v>0</v>
      </c>
      <c r="P797" s="144">
        <v>0</v>
      </c>
      <c r="Q797" s="144">
        <v>0</v>
      </c>
      <c r="R797" s="144">
        <v>0</v>
      </c>
      <c r="S797" s="144">
        <v>0</v>
      </c>
      <c r="T797" s="144">
        <v>0</v>
      </c>
      <c r="U797" s="144">
        <v>0</v>
      </c>
      <c r="V797" s="144">
        <v>0</v>
      </c>
      <c r="W797" s="144">
        <v>0</v>
      </c>
      <c r="X797" s="144">
        <v>0</v>
      </c>
      <c r="Y797" s="144">
        <v>0</v>
      </c>
      <c r="Z797" s="144">
        <v>0</v>
      </c>
      <c r="AA797" s="144">
        <v>0</v>
      </c>
      <c r="AB797" s="144">
        <v>0</v>
      </c>
      <c r="AC797" s="144">
        <v>0</v>
      </c>
      <c r="AD797" s="144">
        <v>0</v>
      </c>
      <c r="AE797" s="144">
        <v>0</v>
      </c>
      <c r="AF797" s="144">
        <v>0</v>
      </c>
      <c r="AG797" s="144">
        <v>0</v>
      </c>
      <c r="AH797" s="144">
        <v>0</v>
      </c>
      <c r="AI797" s="144">
        <v>0</v>
      </c>
      <c r="AJ797" s="144">
        <v>0</v>
      </c>
      <c r="AK797" s="144">
        <v>0</v>
      </c>
      <c r="AL797" s="144">
        <v>0</v>
      </c>
      <c r="AM797" s="144">
        <v>0</v>
      </c>
      <c r="AN797" s="144">
        <v>0</v>
      </c>
      <c r="AO797" s="144">
        <v>0</v>
      </c>
      <c r="AP797" s="144">
        <v>0</v>
      </c>
      <c r="AQ797" s="144">
        <v>0</v>
      </c>
      <c r="AR797" s="144">
        <v>0</v>
      </c>
      <c r="AS797" s="144">
        <v>0</v>
      </c>
      <c r="AT797" s="144">
        <v>0</v>
      </c>
    </row>
    <row r="798" spans="4:46" x14ac:dyDescent="0.55000000000000004">
      <c r="D798" s="144">
        <v>-23</v>
      </c>
      <c r="E798" s="144" t="s">
        <v>1023</v>
      </c>
      <c r="F798" s="133"/>
      <c r="G798" s="133"/>
      <c r="H798" s="133"/>
      <c r="I798" s="133"/>
      <c r="J798" s="133"/>
      <c r="K798" s="133"/>
      <c r="L798" s="133"/>
      <c r="M798" s="133"/>
      <c r="N798" s="144">
        <v>0</v>
      </c>
      <c r="O798" s="144">
        <v>0</v>
      </c>
      <c r="P798" s="144">
        <v>0</v>
      </c>
      <c r="Q798" s="144">
        <v>0</v>
      </c>
      <c r="R798" s="144">
        <v>0</v>
      </c>
      <c r="S798" s="144">
        <v>0</v>
      </c>
      <c r="T798" s="144">
        <v>0</v>
      </c>
      <c r="U798" s="144">
        <v>0</v>
      </c>
      <c r="V798" s="144">
        <v>0</v>
      </c>
      <c r="W798" s="144">
        <v>0</v>
      </c>
      <c r="X798" s="144">
        <v>0</v>
      </c>
      <c r="Y798" s="144">
        <v>0</v>
      </c>
      <c r="Z798" s="144">
        <v>0</v>
      </c>
      <c r="AA798" s="144">
        <v>0</v>
      </c>
      <c r="AB798" s="144">
        <v>0</v>
      </c>
      <c r="AC798" s="144">
        <v>0</v>
      </c>
      <c r="AD798" s="144">
        <v>0</v>
      </c>
      <c r="AE798" s="144">
        <v>0</v>
      </c>
      <c r="AF798" s="144">
        <v>0</v>
      </c>
      <c r="AG798" s="144">
        <v>0</v>
      </c>
      <c r="AH798" s="144">
        <v>0</v>
      </c>
      <c r="AI798" s="144">
        <v>0</v>
      </c>
      <c r="AJ798" s="144">
        <v>0</v>
      </c>
      <c r="AK798" s="144">
        <v>0</v>
      </c>
      <c r="AL798" s="144">
        <v>0</v>
      </c>
      <c r="AM798" s="144">
        <v>0</v>
      </c>
      <c r="AN798" s="144">
        <v>0</v>
      </c>
      <c r="AO798" s="144">
        <v>0</v>
      </c>
      <c r="AP798" s="144">
        <v>0</v>
      </c>
      <c r="AQ798" s="144">
        <v>0</v>
      </c>
      <c r="AR798" s="144">
        <v>0</v>
      </c>
      <c r="AS798" s="144">
        <v>0</v>
      </c>
      <c r="AT798" s="144">
        <v>0</v>
      </c>
    </row>
    <row r="799" spans="4:46" x14ac:dyDescent="0.55000000000000004">
      <c r="D799" s="144">
        <v>-22</v>
      </c>
      <c r="E799" s="144" t="s">
        <v>1024</v>
      </c>
      <c r="F799" s="133"/>
      <c r="G799" s="133"/>
      <c r="H799" s="133"/>
      <c r="I799" s="133"/>
      <c r="J799" s="133"/>
      <c r="K799" s="133"/>
      <c r="L799" s="133"/>
      <c r="M799" s="133"/>
      <c r="N799" s="133"/>
      <c r="O799" s="144">
        <v>0</v>
      </c>
      <c r="P799" s="144">
        <v>0</v>
      </c>
      <c r="Q799" s="144">
        <v>0</v>
      </c>
      <c r="R799" s="144">
        <v>0</v>
      </c>
      <c r="S799" s="144">
        <v>0</v>
      </c>
      <c r="T799" s="144">
        <v>0</v>
      </c>
      <c r="U799" s="144">
        <v>0</v>
      </c>
      <c r="V799" s="144">
        <v>0</v>
      </c>
      <c r="W799" s="144">
        <v>0</v>
      </c>
      <c r="X799" s="144">
        <v>0</v>
      </c>
      <c r="Y799" s="144">
        <v>0</v>
      </c>
      <c r="Z799" s="144">
        <v>0</v>
      </c>
      <c r="AA799" s="144">
        <v>0</v>
      </c>
      <c r="AB799" s="144">
        <v>0</v>
      </c>
      <c r="AC799" s="144">
        <v>0</v>
      </c>
      <c r="AD799" s="144">
        <v>0</v>
      </c>
      <c r="AE799" s="144">
        <v>0</v>
      </c>
      <c r="AF799" s="144">
        <v>0</v>
      </c>
      <c r="AG799" s="144">
        <v>0</v>
      </c>
      <c r="AH799" s="144">
        <v>0</v>
      </c>
      <c r="AI799" s="144">
        <v>0</v>
      </c>
      <c r="AJ799" s="144">
        <v>0</v>
      </c>
      <c r="AK799" s="144">
        <v>0</v>
      </c>
      <c r="AL799" s="144">
        <v>0</v>
      </c>
      <c r="AM799" s="144">
        <v>0</v>
      </c>
      <c r="AN799" s="144">
        <v>0</v>
      </c>
      <c r="AO799" s="144">
        <v>0</v>
      </c>
      <c r="AP799" s="144">
        <v>0</v>
      </c>
      <c r="AQ799" s="144">
        <v>0</v>
      </c>
      <c r="AR799" s="144">
        <v>0</v>
      </c>
      <c r="AS799" s="144">
        <v>0</v>
      </c>
      <c r="AT799" s="144">
        <v>0</v>
      </c>
    </row>
    <row r="800" spans="4:46" x14ac:dyDescent="0.55000000000000004">
      <c r="D800" s="144">
        <v>-21</v>
      </c>
      <c r="E800" s="144" t="s">
        <v>1025</v>
      </c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44">
        <v>0</v>
      </c>
      <c r="Q800" s="144">
        <v>0</v>
      </c>
      <c r="R800" s="144">
        <v>0</v>
      </c>
      <c r="S800" s="144">
        <v>0</v>
      </c>
      <c r="T800" s="144">
        <v>0</v>
      </c>
      <c r="U800" s="144">
        <v>0</v>
      </c>
      <c r="V800" s="144">
        <v>0</v>
      </c>
      <c r="W800" s="144">
        <v>0</v>
      </c>
      <c r="X800" s="144">
        <v>0</v>
      </c>
      <c r="Y800" s="144">
        <v>0</v>
      </c>
      <c r="Z800" s="144">
        <v>0</v>
      </c>
      <c r="AA800" s="144">
        <v>0</v>
      </c>
      <c r="AB800" s="144">
        <v>0</v>
      </c>
      <c r="AC800" s="144">
        <v>0</v>
      </c>
      <c r="AD800" s="144">
        <v>0</v>
      </c>
      <c r="AE800" s="144">
        <v>0</v>
      </c>
      <c r="AF800" s="144">
        <v>0</v>
      </c>
      <c r="AG800" s="144">
        <v>0</v>
      </c>
      <c r="AH800" s="144">
        <v>0</v>
      </c>
      <c r="AI800" s="144">
        <v>0</v>
      </c>
      <c r="AJ800" s="144">
        <v>0</v>
      </c>
      <c r="AK800" s="144">
        <v>0</v>
      </c>
      <c r="AL800" s="144">
        <v>0</v>
      </c>
      <c r="AM800" s="144">
        <v>0</v>
      </c>
      <c r="AN800" s="144">
        <v>0</v>
      </c>
      <c r="AO800" s="144">
        <v>0</v>
      </c>
      <c r="AP800" s="144">
        <v>0</v>
      </c>
      <c r="AQ800" s="144">
        <v>0</v>
      </c>
      <c r="AR800" s="144">
        <v>0</v>
      </c>
      <c r="AS800" s="144">
        <v>0</v>
      </c>
      <c r="AT800" s="144">
        <v>0</v>
      </c>
    </row>
    <row r="801" spans="4:46" x14ac:dyDescent="0.55000000000000004">
      <c r="D801" s="144">
        <v>-20</v>
      </c>
      <c r="E801" s="144" t="s">
        <v>1026</v>
      </c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44"/>
      <c r="Q801" s="144">
        <v>0</v>
      </c>
      <c r="R801" s="144">
        <v>0</v>
      </c>
      <c r="S801" s="144">
        <v>0</v>
      </c>
      <c r="T801" s="144">
        <v>0</v>
      </c>
      <c r="U801" s="144">
        <v>0</v>
      </c>
      <c r="V801" s="144">
        <v>0</v>
      </c>
      <c r="W801" s="144">
        <v>0</v>
      </c>
      <c r="X801" s="144">
        <v>0</v>
      </c>
      <c r="Y801" s="144">
        <v>0</v>
      </c>
      <c r="Z801" s="144">
        <v>0</v>
      </c>
      <c r="AA801" s="144">
        <v>0</v>
      </c>
      <c r="AB801" s="144">
        <v>0</v>
      </c>
      <c r="AC801" s="144">
        <v>0</v>
      </c>
      <c r="AD801" s="144">
        <v>0</v>
      </c>
      <c r="AE801" s="144">
        <v>0</v>
      </c>
      <c r="AF801" s="144">
        <v>0</v>
      </c>
      <c r="AG801" s="144">
        <v>0</v>
      </c>
      <c r="AH801" s="144">
        <v>0</v>
      </c>
      <c r="AI801" s="144">
        <v>0</v>
      </c>
      <c r="AJ801" s="144">
        <v>0</v>
      </c>
      <c r="AK801" s="144">
        <v>0</v>
      </c>
      <c r="AL801" s="144">
        <v>0</v>
      </c>
      <c r="AM801" s="144">
        <v>0</v>
      </c>
      <c r="AN801" s="144">
        <v>0</v>
      </c>
      <c r="AO801" s="144">
        <v>0</v>
      </c>
      <c r="AP801" s="144">
        <v>0</v>
      </c>
      <c r="AQ801" s="144">
        <v>0</v>
      </c>
      <c r="AR801" s="144">
        <v>0</v>
      </c>
      <c r="AS801" s="144">
        <v>0</v>
      </c>
      <c r="AT801" s="144">
        <v>0</v>
      </c>
    </row>
    <row r="802" spans="4:46" x14ac:dyDescent="0.55000000000000004">
      <c r="D802" s="144">
        <v>-19</v>
      </c>
      <c r="E802" s="144" t="s">
        <v>1027</v>
      </c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44"/>
      <c r="Q802" s="144"/>
      <c r="R802" s="144">
        <v>0</v>
      </c>
      <c r="S802" s="144">
        <v>0</v>
      </c>
      <c r="T802" s="144">
        <v>0</v>
      </c>
      <c r="U802" s="144">
        <v>0</v>
      </c>
      <c r="V802" s="144">
        <v>0</v>
      </c>
      <c r="W802" s="144">
        <v>0</v>
      </c>
      <c r="X802" s="144">
        <v>0</v>
      </c>
      <c r="Y802" s="144">
        <v>0</v>
      </c>
      <c r="Z802" s="144">
        <v>0</v>
      </c>
      <c r="AA802" s="144">
        <v>0</v>
      </c>
      <c r="AB802" s="144">
        <v>0</v>
      </c>
      <c r="AC802" s="144">
        <v>0</v>
      </c>
      <c r="AD802" s="144">
        <v>0</v>
      </c>
      <c r="AE802" s="144">
        <v>0</v>
      </c>
      <c r="AF802" s="144">
        <v>0</v>
      </c>
      <c r="AG802" s="144">
        <v>0</v>
      </c>
      <c r="AH802" s="144">
        <v>0</v>
      </c>
      <c r="AI802" s="144">
        <v>0</v>
      </c>
      <c r="AJ802" s="144">
        <v>0</v>
      </c>
      <c r="AK802" s="144">
        <v>0</v>
      </c>
      <c r="AL802" s="144">
        <v>0</v>
      </c>
      <c r="AM802" s="144">
        <v>0</v>
      </c>
      <c r="AN802" s="144">
        <v>0</v>
      </c>
      <c r="AO802" s="144">
        <v>0</v>
      </c>
      <c r="AP802" s="144">
        <v>0</v>
      </c>
      <c r="AQ802" s="144">
        <v>0</v>
      </c>
      <c r="AR802" s="144">
        <v>0</v>
      </c>
      <c r="AS802" s="144">
        <v>0</v>
      </c>
      <c r="AT802" s="144">
        <v>0</v>
      </c>
    </row>
    <row r="803" spans="4:46" x14ac:dyDescent="0.55000000000000004">
      <c r="D803" s="144">
        <v>-18</v>
      </c>
      <c r="E803" s="144" t="s">
        <v>1028</v>
      </c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44"/>
      <c r="Q803" s="144"/>
      <c r="R803" s="133"/>
      <c r="S803" s="144">
        <v>0</v>
      </c>
      <c r="T803" s="144">
        <v>0</v>
      </c>
      <c r="U803" s="144">
        <v>0</v>
      </c>
      <c r="V803" s="144">
        <v>0</v>
      </c>
      <c r="W803" s="144">
        <v>0</v>
      </c>
      <c r="X803" s="144">
        <v>0</v>
      </c>
      <c r="Y803" s="144">
        <v>0</v>
      </c>
      <c r="Z803" s="144">
        <v>0</v>
      </c>
      <c r="AA803" s="144">
        <v>0</v>
      </c>
      <c r="AB803" s="144">
        <v>0</v>
      </c>
      <c r="AC803" s="144">
        <v>0</v>
      </c>
      <c r="AD803" s="144">
        <v>0</v>
      </c>
      <c r="AE803" s="144">
        <v>0</v>
      </c>
      <c r="AF803" s="144">
        <v>0</v>
      </c>
      <c r="AG803" s="144">
        <v>0</v>
      </c>
      <c r="AH803" s="144">
        <v>0</v>
      </c>
      <c r="AI803" s="144">
        <v>0</v>
      </c>
      <c r="AJ803" s="144">
        <v>0</v>
      </c>
      <c r="AK803" s="144">
        <v>0</v>
      </c>
      <c r="AL803" s="144">
        <v>0</v>
      </c>
      <c r="AM803" s="144">
        <v>0</v>
      </c>
      <c r="AN803" s="144">
        <v>0</v>
      </c>
      <c r="AO803" s="144">
        <v>0</v>
      </c>
      <c r="AP803" s="144">
        <v>0</v>
      </c>
      <c r="AQ803" s="144">
        <v>0</v>
      </c>
      <c r="AR803" s="144">
        <v>0</v>
      </c>
      <c r="AS803" s="144">
        <v>0</v>
      </c>
      <c r="AT803" s="144">
        <v>0</v>
      </c>
    </row>
    <row r="804" spans="4:46" x14ac:dyDescent="0.55000000000000004">
      <c r="D804" s="144">
        <v>-17</v>
      </c>
      <c r="E804" s="144" t="s">
        <v>1029</v>
      </c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44"/>
      <c r="Q804" s="144"/>
      <c r="R804" s="133"/>
      <c r="S804" s="133"/>
      <c r="T804" s="144">
        <v>0</v>
      </c>
      <c r="U804" s="144">
        <v>0</v>
      </c>
      <c r="V804" s="144">
        <v>0</v>
      </c>
      <c r="W804" s="144">
        <v>0</v>
      </c>
      <c r="X804" s="144">
        <v>0</v>
      </c>
      <c r="Y804" s="144">
        <v>0</v>
      </c>
      <c r="Z804" s="144">
        <v>0</v>
      </c>
      <c r="AA804" s="144">
        <v>0</v>
      </c>
      <c r="AB804" s="144">
        <v>0</v>
      </c>
      <c r="AC804" s="144">
        <v>0</v>
      </c>
      <c r="AD804" s="144">
        <v>0</v>
      </c>
      <c r="AE804" s="144">
        <v>0</v>
      </c>
      <c r="AF804" s="144">
        <v>0</v>
      </c>
      <c r="AG804" s="144">
        <v>0</v>
      </c>
      <c r="AH804" s="144">
        <v>0</v>
      </c>
      <c r="AI804" s="144">
        <v>0</v>
      </c>
      <c r="AJ804" s="144">
        <v>0</v>
      </c>
      <c r="AK804" s="144">
        <v>0</v>
      </c>
      <c r="AL804" s="144">
        <v>0</v>
      </c>
      <c r="AM804" s="144">
        <v>0</v>
      </c>
      <c r="AN804" s="144">
        <v>0</v>
      </c>
      <c r="AO804" s="144">
        <v>0</v>
      </c>
      <c r="AP804" s="144">
        <v>0</v>
      </c>
      <c r="AQ804" s="144">
        <v>0</v>
      </c>
      <c r="AR804" s="144">
        <v>0</v>
      </c>
      <c r="AS804" s="144">
        <v>0</v>
      </c>
      <c r="AT804" s="144">
        <v>0</v>
      </c>
    </row>
    <row r="805" spans="4:46" x14ac:dyDescent="0.55000000000000004">
      <c r="D805" s="144">
        <v>-16</v>
      </c>
      <c r="E805" s="144" t="s">
        <v>1030</v>
      </c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44"/>
      <c r="Q805" s="144"/>
      <c r="R805" s="133"/>
      <c r="S805" s="133"/>
      <c r="T805" s="133"/>
      <c r="U805" s="144">
        <v>0</v>
      </c>
      <c r="V805" s="144">
        <v>0</v>
      </c>
      <c r="W805" s="144">
        <v>0</v>
      </c>
      <c r="X805" s="144">
        <v>0</v>
      </c>
      <c r="Y805" s="144">
        <v>0</v>
      </c>
      <c r="Z805" s="144">
        <v>0</v>
      </c>
      <c r="AA805" s="144">
        <v>0</v>
      </c>
      <c r="AB805" s="144">
        <v>0</v>
      </c>
      <c r="AC805" s="144">
        <v>0</v>
      </c>
      <c r="AD805" s="144">
        <v>0</v>
      </c>
      <c r="AE805" s="144">
        <v>0</v>
      </c>
      <c r="AF805" s="144">
        <v>0</v>
      </c>
      <c r="AG805" s="144">
        <v>0</v>
      </c>
      <c r="AH805" s="144">
        <v>0</v>
      </c>
      <c r="AI805" s="144">
        <v>0</v>
      </c>
      <c r="AJ805" s="144">
        <v>0</v>
      </c>
      <c r="AK805" s="144">
        <v>0</v>
      </c>
      <c r="AL805" s="144">
        <v>0</v>
      </c>
      <c r="AM805" s="144">
        <v>0</v>
      </c>
      <c r="AN805" s="144">
        <v>0</v>
      </c>
      <c r="AO805" s="144">
        <v>0</v>
      </c>
      <c r="AP805" s="144">
        <v>0</v>
      </c>
      <c r="AQ805" s="144">
        <v>0</v>
      </c>
      <c r="AR805" s="144">
        <v>0</v>
      </c>
      <c r="AS805" s="144">
        <v>0</v>
      </c>
      <c r="AT805" s="144">
        <v>0</v>
      </c>
    </row>
    <row r="806" spans="4:46" x14ac:dyDescent="0.55000000000000004">
      <c r="D806" s="144">
        <v>-15</v>
      </c>
      <c r="E806" s="144" t="s">
        <v>1031</v>
      </c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44"/>
      <c r="Q806" s="144"/>
      <c r="R806" s="133"/>
      <c r="S806" s="133"/>
      <c r="T806" s="133"/>
      <c r="U806" s="133"/>
      <c r="V806" s="144">
        <v>0</v>
      </c>
      <c r="W806" s="144">
        <v>0</v>
      </c>
      <c r="X806" s="144">
        <v>0</v>
      </c>
      <c r="Y806" s="144">
        <v>0</v>
      </c>
      <c r="Z806" s="144">
        <v>0</v>
      </c>
      <c r="AA806" s="144">
        <v>0</v>
      </c>
      <c r="AB806" s="144">
        <v>0</v>
      </c>
      <c r="AC806" s="144">
        <v>0</v>
      </c>
      <c r="AD806" s="144">
        <v>0</v>
      </c>
      <c r="AE806" s="144">
        <v>0</v>
      </c>
      <c r="AF806" s="144">
        <v>0</v>
      </c>
      <c r="AG806" s="144">
        <v>0</v>
      </c>
      <c r="AH806" s="144">
        <v>0</v>
      </c>
      <c r="AI806" s="144">
        <v>0</v>
      </c>
      <c r="AJ806" s="144">
        <v>0</v>
      </c>
      <c r="AK806" s="144">
        <v>0</v>
      </c>
      <c r="AL806" s="144">
        <v>0</v>
      </c>
      <c r="AM806" s="144">
        <v>0</v>
      </c>
      <c r="AN806" s="144">
        <v>0</v>
      </c>
      <c r="AO806" s="144">
        <v>0</v>
      </c>
      <c r="AP806" s="144">
        <v>0</v>
      </c>
      <c r="AQ806" s="144">
        <v>0</v>
      </c>
      <c r="AR806" s="144">
        <v>0</v>
      </c>
      <c r="AS806" s="144">
        <v>0</v>
      </c>
      <c r="AT806" s="144">
        <v>0</v>
      </c>
    </row>
    <row r="807" spans="4:46" x14ac:dyDescent="0.55000000000000004">
      <c r="D807" s="144">
        <v>-14</v>
      </c>
      <c r="E807" s="144" t="s">
        <v>1032</v>
      </c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44"/>
      <c r="Q807" s="144"/>
      <c r="R807" s="133"/>
      <c r="S807" s="133"/>
      <c r="T807" s="133"/>
      <c r="U807" s="133"/>
      <c r="V807" s="133"/>
      <c r="W807" s="144">
        <v>0</v>
      </c>
      <c r="X807" s="144">
        <v>0</v>
      </c>
      <c r="Y807" s="144">
        <v>0</v>
      </c>
      <c r="Z807" s="144">
        <v>0</v>
      </c>
      <c r="AA807" s="144">
        <v>0</v>
      </c>
      <c r="AB807" s="144">
        <v>0</v>
      </c>
      <c r="AC807" s="144">
        <v>0</v>
      </c>
      <c r="AD807" s="144">
        <v>0</v>
      </c>
      <c r="AE807" s="144">
        <v>0</v>
      </c>
      <c r="AF807" s="144">
        <v>0</v>
      </c>
      <c r="AG807" s="144">
        <v>0</v>
      </c>
      <c r="AH807" s="144">
        <v>0</v>
      </c>
      <c r="AI807" s="144">
        <v>0</v>
      </c>
      <c r="AJ807" s="144">
        <v>0</v>
      </c>
      <c r="AK807" s="144">
        <v>0</v>
      </c>
      <c r="AL807" s="144">
        <v>0</v>
      </c>
      <c r="AM807" s="144">
        <v>0</v>
      </c>
      <c r="AN807" s="144">
        <v>0</v>
      </c>
      <c r="AO807" s="144">
        <v>0</v>
      </c>
      <c r="AP807" s="144">
        <v>0</v>
      </c>
      <c r="AQ807" s="144">
        <v>0</v>
      </c>
      <c r="AR807" s="144">
        <v>0</v>
      </c>
      <c r="AS807" s="144">
        <v>0</v>
      </c>
      <c r="AT807" s="144">
        <v>0</v>
      </c>
    </row>
    <row r="808" spans="4:46" x14ac:dyDescent="0.55000000000000004">
      <c r="D808" s="144">
        <v>-13</v>
      </c>
      <c r="E808" s="144" t="s">
        <v>1033</v>
      </c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44"/>
      <c r="Q808" s="144"/>
      <c r="R808" s="133"/>
      <c r="S808" s="133"/>
      <c r="T808" s="133"/>
      <c r="U808" s="133"/>
      <c r="V808" s="133"/>
      <c r="W808" s="133"/>
      <c r="X808" s="144">
        <v>0</v>
      </c>
      <c r="Y808" s="144">
        <v>0</v>
      </c>
      <c r="Z808" s="144">
        <v>0</v>
      </c>
      <c r="AA808" s="144">
        <v>0</v>
      </c>
      <c r="AB808" s="144">
        <v>0</v>
      </c>
      <c r="AC808" s="144">
        <v>0</v>
      </c>
      <c r="AD808" s="144">
        <v>0</v>
      </c>
      <c r="AE808" s="144">
        <v>0</v>
      </c>
      <c r="AF808" s="144">
        <v>0</v>
      </c>
      <c r="AG808" s="144">
        <v>0</v>
      </c>
      <c r="AH808" s="144">
        <v>0</v>
      </c>
      <c r="AI808" s="144">
        <v>0</v>
      </c>
      <c r="AJ808" s="144">
        <v>0</v>
      </c>
      <c r="AK808" s="144">
        <v>0</v>
      </c>
      <c r="AL808" s="144">
        <v>0</v>
      </c>
      <c r="AM808" s="144">
        <v>0</v>
      </c>
      <c r="AN808" s="144">
        <v>0</v>
      </c>
      <c r="AO808" s="144">
        <v>0</v>
      </c>
      <c r="AP808" s="144">
        <v>0</v>
      </c>
      <c r="AQ808" s="144">
        <v>0</v>
      </c>
      <c r="AR808" s="144">
        <v>0</v>
      </c>
      <c r="AS808" s="144">
        <v>0</v>
      </c>
      <c r="AT808" s="144">
        <v>0</v>
      </c>
    </row>
    <row r="809" spans="4:46" x14ac:dyDescent="0.55000000000000004">
      <c r="D809" s="144">
        <v>-12</v>
      </c>
      <c r="E809" s="144" t="s">
        <v>1034</v>
      </c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44"/>
      <c r="Q809" s="144"/>
      <c r="R809" s="133"/>
      <c r="S809" s="133"/>
      <c r="T809" s="133"/>
      <c r="U809" s="133"/>
      <c r="V809" s="133"/>
      <c r="W809" s="133"/>
      <c r="X809" s="133"/>
      <c r="Y809" s="144">
        <v>0</v>
      </c>
      <c r="Z809" s="144">
        <v>0</v>
      </c>
      <c r="AA809" s="144">
        <v>0</v>
      </c>
      <c r="AB809" s="144">
        <v>0</v>
      </c>
      <c r="AC809" s="144">
        <v>0</v>
      </c>
      <c r="AD809" s="144">
        <v>0</v>
      </c>
      <c r="AE809" s="144">
        <v>0</v>
      </c>
      <c r="AF809" s="144">
        <v>0</v>
      </c>
      <c r="AG809" s="144">
        <v>0</v>
      </c>
      <c r="AH809" s="144">
        <v>0</v>
      </c>
      <c r="AI809" s="144">
        <v>0</v>
      </c>
      <c r="AJ809" s="144">
        <v>0</v>
      </c>
      <c r="AK809" s="144">
        <v>0</v>
      </c>
      <c r="AL809" s="144">
        <v>0</v>
      </c>
      <c r="AM809" s="144">
        <v>0</v>
      </c>
      <c r="AN809" s="144">
        <v>0</v>
      </c>
      <c r="AO809" s="144">
        <v>0</v>
      </c>
      <c r="AP809" s="144">
        <v>0</v>
      </c>
      <c r="AQ809" s="144">
        <v>0</v>
      </c>
      <c r="AR809" s="144">
        <v>0</v>
      </c>
      <c r="AS809" s="144">
        <v>0</v>
      </c>
      <c r="AT809" s="144">
        <v>0</v>
      </c>
    </row>
    <row r="810" spans="4:46" x14ac:dyDescent="0.55000000000000004">
      <c r="D810" s="144">
        <v>-11</v>
      </c>
      <c r="E810" s="144" t="s">
        <v>1035</v>
      </c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44"/>
      <c r="Q810" s="144"/>
      <c r="R810" s="133"/>
      <c r="S810" s="133"/>
      <c r="T810" s="133"/>
      <c r="U810" s="133"/>
      <c r="V810" s="133"/>
      <c r="W810" s="133"/>
      <c r="X810" s="133"/>
      <c r="Y810" s="133"/>
      <c r="Z810" s="144">
        <v>0</v>
      </c>
      <c r="AA810" s="144">
        <v>0</v>
      </c>
      <c r="AB810" s="144">
        <v>0</v>
      </c>
      <c r="AC810" s="144">
        <v>0</v>
      </c>
      <c r="AD810" s="144">
        <v>0</v>
      </c>
      <c r="AE810" s="144">
        <v>0</v>
      </c>
      <c r="AF810" s="144">
        <v>0</v>
      </c>
      <c r="AG810" s="144">
        <v>0</v>
      </c>
      <c r="AH810" s="144">
        <v>0</v>
      </c>
      <c r="AI810" s="144">
        <v>0</v>
      </c>
      <c r="AJ810" s="144">
        <v>0</v>
      </c>
      <c r="AK810" s="144">
        <v>0</v>
      </c>
      <c r="AL810" s="144">
        <v>0</v>
      </c>
      <c r="AM810" s="144">
        <v>0</v>
      </c>
      <c r="AN810" s="144">
        <v>0</v>
      </c>
      <c r="AO810" s="144">
        <v>0</v>
      </c>
      <c r="AP810" s="144">
        <v>0</v>
      </c>
      <c r="AQ810" s="144">
        <v>0</v>
      </c>
      <c r="AR810" s="144">
        <v>0</v>
      </c>
      <c r="AS810" s="144">
        <v>0</v>
      </c>
      <c r="AT810" s="144">
        <v>0</v>
      </c>
    </row>
    <row r="811" spans="4:46" x14ac:dyDescent="0.55000000000000004">
      <c r="D811" s="144">
        <v>-10</v>
      </c>
      <c r="E811" s="144" t="s">
        <v>1036</v>
      </c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44"/>
      <c r="Q811" s="144"/>
      <c r="R811" s="133"/>
      <c r="S811" s="133"/>
      <c r="T811" s="133"/>
      <c r="U811" s="133"/>
      <c r="V811" s="133"/>
      <c r="W811" s="133"/>
      <c r="X811" s="133"/>
      <c r="Y811" s="133"/>
      <c r="Z811" s="133"/>
      <c r="AA811" s="144">
        <v>0</v>
      </c>
      <c r="AB811" s="144">
        <v>0</v>
      </c>
      <c r="AC811" s="144">
        <v>0</v>
      </c>
      <c r="AD811" s="144">
        <v>0</v>
      </c>
      <c r="AE811" s="144">
        <v>0</v>
      </c>
      <c r="AF811" s="144">
        <v>0</v>
      </c>
      <c r="AG811" s="144">
        <v>0</v>
      </c>
      <c r="AH811" s="144">
        <v>0</v>
      </c>
      <c r="AI811" s="144">
        <v>0</v>
      </c>
      <c r="AJ811" s="144">
        <v>0</v>
      </c>
      <c r="AK811" s="144">
        <v>0</v>
      </c>
      <c r="AL811" s="144">
        <v>0</v>
      </c>
      <c r="AM811" s="144">
        <v>0</v>
      </c>
      <c r="AN811" s="144">
        <v>0</v>
      </c>
      <c r="AO811" s="144">
        <v>0</v>
      </c>
      <c r="AP811" s="144">
        <v>0</v>
      </c>
      <c r="AQ811" s="144">
        <v>0</v>
      </c>
      <c r="AR811" s="144">
        <v>0</v>
      </c>
      <c r="AS811" s="144">
        <v>0</v>
      </c>
      <c r="AT811" s="144">
        <v>0</v>
      </c>
    </row>
    <row r="812" spans="4:46" x14ac:dyDescent="0.55000000000000004">
      <c r="D812" s="144">
        <v>-9</v>
      </c>
      <c r="E812" s="144" t="s">
        <v>1037</v>
      </c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44"/>
      <c r="Q812" s="144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44">
        <v>0</v>
      </c>
      <c r="AC812" s="144">
        <v>0</v>
      </c>
      <c r="AD812" s="144">
        <v>0</v>
      </c>
      <c r="AE812" s="144">
        <v>0</v>
      </c>
      <c r="AF812" s="144">
        <v>0</v>
      </c>
      <c r="AG812" s="144">
        <v>0</v>
      </c>
      <c r="AH812" s="144">
        <v>0</v>
      </c>
      <c r="AI812" s="144">
        <v>0</v>
      </c>
      <c r="AJ812" s="144">
        <v>0</v>
      </c>
      <c r="AK812" s="144">
        <v>0</v>
      </c>
      <c r="AL812" s="144">
        <v>0</v>
      </c>
      <c r="AM812" s="144">
        <v>0</v>
      </c>
      <c r="AN812" s="144">
        <v>0</v>
      </c>
      <c r="AO812" s="144">
        <v>0</v>
      </c>
      <c r="AP812" s="144">
        <v>0</v>
      </c>
      <c r="AQ812" s="144">
        <v>0</v>
      </c>
      <c r="AR812" s="144">
        <v>0</v>
      </c>
      <c r="AS812" s="144">
        <v>0</v>
      </c>
      <c r="AT812" s="144">
        <v>0</v>
      </c>
    </row>
    <row r="813" spans="4:46" x14ac:dyDescent="0.55000000000000004">
      <c r="D813" s="144">
        <v>-8</v>
      </c>
      <c r="E813" s="144" t="s">
        <v>1038</v>
      </c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44"/>
      <c r="Q813" s="144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  <c r="AC813" s="144">
        <v>0</v>
      </c>
      <c r="AD813" s="144">
        <v>0</v>
      </c>
      <c r="AE813" s="144">
        <v>0</v>
      </c>
      <c r="AF813" s="144">
        <v>0</v>
      </c>
      <c r="AG813" s="144">
        <v>0</v>
      </c>
      <c r="AH813" s="144">
        <v>0</v>
      </c>
      <c r="AI813" s="144">
        <v>0</v>
      </c>
      <c r="AJ813" s="144">
        <v>0</v>
      </c>
      <c r="AK813" s="144">
        <v>0</v>
      </c>
      <c r="AL813" s="144">
        <v>0</v>
      </c>
      <c r="AM813" s="144">
        <v>0</v>
      </c>
      <c r="AN813" s="144">
        <v>0</v>
      </c>
      <c r="AO813" s="144">
        <v>0</v>
      </c>
      <c r="AP813" s="144">
        <v>0</v>
      </c>
      <c r="AQ813" s="144">
        <v>0</v>
      </c>
      <c r="AR813" s="144">
        <v>0</v>
      </c>
      <c r="AS813" s="144">
        <v>0</v>
      </c>
      <c r="AT813" s="144">
        <v>0</v>
      </c>
    </row>
    <row r="814" spans="4:46" x14ac:dyDescent="0.55000000000000004">
      <c r="D814" s="144">
        <v>-7</v>
      </c>
      <c r="E814" s="144" t="s">
        <v>1039</v>
      </c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44"/>
      <c r="Q814" s="144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  <c r="AC814" s="133"/>
      <c r="AD814" s="144">
        <v>0</v>
      </c>
      <c r="AE814" s="144">
        <v>0</v>
      </c>
      <c r="AF814" s="144">
        <v>0</v>
      </c>
      <c r="AG814" s="144">
        <v>0</v>
      </c>
      <c r="AH814" s="144">
        <v>0</v>
      </c>
      <c r="AI814" s="144">
        <v>0</v>
      </c>
      <c r="AJ814" s="144">
        <v>0</v>
      </c>
      <c r="AK814" s="144">
        <v>0</v>
      </c>
      <c r="AL814" s="144">
        <v>0</v>
      </c>
      <c r="AM814" s="144">
        <v>0</v>
      </c>
      <c r="AN814" s="144">
        <v>0</v>
      </c>
      <c r="AO814" s="144">
        <v>0</v>
      </c>
      <c r="AP814" s="144">
        <v>0</v>
      </c>
      <c r="AQ814" s="144">
        <v>0</v>
      </c>
      <c r="AR814" s="144">
        <v>0</v>
      </c>
      <c r="AS814" s="144">
        <v>0</v>
      </c>
      <c r="AT814" s="144">
        <v>0</v>
      </c>
    </row>
    <row r="815" spans="4:46" x14ac:dyDescent="0.55000000000000004">
      <c r="D815" s="144">
        <v>-6</v>
      </c>
      <c r="E815" s="144" t="s">
        <v>1040</v>
      </c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44"/>
      <c r="Q815" s="144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  <c r="AC815" s="133"/>
      <c r="AD815" s="133"/>
      <c r="AE815" s="144">
        <v>0</v>
      </c>
      <c r="AF815" s="144">
        <v>0</v>
      </c>
      <c r="AG815" s="144">
        <v>0</v>
      </c>
      <c r="AH815" s="144">
        <v>0</v>
      </c>
      <c r="AI815" s="144">
        <v>0</v>
      </c>
      <c r="AJ815" s="144">
        <v>0</v>
      </c>
      <c r="AK815" s="144">
        <v>0</v>
      </c>
      <c r="AL815" s="144">
        <v>0</v>
      </c>
      <c r="AM815" s="144">
        <v>0</v>
      </c>
      <c r="AN815" s="144">
        <v>0</v>
      </c>
      <c r="AO815" s="144">
        <v>0</v>
      </c>
      <c r="AP815" s="144">
        <v>0</v>
      </c>
      <c r="AQ815" s="144">
        <v>0</v>
      </c>
      <c r="AR815" s="144">
        <v>0</v>
      </c>
      <c r="AS815" s="144">
        <v>0</v>
      </c>
      <c r="AT815" s="144">
        <v>0</v>
      </c>
    </row>
    <row r="816" spans="4:46" x14ac:dyDescent="0.55000000000000004">
      <c r="D816" s="144">
        <v>-5</v>
      </c>
      <c r="E816" s="144" t="s">
        <v>1041</v>
      </c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44"/>
      <c r="Q816" s="144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  <c r="AC816" s="133"/>
      <c r="AD816" s="133"/>
      <c r="AE816" s="133"/>
      <c r="AF816" s="144">
        <v>0</v>
      </c>
      <c r="AG816" s="144">
        <v>0</v>
      </c>
      <c r="AH816" s="144">
        <v>0</v>
      </c>
      <c r="AI816" s="144">
        <v>0</v>
      </c>
      <c r="AJ816" s="144">
        <v>0</v>
      </c>
      <c r="AK816" s="144">
        <v>0</v>
      </c>
      <c r="AL816" s="144">
        <v>0</v>
      </c>
      <c r="AM816" s="144">
        <v>0</v>
      </c>
      <c r="AN816" s="144">
        <v>0</v>
      </c>
      <c r="AO816" s="144">
        <v>0</v>
      </c>
      <c r="AP816" s="144">
        <v>0</v>
      </c>
      <c r="AQ816" s="144">
        <v>0</v>
      </c>
      <c r="AR816" s="144">
        <v>0</v>
      </c>
      <c r="AS816" s="144">
        <v>0</v>
      </c>
      <c r="AT816" s="144">
        <v>0</v>
      </c>
    </row>
    <row r="817" spans="4:46" x14ac:dyDescent="0.55000000000000004">
      <c r="D817" s="144">
        <v>-4</v>
      </c>
      <c r="E817" s="144" t="s">
        <v>1042</v>
      </c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44"/>
      <c r="Q817" s="144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  <c r="AC817" s="133"/>
      <c r="AD817" s="133"/>
      <c r="AE817" s="133"/>
      <c r="AF817" s="133"/>
      <c r="AG817" s="144">
        <v>0</v>
      </c>
      <c r="AH817" s="144">
        <v>0</v>
      </c>
      <c r="AI817" s="144">
        <v>0</v>
      </c>
      <c r="AJ817" s="144">
        <v>0</v>
      </c>
      <c r="AK817" s="144">
        <v>0</v>
      </c>
      <c r="AL817" s="144">
        <v>0</v>
      </c>
      <c r="AM817" s="144">
        <v>0</v>
      </c>
      <c r="AN817" s="144">
        <v>0</v>
      </c>
      <c r="AO817" s="144">
        <v>0</v>
      </c>
      <c r="AP817" s="144">
        <v>0</v>
      </c>
      <c r="AQ817" s="144">
        <v>0</v>
      </c>
      <c r="AR817" s="144">
        <v>0</v>
      </c>
      <c r="AS817" s="144">
        <v>0</v>
      </c>
      <c r="AT817" s="144">
        <v>0</v>
      </c>
    </row>
    <row r="818" spans="4:46" x14ac:dyDescent="0.55000000000000004">
      <c r="D818" s="144">
        <v>-3</v>
      </c>
      <c r="E818" s="144" t="s">
        <v>1043</v>
      </c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44"/>
      <c r="Q818" s="144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  <c r="AC818" s="133"/>
      <c r="AD818" s="133"/>
      <c r="AE818" s="133"/>
      <c r="AF818" s="133"/>
      <c r="AG818" s="133"/>
      <c r="AH818" s="144">
        <v>0</v>
      </c>
      <c r="AI818" s="144">
        <v>0</v>
      </c>
      <c r="AJ818" s="144">
        <v>0</v>
      </c>
      <c r="AK818" s="144">
        <v>0</v>
      </c>
      <c r="AL818" s="144">
        <v>0</v>
      </c>
      <c r="AM818" s="144">
        <v>0</v>
      </c>
      <c r="AN818" s="144">
        <v>0</v>
      </c>
      <c r="AO818" s="144">
        <v>0</v>
      </c>
      <c r="AP818" s="144">
        <v>0</v>
      </c>
      <c r="AQ818" s="144">
        <v>0</v>
      </c>
      <c r="AR818" s="144">
        <v>0</v>
      </c>
      <c r="AS818" s="144">
        <v>0</v>
      </c>
      <c r="AT818" s="144">
        <v>0</v>
      </c>
    </row>
    <row r="819" spans="4:46" x14ac:dyDescent="0.55000000000000004">
      <c r="D819" s="144">
        <v>-2</v>
      </c>
      <c r="E819" s="144" t="s">
        <v>1044</v>
      </c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44"/>
      <c r="Q819" s="144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  <c r="AC819" s="133"/>
      <c r="AD819" s="133"/>
      <c r="AE819" s="133"/>
      <c r="AF819" s="133"/>
      <c r="AG819" s="133"/>
      <c r="AH819" s="133"/>
      <c r="AI819" s="144">
        <v>0</v>
      </c>
      <c r="AJ819" s="144">
        <v>0</v>
      </c>
      <c r="AK819" s="144">
        <v>0</v>
      </c>
      <c r="AL819" s="144">
        <v>0</v>
      </c>
      <c r="AM819" s="144">
        <v>0</v>
      </c>
      <c r="AN819" s="144">
        <v>0</v>
      </c>
      <c r="AO819" s="144">
        <v>0</v>
      </c>
      <c r="AP819" s="144">
        <v>0</v>
      </c>
      <c r="AQ819" s="144">
        <v>0</v>
      </c>
      <c r="AR819" s="144">
        <v>0</v>
      </c>
      <c r="AS819" s="144">
        <v>0</v>
      </c>
      <c r="AT819" s="144">
        <v>0</v>
      </c>
    </row>
    <row r="820" spans="4:46" x14ac:dyDescent="0.55000000000000004">
      <c r="D820" s="144">
        <v>-1</v>
      </c>
      <c r="E820" s="144" t="s">
        <v>1045</v>
      </c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44"/>
      <c r="Q820" s="144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  <c r="AC820" s="133"/>
      <c r="AD820" s="133"/>
      <c r="AE820" s="133"/>
      <c r="AF820" s="133"/>
      <c r="AG820" s="133"/>
      <c r="AH820" s="133"/>
      <c r="AI820" s="133"/>
      <c r="AJ820" s="144">
        <v>0</v>
      </c>
      <c r="AK820" s="144">
        <v>0</v>
      </c>
      <c r="AL820" s="144">
        <v>0</v>
      </c>
      <c r="AM820" s="144">
        <v>0</v>
      </c>
      <c r="AN820" s="144">
        <v>0</v>
      </c>
      <c r="AO820" s="144">
        <v>0</v>
      </c>
      <c r="AP820" s="144">
        <v>0</v>
      </c>
      <c r="AQ820" s="144">
        <v>0</v>
      </c>
      <c r="AR820" s="144">
        <v>0</v>
      </c>
      <c r="AS820" s="144">
        <v>0</v>
      </c>
      <c r="AT820" s="144">
        <v>0</v>
      </c>
    </row>
    <row r="821" spans="4:46" x14ac:dyDescent="0.55000000000000004">
      <c r="D821" s="144">
        <v>0</v>
      </c>
      <c r="E821" s="144" t="s">
        <v>1046</v>
      </c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44"/>
      <c r="Q821" s="144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  <c r="AC821" s="133"/>
      <c r="AD821" s="133"/>
      <c r="AE821" s="133"/>
      <c r="AF821" s="133"/>
      <c r="AG821" s="133"/>
      <c r="AH821" s="133"/>
      <c r="AI821" s="133"/>
      <c r="AJ821" s="133"/>
      <c r="AK821" s="144">
        <v>0</v>
      </c>
      <c r="AL821" s="144">
        <v>0</v>
      </c>
      <c r="AM821" s="144">
        <v>0</v>
      </c>
      <c r="AN821" s="144">
        <v>0</v>
      </c>
      <c r="AO821" s="144">
        <v>0</v>
      </c>
      <c r="AP821" s="144">
        <v>0</v>
      </c>
      <c r="AQ821" s="144">
        <v>0</v>
      </c>
      <c r="AR821" s="144">
        <v>0</v>
      </c>
      <c r="AS821" s="144">
        <v>0</v>
      </c>
      <c r="AT821" s="144">
        <v>0</v>
      </c>
    </row>
    <row r="822" spans="4:46" x14ac:dyDescent="0.55000000000000004">
      <c r="D822" s="144">
        <v>1</v>
      </c>
      <c r="E822" s="144" t="s">
        <v>1047</v>
      </c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44"/>
      <c r="Q822" s="144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  <c r="AC822" s="133"/>
      <c r="AD822" s="133"/>
      <c r="AE822" s="133"/>
      <c r="AF822" s="133"/>
      <c r="AG822" s="133"/>
      <c r="AH822" s="133"/>
      <c r="AI822" s="133"/>
      <c r="AJ822" s="133"/>
      <c r="AK822" s="133"/>
      <c r="AL822" s="144">
        <v>0</v>
      </c>
      <c r="AM822" s="144">
        <v>0</v>
      </c>
      <c r="AN822" s="144">
        <v>0</v>
      </c>
      <c r="AO822" s="144">
        <v>0</v>
      </c>
      <c r="AP822" s="144">
        <v>0</v>
      </c>
      <c r="AQ822" s="144">
        <v>0</v>
      </c>
      <c r="AR822" s="144">
        <v>0</v>
      </c>
      <c r="AS822" s="144">
        <v>0</v>
      </c>
      <c r="AT822" s="144">
        <v>0</v>
      </c>
    </row>
    <row r="823" spans="4:46" x14ac:dyDescent="0.55000000000000004">
      <c r="D823" s="144">
        <v>2</v>
      </c>
      <c r="E823" s="144" t="s">
        <v>1048</v>
      </c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44"/>
      <c r="Q823" s="144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  <c r="AC823" s="133"/>
      <c r="AD823" s="133"/>
      <c r="AE823" s="133"/>
      <c r="AF823" s="133"/>
      <c r="AG823" s="133"/>
      <c r="AH823" s="133"/>
      <c r="AI823" s="133"/>
      <c r="AJ823" s="133"/>
      <c r="AK823" s="133"/>
      <c r="AL823" s="133"/>
      <c r="AM823" s="144">
        <v>0</v>
      </c>
      <c r="AN823" s="144">
        <v>0</v>
      </c>
      <c r="AO823" s="144">
        <v>0</v>
      </c>
      <c r="AP823" s="144">
        <v>0</v>
      </c>
      <c r="AQ823" s="144">
        <v>0</v>
      </c>
      <c r="AR823" s="144">
        <v>0</v>
      </c>
      <c r="AS823" s="144">
        <v>0</v>
      </c>
      <c r="AT823" s="144">
        <v>0</v>
      </c>
    </row>
    <row r="824" spans="4:46" x14ac:dyDescent="0.55000000000000004">
      <c r="D824" s="144">
        <v>3</v>
      </c>
      <c r="E824" s="144" t="s">
        <v>1049</v>
      </c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44"/>
      <c r="Q824" s="144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  <c r="AC824" s="133"/>
      <c r="AD824" s="133"/>
      <c r="AE824" s="133"/>
      <c r="AF824" s="133"/>
      <c r="AG824" s="133"/>
      <c r="AH824" s="133"/>
      <c r="AI824" s="133"/>
      <c r="AJ824" s="133"/>
      <c r="AK824" s="133"/>
      <c r="AL824" s="133"/>
      <c r="AM824" s="133"/>
      <c r="AN824" s="144">
        <v>0</v>
      </c>
      <c r="AO824" s="144">
        <v>0</v>
      </c>
      <c r="AP824" s="144">
        <v>0</v>
      </c>
      <c r="AQ824" s="144">
        <v>0</v>
      </c>
      <c r="AR824" s="144">
        <v>0</v>
      </c>
      <c r="AS824" s="144">
        <v>0</v>
      </c>
      <c r="AT824" s="144">
        <v>0</v>
      </c>
    </row>
    <row r="825" spans="4:46" x14ac:dyDescent="0.55000000000000004">
      <c r="D825" s="144">
        <v>4</v>
      </c>
      <c r="E825" s="144" t="s">
        <v>1050</v>
      </c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44"/>
      <c r="Q825" s="144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  <c r="AC825" s="133"/>
      <c r="AD825" s="133"/>
      <c r="AE825" s="133"/>
      <c r="AF825" s="133"/>
      <c r="AG825" s="133"/>
      <c r="AH825" s="133"/>
      <c r="AI825" s="133"/>
      <c r="AJ825" s="133"/>
      <c r="AK825" s="133"/>
      <c r="AL825" s="133"/>
      <c r="AM825" s="133"/>
      <c r="AN825" s="133"/>
      <c r="AO825" s="144">
        <v>0</v>
      </c>
      <c r="AP825" s="144">
        <v>0</v>
      </c>
      <c r="AQ825" s="144">
        <v>0</v>
      </c>
      <c r="AR825" s="144">
        <v>0</v>
      </c>
      <c r="AS825" s="144">
        <v>0</v>
      </c>
      <c r="AT825" s="144">
        <v>0</v>
      </c>
    </row>
    <row r="826" spans="4:46" x14ac:dyDescent="0.55000000000000004">
      <c r="D826" s="144">
        <v>5</v>
      </c>
      <c r="E826" s="144" t="s">
        <v>1051</v>
      </c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44"/>
      <c r="Q826" s="144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  <c r="AC826" s="133"/>
      <c r="AD826" s="133"/>
      <c r="AE826" s="133"/>
      <c r="AF826" s="133"/>
      <c r="AG826" s="133"/>
      <c r="AH826" s="133"/>
      <c r="AI826" s="133"/>
      <c r="AJ826" s="133"/>
      <c r="AK826" s="133"/>
      <c r="AL826" s="133"/>
      <c r="AM826" s="133"/>
      <c r="AN826" s="133"/>
      <c r="AO826" s="133"/>
      <c r="AP826" s="144">
        <v>0</v>
      </c>
      <c r="AQ826" s="144">
        <v>0</v>
      </c>
      <c r="AR826" s="144">
        <v>0</v>
      </c>
      <c r="AS826" s="144">
        <v>0</v>
      </c>
      <c r="AT826" s="144">
        <v>0</v>
      </c>
    </row>
    <row r="827" spans="4:46" x14ac:dyDescent="0.55000000000000004">
      <c r="D827" s="144">
        <v>6</v>
      </c>
      <c r="E827" s="144" t="s">
        <v>1052</v>
      </c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44"/>
      <c r="Q827" s="144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  <c r="AC827" s="133"/>
      <c r="AD827" s="133"/>
      <c r="AE827" s="133"/>
      <c r="AF827" s="133"/>
      <c r="AG827" s="133"/>
      <c r="AH827" s="133"/>
      <c r="AI827" s="133"/>
      <c r="AJ827" s="133"/>
      <c r="AK827" s="133"/>
      <c r="AL827" s="133"/>
      <c r="AM827" s="133"/>
      <c r="AN827" s="133"/>
      <c r="AO827" s="133"/>
      <c r="AP827" s="133"/>
      <c r="AQ827" s="144">
        <v>0</v>
      </c>
      <c r="AR827" s="144">
        <v>0</v>
      </c>
      <c r="AS827" s="144">
        <v>0</v>
      </c>
      <c r="AT827" s="144">
        <v>0</v>
      </c>
    </row>
    <row r="828" spans="4:46" x14ac:dyDescent="0.55000000000000004">
      <c r="D828" s="144">
        <v>7</v>
      </c>
      <c r="E828" s="144" t="s">
        <v>1053</v>
      </c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44"/>
      <c r="Q828" s="144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  <c r="AC828" s="133"/>
      <c r="AD828" s="133"/>
      <c r="AE828" s="133"/>
      <c r="AF828" s="133"/>
      <c r="AG828" s="133"/>
      <c r="AH828" s="133"/>
      <c r="AI828" s="133"/>
      <c r="AJ828" s="133"/>
      <c r="AK828" s="133"/>
      <c r="AL828" s="133"/>
      <c r="AM828" s="133"/>
      <c r="AN828" s="133"/>
      <c r="AO828" s="133"/>
      <c r="AP828" s="133"/>
      <c r="AQ828" s="133"/>
      <c r="AR828" s="144">
        <v>0</v>
      </c>
      <c r="AS828" s="144">
        <v>0</v>
      </c>
      <c r="AT828" s="144">
        <v>0</v>
      </c>
    </row>
    <row r="829" spans="4:46" x14ac:dyDescent="0.55000000000000004">
      <c r="D829" s="144">
        <v>8</v>
      </c>
      <c r="E829" s="144" t="s">
        <v>1054</v>
      </c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44"/>
      <c r="Q829" s="144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  <c r="AC829" s="133"/>
      <c r="AD829" s="133"/>
      <c r="AE829" s="133"/>
      <c r="AF829" s="133"/>
      <c r="AG829" s="133"/>
      <c r="AH829" s="133"/>
      <c r="AI829" s="133"/>
      <c r="AJ829" s="133"/>
      <c r="AK829" s="133"/>
      <c r="AL829" s="133"/>
      <c r="AM829" s="133"/>
      <c r="AN829" s="133"/>
      <c r="AO829" s="133"/>
      <c r="AP829" s="133"/>
      <c r="AQ829" s="133"/>
      <c r="AR829" s="133"/>
      <c r="AS829" s="144">
        <v>0</v>
      </c>
      <c r="AT829" s="144">
        <v>0</v>
      </c>
    </row>
    <row r="830" spans="4:46" x14ac:dyDescent="0.55000000000000004">
      <c r="D830" s="144">
        <v>9</v>
      </c>
      <c r="E830" s="144" t="s">
        <v>1055</v>
      </c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44"/>
      <c r="Q830" s="144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  <c r="AC830" s="133"/>
      <c r="AD830" s="133"/>
      <c r="AE830" s="133"/>
      <c r="AF830" s="133"/>
      <c r="AG830" s="133"/>
      <c r="AH830" s="133"/>
      <c r="AI830" s="133"/>
      <c r="AJ830" s="133"/>
      <c r="AK830" s="133"/>
      <c r="AL830" s="133"/>
      <c r="AM830" s="133"/>
      <c r="AN830" s="133"/>
      <c r="AO830" s="133"/>
      <c r="AP830" s="133"/>
      <c r="AQ830" s="133"/>
      <c r="AR830" s="133"/>
      <c r="AS830" s="133"/>
      <c r="AT830" s="144">
        <v>0</v>
      </c>
    </row>
    <row r="831" spans="4:46" x14ac:dyDescent="0.55000000000000004"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44"/>
      <c r="Q831" s="144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  <c r="AC831" s="133"/>
      <c r="AD831" s="133"/>
      <c r="AE831" s="133"/>
      <c r="AF831" s="133"/>
      <c r="AG831" s="133"/>
      <c r="AH831" s="133"/>
      <c r="AI831" s="133"/>
      <c r="AJ831" s="133"/>
      <c r="AK831" s="133"/>
      <c r="AL831" s="133"/>
      <c r="AM831" s="133"/>
      <c r="AN831" s="133"/>
      <c r="AO831" s="133"/>
      <c r="AP831" s="133"/>
      <c r="AQ831" s="133"/>
      <c r="AR831" s="133"/>
      <c r="AS831" s="133"/>
      <c r="AT831" s="133"/>
    </row>
    <row r="832" spans="4:46" x14ac:dyDescent="0.55000000000000004">
      <c r="D832" s="133"/>
      <c r="E832" s="133"/>
      <c r="F832" s="144">
        <v>-10</v>
      </c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  <c r="AC832" s="133"/>
      <c r="AD832" s="133"/>
      <c r="AE832" s="133"/>
      <c r="AF832" s="133"/>
      <c r="AG832" s="133"/>
      <c r="AH832" s="133"/>
      <c r="AI832" s="133"/>
      <c r="AJ832" s="133"/>
      <c r="AK832" s="133"/>
      <c r="AL832" s="133"/>
      <c r="AM832" s="133"/>
      <c r="AN832" s="133"/>
      <c r="AO832" s="133"/>
      <c r="AP832" s="133"/>
      <c r="AQ832" s="133"/>
      <c r="AR832" s="133"/>
      <c r="AS832" s="133"/>
      <c r="AT832" s="133"/>
    </row>
    <row r="833" spans="17:17" x14ac:dyDescent="0.55000000000000004">
      <c r="Q833" s="144" t="s">
        <v>1056</v>
      </c>
    </row>
    <row r="834" spans="17:17" x14ac:dyDescent="0.55000000000000004">
      <c r="Q834" s="144" t="s">
        <v>1057</v>
      </c>
    </row>
    <row r="835" spans="17:17" x14ac:dyDescent="0.55000000000000004">
      <c r="Q835" s="144" t="s">
        <v>1058</v>
      </c>
    </row>
    <row r="836" spans="17:17" x14ac:dyDescent="0.55000000000000004">
      <c r="Q836" s="144" t="s">
        <v>1059</v>
      </c>
    </row>
    <row r="837" spans="17:17" x14ac:dyDescent="0.55000000000000004">
      <c r="Q837" s="144" t="s">
        <v>1060</v>
      </c>
    </row>
    <row r="838" spans="17:17" x14ac:dyDescent="0.55000000000000004">
      <c r="Q838" s="144" t="s">
        <v>1061</v>
      </c>
    </row>
  </sheetData>
  <mergeCells count="35">
    <mergeCell ref="U1:W2"/>
    <mergeCell ref="M21:N21"/>
    <mergeCell ref="Q546:U546"/>
    <mergeCell ref="M20:N20"/>
    <mergeCell ref="M22:N22"/>
    <mergeCell ref="Q520:T520"/>
    <mergeCell ref="Q519:T519"/>
    <mergeCell ref="R458:S458"/>
    <mergeCell ref="R459:S459"/>
    <mergeCell ref="Q555:R555"/>
    <mergeCell ref="Q1:T2"/>
    <mergeCell ref="Q515:T515"/>
    <mergeCell ref="E7:E8"/>
    <mergeCell ref="E22:E23"/>
    <mergeCell ref="E1:E2"/>
    <mergeCell ref="Q530:S530"/>
    <mergeCell ref="Q529:S529"/>
    <mergeCell ref="Q552:R552"/>
    <mergeCell ref="N1:O1"/>
    <mergeCell ref="AD444:AE444"/>
    <mergeCell ref="AD438:AE438"/>
    <mergeCell ref="AD439:AE439"/>
    <mergeCell ref="AD440:AE440"/>
    <mergeCell ref="AD441:AE441"/>
    <mergeCell ref="AD442:AE442"/>
    <mergeCell ref="AD443:AE443"/>
    <mergeCell ref="AA550:AB550"/>
    <mergeCell ref="E10:E11"/>
    <mergeCell ref="E13:E14"/>
    <mergeCell ref="E16:E17"/>
    <mergeCell ref="E19:E20"/>
    <mergeCell ref="AB444:AC444"/>
    <mergeCell ref="Q538:R538"/>
    <mergeCell ref="Q521:T521"/>
    <mergeCell ref="T527:U527"/>
  </mergeCells>
  <hyperlinks>
    <hyperlink ref="O2" location="Inputs!Q174" display="Cash Flow" xr:uid="{00000000-0004-0000-0500-000000000000}"/>
    <hyperlink ref="N2" location="Inputs!Q129" display="Bal. Sheet" xr:uid="{00000000-0004-0000-0500-000001000000}"/>
    <hyperlink ref="M2" location="Inputs!Q26" display="Inc. Stmt." xr:uid="{00000000-0004-0000-0500-000002000000}"/>
    <hyperlink ref="L2" location="Inputs!Q345" display="Ratios" xr:uid="{00000000-0004-0000-0500-000003000000}"/>
    <hyperlink ref="K2" location="Inputs!Q301" display="ROIC" xr:uid="{00000000-0004-0000-0500-000004000000}"/>
    <hyperlink ref="J2" location="Inputs!Q236" display="DCF" xr:uid="{00000000-0004-0000-0500-000005000000}"/>
    <hyperlink ref="I2" location="Inputs!Q407" display="Multiples" xr:uid="{00000000-0004-0000-0500-000006000000}"/>
    <hyperlink ref="H2" location="Inputs!Q432" display="Other Adj." xr:uid="{00000000-0004-0000-0500-000007000000}"/>
    <hyperlink ref="P2" location="Inputs!Q514" display="General" xr:uid="{00000000-0004-0000-05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F679-EFF6-4D34-B3EC-4FE9AAC035CF}">
  <dimension ref="B1:Q116"/>
  <sheetViews>
    <sheetView showGridLines="0" zoomScale="70" workbookViewId="0">
      <selection activeCell="K43" sqref="K43"/>
    </sheetView>
  </sheetViews>
  <sheetFormatPr defaultColWidth="9.1328125" defaultRowHeight="14.25" x14ac:dyDescent="0.45"/>
  <cols>
    <col min="1" max="1" width="1.1328125" style="556" customWidth="1"/>
    <col min="2" max="2" width="8" style="556" hidden="1" customWidth="1"/>
    <col min="3" max="3" width="21.1328125" style="556" customWidth="1"/>
    <col min="4" max="4" width="13.53125" style="556" customWidth="1"/>
    <col min="5" max="5" width="20.33203125" style="556" customWidth="1"/>
    <col min="6" max="8" width="13.53125" style="556" customWidth="1"/>
    <col min="9" max="9" width="14.6640625" style="556" customWidth="1"/>
    <col min="10" max="10" width="9.33203125" style="556" customWidth="1"/>
    <col min="11" max="11" width="27.33203125" style="556" bestFit="1" customWidth="1"/>
    <col min="12" max="17" width="10.6640625" style="556" customWidth="1"/>
    <col min="18" max="18" width="1.1328125" style="556" customWidth="1"/>
    <col min="19" max="16384" width="9.1328125" style="556"/>
  </cols>
  <sheetData>
    <row r="1" spans="3:17" ht="33.75" customHeight="1" x14ac:dyDescent="0.55000000000000004">
      <c r="C1" s="554" t="s">
        <v>1326</v>
      </c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555"/>
      <c r="Q1" s="555"/>
    </row>
    <row r="2" spans="3:17" ht="6" customHeight="1" x14ac:dyDescent="0.45">
      <c r="C2" s="557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9"/>
    </row>
    <row r="3" spans="3:17" x14ac:dyDescent="0.45">
      <c r="C3" s="560" t="s">
        <v>1327</v>
      </c>
      <c r="D3" s="561"/>
      <c r="E3" s="562" t="s">
        <v>7</v>
      </c>
      <c r="F3" s="563" t="s">
        <v>110</v>
      </c>
      <c r="G3" s="564"/>
      <c r="H3" s="562" t="s">
        <v>79</v>
      </c>
      <c r="I3" s="775" t="s">
        <v>1328</v>
      </c>
      <c r="J3" s="777"/>
      <c r="K3" s="562" t="s">
        <v>1329</v>
      </c>
      <c r="L3" s="563" t="s">
        <v>1330</v>
      </c>
      <c r="M3" s="564"/>
      <c r="N3" s="778" t="s">
        <v>1331</v>
      </c>
      <c r="O3" s="778"/>
      <c r="P3" s="778"/>
      <c r="Q3" s="779"/>
    </row>
    <row r="4" spans="3:17" ht="6" customHeight="1" x14ac:dyDescent="0.45">
      <c r="C4" s="566"/>
      <c r="D4" s="561"/>
      <c r="E4" s="567"/>
      <c r="F4" s="564"/>
      <c r="G4" s="564"/>
      <c r="H4" s="568"/>
      <c r="I4" s="564"/>
      <c r="J4" s="564"/>
      <c r="K4" s="564"/>
      <c r="L4" s="564"/>
      <c r="M4" s="564"/>
      <c r="N4" s="778"/>
      <c r="O4" s="778"/>
      <c r="P4" s="778"/>
      <c r="Q4" s="779"/>
    </row>
    <row r="5" spans="3:17" x14ac:dyDescent="0.45">
      <c r="C5" s="566"/>
      <c r="D5" s="561"/>
      <c r="E5" s="562" t="s">
        <v>10</v>
      </c>
      <c r="F5" s="569">
        <v>44990</v>
      </c>
      <c r="G5" s="564"/>
      <c r="H5" s="562" t="s">
        <v>1332</v>
      </c>
      <c r="I5" s="775" t="s">
        <v>1</v>
      </c>
      <c r="J5" s="777"/>
      <c r="K5" s="564"/>
      <c r="L5" s="564"/>
      <c r="M5" s="564"/>
      <c r="N5" s="564"/>
      <c r="O5" s="564"/>
      <c r="P5" s="564"/>
      <c r="Q5" s="565" t="s">
        <v>1333</v>
      </c>
    </row>
    <row r="6" spans="3:17" ht="6" customHeight="1" x14ac:dyDescent="0.45">
      <c r="C6" s="570"/>
      <c r="D6" s="571"/>
      <c r="E6" s="571"/>
      <c r="F6" s="571"/>
      <c r="G6" s="571"/>
      <c r="H6" s="571"/>
      <c r="I6" s="571"/>
      <c r="J6" s="571"/>
      <c r="K6" s="571"/>
      <c r="L6" s="571"/>
      <c r="M6" s="571"/>
      <c r="N6" s="571"/>
      <c r="O6" s="571"/>
      <c r="P6" s="571"/>
      <c r="Q6" s="572"/>
    </row>
    <row r="7" spans="3:17" ht="30" customHeight="1" x14ac:dyDescent="0.45">
      <c r="C7" s="573" t="s">
        <v>1334</v>
      </c>
    </row>
    <row r="8" spans="3:17" x14ac:dyDescent="0.45">
      <c r="C8" s="574" t="s">
        <v>1335</v>
      </c>
      <c r="D8" s="575"/>
      <c r="E8" s="575"/>
      <c r="F8" s="575"/>
      <c r="G8" s="575"/>
      <c r="H8" s="575"/>
      <c r="I8" s="575"/>
      <c r="J8" s="575"/>
      <c r="K8" s="575"/>
      <c r="L8" s="575"/>
      <c r="M8" s="575"/>
      <c r="N8" s="575"/>
      <c r="O8" s="575"/>
      <c r="P8" s="575"/>
      <c r="Q8" s="575"/>
    </row>
    <row r="22" spans="3:17" ht="71.25" customHeight="1" x14ac:dyDescent="0.45">
      <c r="C22" s="780" t="s">
        <v>1336</v>
      </c>
      <c r="D22" s="780"/>
      <c r="E22" s="780"/>
      <c r="F22" s="780"/>
      <c r="G22" s="780"/>
      <c r="H22" s="780"/>
      <c r="I22" s="780"/>
      <c r="J22" s="780"/>
      <c r="K22" s="780"/>
      <c r="L22" s="780"/>
      <c r="M22" s="780"/>
      <c r="N22" s="780"/>
      <c r="O22" s="780"/>
      <c r="P22" s="780"/>
      <c r="Q22" s="780"/>
    </row>
    <row r="23" spans="3:17" x14ac:dyDescent="0.45">
      <c r="C23" s="576" t="s">
        <v>1337</v>
      </c>
      <c r="D23" s="576"/>
      <c r="E23" s="577" t="s">
        <v>1338</v>
      </c>
      <c r="F23" s="576"/>
      <c r="G23" s="576" t="s">
        <v>1339</v>
      </c>
      <c r="H23" s="576"/>
      <c r="I23" s="578">
        <v>44926</v>
      </c>
      <c r="J23" s="576"/>
      <c r="K23" s="576" t="s">
        <v>1340</v>
      </c>
      <c r="L23" s="576" t="s">
        <v>1341</v>
      </c>
      <c r="M23" s="576"/>
      <c r="N23" s="576"/>
      <c r="O23" s="576"/>
      <c r="P23" s="576"/>
      <c r="Q23" s="576"/>
    </row>
    <row r="24" spans="3:17" x14ac:dyDescent="0.45">
      <c r="C24" s="576" t="s">
        <v>1342</v>
      </c>
      <c r="D24" s="576"/>
      <c r="E24" s="579" t="s">
        <v>1343</v>
      </c>
      <c r="F24" s="576"/>
      <c r="G24" s="576" t="s">
        <v>1344</v>
      </c>
      <c r="H24" s="576"/>
      <c r="I24" s="578">
        <v>44926</v>
      </c>
      <c r="J24" s="576"/>
      <c r="K24" s="576"/>
      <c r="L24" s="576"/>
      <c r="M24" s="576"/>
      <c r="N24" s="576"/>
      <c r="O24" s="576"/>
      <c r="P24" s="576"/>
      <c r="Q24" s="576"/>
    </row>
    <row r="25" spans="3:17" x14ac:dyDescent="0.45">
      <c r="C25" s="576" t="s">
        <v>1345</v>
      </c>
      <c r="D25" s="576"/>
      <c r="E25" s="580">
        <v>28438</v>
      </c>
      <c r="F25" s="576"/>
      <c r="G25" s="576" t="s">
        <v>1346</v>
      </c>
      <c r="H25" s="576"/>
      <c r="I25" s="578">
        <v>44926</v>
      </c>
      <c r="J25" s="576"/>
      <c r="K25" s="576"/>
      <c r="L25" s="576"/>
      <c r="M25" s="576"/>
      <c r="N25" s="576"/>
      <c r="O25" s="576"/>
      <c r="P25" s="576"/>
      <c r="Q25" s="576"/>
    </row>
    <row r="26" spans="3:17" x14ac:dyDescent="0.45">
      <c r="C26" s="576"/>
      <c r="D26" s="576"/>
      <c r="E26" s="576"/>
      <c r="F26" s="576"/>
      <c r="G26" s="576"/>
      <c r="H26" s="576"/>
      <c r="I26" s="576"/>
      <c r="J26" s="576"/>
      <c r="K26" s="576"/>
      <c r="L26" s="576"/>
      <c r="M26" s="576"/>
      <c r="N26" s="576"/>
      <c r="O26" s="576"/>
      <c r="P26" s="576"/>
      <c r="Q26" s="576"/>
    </row>
    <row r="27" spans="3:17" x14ac:dyDescent="0.45">
      <c r="C27" s="581" t="s">
        <v>1347</v>
      </c>
      <c r="D27" s="576"/>
      <c r="E27" s="576"/>
      <c r="F27" s="576"/>
      <c r="G27" s="576"/>
      <c r="H27" s="576"/>
      <c r="I27" s="576"/>
      <c r="J27" s="576"/>
      <c r="K27" s="576"/>
      <c r="L27" s="576"/>
      <c r="M27" s="576"/>
      <c r="N27" s="576"/>
      <c r="O27" s="576"/>
      <c r="P27" s="576"/>
      <c r="Q27" s="576"/>
    </row>
    <row r="28" spans="3:17" x14ac:dyDescent="0.45">
      <c r="C28" s="781" t="s">
        <v>483</v>
      </c>
      <c r="D28" s="782"/>
      <c r="E28" s="782"/>
      <c r="F28" s="782"/>
      <c r="G28" s="782"/>
      <c r="H28" s="782"/>
      <c r="I28" s="783"/>
      <c r="J28" s="576"/>
      <c r="K28" s="781" t="s">
        <v>1348</v>
      </c>
      <c r="L28" s="782"/>
      <c r="M28" s="782"/>
      <c r="N28" s="782"/>
      <c r="O28" s="782"/>
      <c r="P28" s="782"/>
      <c r="Q28" s="783"/>
    </row>
    <row r="29" spans="3:17" x14ac:dyDescent="0.45">
      <c r="C29" s="582" t="s">
        <v>483</v>
      </c>
      <c r="D29" s="583"/>
      <c r="E29" s="583"/>
      <c r="F29" s="576"/>
      <c r="G29" s="584" t="s">
        <v>1349</v>
      </c>
      <c r="H29" s="583"/>
      <c r="I29" s="583"/>
      <c r="J29" s="576"/>
      <c r="K29" s="576"/>
      <c r="L29" s="784" t="s">
        <v>1350</v>
      </c>
      <c r="M29" s="784"/>
      <c r="N29" s="784"/>
      <c r="O29" s="585" t="s">
        <v>107</v>
      </c>
      <c r="P29" s="784" t="s">
        <v>1350</v>
      </c>
      <c r="Q29" s="784"/>
    </row>
    <row r="30" spans="3:17" x14ac:dyDescent="0.45">
      <c r="C30" s="576" t="s">
        <v>1351</v>
      </c>
      <c r="D30" s="576"/>
      <c r="E30" s="586">
        <v>27.405520805849999</v>
      </c>
      <c r="F30" s="576"/>
      <c r="G30" s="587" t="s">
        <v>1352</v>
      </c>
      <c r="H30" s="576"/>
      <c r="I30" s="588">
        <v>1.8153771228233708E-3</v>
      </c>
      <c r="J30" s="576"/>
      <c r="K30" s="576"/>
      <c r="L30" s="589" t="s">
        <v>1353</v>
      </c>
      <c r="M30" s="589" t="s">
        <v>1354</v>
      </c>
      <c r="N30" s="589" t="s">
        <v>1355</v>
      </c>
      <c r="O30" s="589"/>
      <c r="P30" s="590" t="s">
        <v>1356</v>
      </c>
      <c r="Q30" s="590" t="s">
        <v>1357</v>
      </c>
    </row>
    <row r="31" spans="3:17" x14ac:dyDescent="0.45">
      <c r="C31" s="576" t="s">
        <v>1358</v>
      </c>
      <c r="D31" s="576"/>
      <c r="E31" s="586">
        <v>32.486040568900002</v>
      </c>
      <c r="F31" s="576"/>
      <c r="G31" s="587" t="s">
        <v>1359</v>
      </c>
      <c r="H31" s="576"/>
      <c r="I31" s="588">
        <v>1.3000590000000001</v>
      </c>
      <c r="J31" s="576"/>
      <c r="K31" s="591" t="s">
        <v>27</v>
      </c>
      <c r="L31" s="592"/>
      <c r="M31" s="592"/>
      <c r="N31" s="592"/>
      <c r="O31" s="592"/>
      <c r="P31" s="592"/>
      <c r="Q31" s="592"/>
    </row>
    <row r="32" spans="3:17" x14ac:dyDescent="0.45">
      <c r="C32" s="576" t="s">
        <v>1360</v>
      </c>
      <c r="D32" s="576"/>
      <c r="E32" s="586">
        <v>17.650821155500005</v>
      </c>
      <c r="F32" s="576"/>
      <c r="G32" s="593"/>
      <c r="H32" s="576"/>
      <c r="I32" s="577"/>
      <c r="J32" s="576"/>
      <c r="K32" s="594" t="s">
        <v>1361</v>
      </c>
      <c r="L32" s="595">
        <v>14819</v>
      </c>
      <c r="M32" s="595">
        <v>15587</v>
      </c>
      <c r="N32" s="595">
        <v>14486</v>
      </c>
      <c r="O32" s="595">
        <v>14486</v>
      </c>
      <c r="P32" s="595">
        <v>17873</v>
      </c>
      <c r="Q32" s="595">
        <v>20067.5</v>
      </c>
    </row>
    <row r="33" spans="3:17" x14ac:dyDescent="0.45">
      <c r="C33" s="576" t="s">
        <v>1362</v>
      </c>
      <c r="D33" s="576"/>
      <c r="E33" s="586" t="s">
        <v>1363</v>
      </c>
      <c r="F33" s="576"/>
      <c r="G33" s="591" t="s">
        <v>1364</v>
      </c>
      <c r="H33" s="592"/>
      <c r="I33" s="596"/>
      <c r="J33" s="576"/>
      <c r="K33" s="594" t="s">
        <v>88</v>
      </c>
      <c r="L33" s="595">
        <v>1588</v>
      </c>
      <c r="M33" s="595">
        <v>936</v>
      </c>
      <c r="N33" s="595">
        <v>-575</v>
      </c>
      <c r="O33" s="595">
        <v>-575</v>
      </c>
      <c r="P33" s="595">
        <v>2183.5</v>
      </c>
      <c r="Q33" s="595">
        <v>2735</v>
      </c>
    </row>
    <row r="34" spans="3:17" x14ac:dyDescent="0.45">
      <c r="C34" s="576" t="s">
        <v>168</v>
      </c>
      <c r="D34" s="576"/>
      <c r="E34" s="586">
        <v>27589.10844930392</v>
      </c>
      <c r="F34" s="576"/>
      <c r="G34" s="587" t="s">
        <v>1365</v>
      </c>
      <c r="H34" s="576"/>
      <c r="I34" s="597">
        <v>1.6764725714285713</v>
      </c>
      <c r="J34" s="576"/>
      <c r="K34" s="598" t="s">
        <v>1366</v>
      </c>
      <c r="L34" s="588">
        <v>0.107159727377016</v>
      </c>
      <c r="M34" s="588">
        <v>6.0050041701417846E-2</v>
      </c>
      <c r="N34" s="588">
        <v>-3.9693497169681069E-2</v>
      </c>
      <c r="O34" s="588">
        <v>-3.9693497169681069E-2</v>
      </c>
      <c r="P34" s="599">
        <v>0.12216751524646115</v>
      </c>
      <c r="Q34" s="599">
        <v>0.13629002117852249</v>
      </c>
    </row>
    <row r="35" spans="3:17" x14ac:dyDescent="0.45">
      <c r="C35" s="576" t="s">
        <v>1291</v>
      </c>
      <c r="D35" s="576"/>
      <c r="E35" s="586">
        <v>2427</v>
      </c>
      <c r="F35" s="576"/>
      <c r="G35" s="598" t="s">
        <v>1367</v>
      </c>
      <c r="H35" s="576"/>
      <c r="I35" s="597">
        <v>1.6997085333333335</v>
      </c>
      <c r="J35" s="576"/>
      <c r="K35" s="598" t="s">
        <v>19</v>
      </c>
      <c r="L35" s="595">
        <v>958</v>
      </c>
      <c r="M35" s="595">
        <v>257</v>
      </c>
      <c r="N35" s="595">
        <v>-1670</v>
      </c>
      <c r="O35" s="595">
        <v>-1670</v>
      </c>
      <c r="P35" s="595"/>
      <c r="Q35" s="595"/>
    </row>
    <row r="36" spans="3:17" x14ac:dyDescent="0.45">
      <c r="C36" s="576" t="s">
        <v>294</v>
      </c>
      <c r="D36" s="576"/>
      <c r="E36" s="586" t="s">
        <v>1363</v>
      </c>
      <c r="F36" s="576"/>
      <c r="G36" s="593" t="s">
        <v>1368</v>
      </c>
      <c r="H36" s="576"/>
      <c r="I36" s="597">
        <v>2.3995074782608694</v>
      </c>
      <c r="J36" s="576"/>
      <c r="K36" s="598" t="s">
        <v>1369</v>
      </c>
      <c r="L36" s="588">
        <v>6.4646737296713677E-2</v>
      </c>
      <c r="M36" s="588">
        <v>1.6488099056906395E-2</v>
      </c>
      <c r="N36" s="588">
        <v>-0.11528372221455198</v>
      </c>
      <c r="O36" s="588">
        <v>-0.11528372221455198</v>
      </c>
      <c r="P36" s="599"/>
      <c r="Q36" s="599"/>
    </row>
    <row r="37" spans="3:17" x14ac:dyDescent="0.45">
      <c r="C37" s="576" t="s">
        <v>1370</v>
      </c>
      <c r="D37" s="576"/>
      <c r="E37" s="586">
        <v>16</v>
      </c>
      <c r="F37" s="576"/>
      <c r="G37" s="593" t="s">
        <v>1371</v>
      </c>
      <c r="H37" s="576"/>
      <c r="I37" s="597">
        <v>2.4971579289617489</v>
      </c>
      <c r="J37" s="576"/>
      <c r="K37" s="594" t="s">
        <v>89</v>
      </c>
      <c r="L37" s="595">
        <v>765</v>
      </c>
      <c r="M37" s="595">
        <v>134</v>
      </c>
      <c r="N37" s="595">
        <v>-1572</v>
      </c>
      <c r="O37" s="595">
        <v>-1572</v>
      </c>
      <c r="P37" s="595"/>
      <c r="Q37" s="595"/>
    </row>
    <row r="38" spans="3:17" x14ac:dyDescent="0.45">
      <c r="C38" s="576" t="s">
        <v>1372</v>
      </c>
      <c r="D38" s="576"/>
      <c r="E38" s="586">
        <v>2352</v>
      </c>
      <c r="F38" s="576"/>
      <c r="G38" s="587" t="s">
        <v>1373</v>
      </c>
      <c r="H38" s="576"/>
      <c r="I38" s="597">
        <v>2.7964749560439559</v>
      </c>
      <c r="J38" s="576"/>
      <c r="K38" s="598" t="s">
        <v>1374</v>
      </c>
      <c r="L38" s="588">
        <v>5.2027802145893788E-2</v>
      </c>
      <c r="M38" s="588">
        <v>9.1743119266055051E-3</v>
      </c>
      <c r="N38" s="588">
        <v>-0.1085185696534585</v>
      </c>
      <c r="O38" s="588">
        <v>-0.1085185696534585</v>
      </c>
      <c r="P38" s="599"/>
      <c r="Q38" s="599"/>
    </row>
    <row r="39" spans="3:17" x14ac:dyDescent="0.45">
      <c r="C39" s="576" t="s">
        <v>45</v>
      </c>
      <c r="D39" s="576"/>
      <c r="E39" s="586">
        <v>27680.108448999999</v>
      </c>
      <c r="F39" s="576"/>
      <c r="G39" s="576"/>
      <c r="H39" s="576"/>
      <c r="I39" s="576"/>
      <c r="J39" s="576"/>
      <c r="K39" s="598" t="s">
        <v>1375</v>
      </c>
      <c r="L39" s="586">
        <v>0.78</v>
      </c>
      <c r="M39" s="586">
        <v>0.13</v>
      </c>
      <c r="N39" s="586">
        <v>-1.56</v>
      </c>
      <c r="O39" s="586">
        <v>-1.56</v>
      </c>
      <c r="P39" s="586">
        <v>0.83</v>
      </c>
      <c r="Q39" s="586">
        <v>1.3116669999999999</v>
      </c>
    </row>
    <row r="40" spans="3:17" x14ac:dyDescent="0.45">
      <c r="C40" s="576"/>
      <c r="D40" s="576"/>
      <c r="E40" s="576"/>
      <c r="F40" s="576"/>
      <c r="G40" s="576"/>
      <c r="H40" s="576"/>
      <c r="I40" s="576"/>
      <c r="J40" s="576"/>
      <c r="K40" s="576"/>
      <c r="L40" s="577"/>
      <c r="M40" s="577"/>
      <c r="N40" s="577"/>
      <c r="O40" s="577"/>
      <c r="P40" s="577"/>
      <c r="Q40" s="577"/>
    </row>
    <row r="41" spans="3:17" x14ac:dyDescent="0.45">
      <c r="C41" s="576"/>
      <c r="D41" s="576"/>
      <c r="E41" s="576"/>
      <c r="F41" s="576"/>
      <c r="G41" s="576"/>
      <c r="H41" s="576"/>
      <c r="I41" s="576"/>
      <c r="J41" s="576"/>
      <c r="K41" s="600" t="s">
        <v>1376</v>
      </c>
      <c r="L41" s="596"/>
      <c r="M41" s="596"/>
      <c r="N41" s="596"/>
      <c r="O41" s="596"/>
      <c r="P41" s="577"/>
      <c r="Q41" s="577"/>
    </row>
    <row r="42" spans="3:17" x14ac:dyDescent="0.45">
      <c r="C42" s="781" t="s">
        <v>1377</v>
      </c>
      <c r="D42" s="782"/>
      <c r="E42" s="782"/>
      <c r="F42" s="782"/>
      <c r="G42" s="782"/>
      <c r="H42" s="782"/>
      <c r="I42" s="783"/>
      <c r="J42" s="576"/>
      <c r="K42" s="576" t="s">
        <v>1378</v>
      </c>
      <c r="L42" s="595">
        <v>1331</v>
      </c>
      <c r="M42" s="595">
        <v>947</v>
      </c>
      <c r="N42" s="595">
        <v>-3</v>
      </c>
      <c r="O42" s="595">
        <v>-3</v>
      </c>
      <c r="P42" s="577"/>
      <c r="Q42" s="577"/>
    </row>
    <row r="43" spans="3:17" x14ac:dyDescent="0.45">
      <c r="C43" s="576"/>
      <c r="D43" s="784" t="s">
        <v>1350</v>
      </c>
      <c r="E43" s="784"/>
      <c r="F43" s="784"/>
      <c r="G43" s="585" t="s">
        <v>107</v>
      </c>
      <c r="H43" s="784" t="s">
        <v>1350</v>
      </c>
      <c r="I43" s="784"/>
      <c r="J43" s="576"/>
      <c r="K43" s="576" t="s">
        <v>1379</v>
      </c>
      <c r="L43" s="595">
        <v>-234</v>
      </c>
      <c r="M43" s="595">
        <v>-715</v>
      </c>
      <c r="N43" s="595">
        <v>846</v>
      </c>
      <c r="O43" s="595">
        <v>846</v>
      </c>
      <c r="P43" s="577"/>
      <c r="Q43" s="577"/>
    </row>
    <row r="44" spans="3:17" x14ac:dyDescent="0.45">
      <c r="C44" s="576"/>
      <c r="D44" s="601">
        <v>44196</v>
      </c>
      <c r="E44" s="589">
        <v>44561</v>
      </c>
      <c r="F44" s="589">
        <v>44926</v>
      </c>
      <c r="G44" s="589"/>
      <c r="H44" s="590" t="s">
        <v>1356</v>
      </c>
      <c r="I44" s="590" t="s">
        <v>1357</v>
      </c>
      <c r="J44" s="576"/>
      <c r="K44" s="576" t="s">
        <v>1380</v>
      </c>
      <c r="L44" s="595">
        <v>242</v>
      </c>
      <c r="M44" s="595">
        <v>-658</v>
      </c>
      <c r="N44" s="595">
        <v>-28</v>
      </c>
      <c r="O44" s="595">
        <v>-28</v>
      </c>
      <c r="P44" s="577"/>
      <c r="Q44" s="577"/>
    </row>
    <row r="45" spans="3:17" x14ac:dyDescent="0.45">
      <c r="C45" s="598" t="s">
        <v>1381</v>
      </c>
      <c r="D45" s="602">
        <v>2.4624708917478282</v>
      </c>
      <c r="E45" s="602">
        <v>1.7362390137827421</v>
      </c>
      <c r="F45" s="602">
        <v>2.0178335411112669</v>
      </c>
      <c r="G45" s="602">
        <v>1.9108179241336463</v>
      </c>
      <c r="H45" s="603">
        <v>1.5487108179376714</v>
      </c>
      <c r="I45" s="603">
        <v>1.3793501158091441</v>
      </c>
      <c r="J45" s="576"/>
      <c r="K45" s="576"/>
      <c r="L45" s="577"/>
      <c r="M45" s="577"/>
      <c r="N45" s="577"/>
      <c r="O45" s="577"/>
      <c r="P45" s="577"/>
      <c r="Q45" s="577"/>
    </row>
    <row r="46" spans="3:17" x14ac:dyDescent="0.45">
      <c r="C46" s="598" t="s">
        <v>1382</v>
      </c>
      <c r="D46" s="602">
        <v>58.468293235937502</v>
      </c>
      <c r="E46" s="602">
        <v>29.500647127635961</v>
      </c>
      <c r="F46" s="602" t="s">
        <v>184</v>
      </c>
      <c r="G46" s="602" t="s">
        <v>184</v>
      </c>
      <c r="H46" s="603">
        <v>12.676944561025875</v>
      </c>
      <c r="I46" s="603">
        <v>10.120697787568556</v>
      </c>
      <c r="J46" s="576"/>
      <c r="K46" s="600" t="s">
        <v>1383</v>
      </c>
      <c r="L46" s="596"/>
      <c r="M46" s="596"/>
      <c r="N46" s="596"/>
      <c r="O46" s="604" t="s">
        <v>1384</v>
      </c>
      <c r="P46" s="577"/>
      <c r="Q46" s="577"/>
    </row>
    <row r="47" spans="3:17" x14ac:dyDescent="0.45">
      <c r="C47" s="598" t="s">
        <v>1385</v>
      </c>
      <c r="D47" s="602">
        <v>58.468293235937502</v>
      </c>
      <c r="E47" s="602">
        <v>29.500647127635961</v>
      </c>
      <c r="F47" s="602" t="s">
        <v>184</v>
      </c>
      <c r="G47" s="602" t="s">
        <v>184</v>
      </c>
      <c r="H47" s="603"/>
      <c r="I47" s="603"/>
      <c r="J47" s="576"/>
      <c r="K47" s="576" t="s">
        <v>282</v>
      </c>
      <c r="L47" s="595">
        <v>18160</v>
      </c>
      <c r="M47" s="595">
        <v>19648</v>
      </c>
      <c r="N47" s="595">
        <v>20090</v>
      </c>
      <c r="O47" s="595">
        <v>20090</v>
      </c>
      <c r="P47" s="577"/>
      <c r="Q47" s="577"/>
    </row>
    <row r="48" spans="3:17" x14ac:dyDescent="0.45">
      <c r="C48" s="598" t="s">
        <v>1386</v>
      </c>
      <c r="D48" s="602">
        <v>78.327880659919018</v>
      </c>
      <c r="E48" s="602">
        <v>37.248406094182826</v>
      </c>
      <c r="F48" s="602" t="s">
        <v>184</v>
      </c>
      <c r="G48" s="602" t="s">
        <v>184</v>
      </c>
      <c r="H48" s="603">
        <v>33.018699766084339</v>
      </c>
      <c r="I48" s="603">
        <v>20.893657312298014</v>
      </c>
      <c r="J48" s="576"/>
      <c r="K48" s="576" t="s">
        <v>293</v>
      </c>
      <c r="L48" s="595">
        <v>13457</v>
      </c>
      <c r="M48" s="595">
        <v>14951</v>
      </c>
      <c r="N48" s="595">
        <v>17030</v>
      </c>
      <c r="O48" s="595">
        <v>17030</v>
      </c>
      <c r="P48" s="577"/>
      <c r="Q48" s="577"/>
    </row>
    <row r="49" spans="2:17" x14ac:dyDescent="0.45">
      <c r="C49" s="598" t="s">
        <v>1387</v>
      </c>
      <c r="D49" s="602">
        <v>11.340825185728356</v>
      </c>
      <c r="E49" s="602">
        <v>5.7359709096931955</v>
      </c>
      <c r="F49" s="602">
        <v>7.3884188782733347</v>
      </c>
      <c r="G49" s="602">
        <v>9.0587450723220577</v>
      </c>
      <c r="H49" s="603"/>
      <c r="I49" s="603"/>
      <c r="J49" s="576"/>
      <c r="K49" s="576" t="s">
        <v>1388</v>
      </c>
      <c r="L49" s="595">
        <v>4654</v>
      </c>
      <c r="M49" s="595">
        <v>4684</v>
      </c>
      <c r="N49" s="595">
        <v>3044</v>
      </c>
      <c r="O49" s="595">
        <v>3044</v>
      </c>
      <c r="P49" s="577"/>
      <c r="Q49" s="577"/>
    </row>
    <row r="50" spans="2:17" x14ac:dyDescent="0.45">
      <c r="C50" s="598"/>
      <c r="D50" s="577"/>
      <c r="E50" s="577"/>
      <c r="F50" s="577"/>
      <c r="G50" s="577"/>
      <c r="H50" s="577"/>
      <c r="I50" s="577"/>
      <c r="J50" s="576"/>
      <c r="P50" s="577"/>
      <c r="Q50" s="577"/>
    </row>
    <row r="51" spans="2:17" x14ac:dyDescent="0.45">
      <c r="C51" s="591" t="s">
        <v>1389</v>
      </c>
      <c r="D51" s="596"/>
      <c r="E51" s="596"/>
      <c r="F51" s="596"/>
      <c r="G51" s="596"/>
      <c r="H51" s="596"/>
      <c r="I51" s="596"/>
      <c r="J51" s="576"/>
      <c r="K51" s="600" t="s">
        <v>1390</v>
      </c>
      <c r="O51" s="576"/>
      <c r="P51" s="576"/>
      <c r="Q51" s="576"/>
    </row>
    <row r="52" spans="2:17" x14ac:dyDescent="0.45">
      <c r="C52" s="587" t="s">
        <v>1391</v>
      </c>
      <c r="D52" s="588">
        <v>0.19863824748371828</v>
      </c>
      <c r="E52" s="588">
        <v>0.2199720095496831</v>
      </c>
      <c r="F52" s="588">
        <v>5.1825359335987642E-2</v>
      </c>
      <c r="G52" s="588">
        <v>-7.0635786232116526E-2</v>
      </c>
      <c r="H52" s="588">
        <v>0.23381195637166918</v>
      </c>
      <c r="I52" s="599">
        <v>0.12278296872377337</v>
      </c>
      <c r="J52" s="576"/>
      <c r="K52" s="576" t="s">
        <v>1392</v>
      </c>
      <c r="L52" s="775" t="s">
        <v>1393</v>
      </c>
      <c r="M52" s="776"/>
      <c r="N52" s="777"/>
      <c r="O52" s="576"/>
      <c r="P52" s="576"/>
      <c r="Q52" s="576"/>
    </row>
    <row r="53" spans="2:17" x14ac:dyDescent="0.45">
      <c r="C53" s="587" t="s">
        <v>1394</v>
      </c>
      <c r="D53" s="588">
        <v>8.935219657483251E-2</v>
      </c>
      <c r="E53" s="588">
        <v>8.5440874914559206E-2</v>
      </c>
      <c r="F53" s="588">
        <v>-0.41057934508816119</v>
      </c>
      <c r="G53" s="588" t="s">
        <v>184</v>
      </c>
      <c r="H53" s="588">
        <v>-4.7973913043478262</v>
      </c>
      <c r="I53" s="599">
        <v>0.2525761392260133</v>
      </c>
      <c r="J53" s="576"/>
      <c r="K53" s="576" t="s">
        <v>1395</v>
      </c>
      <c r="L53" s="775" t="s">
        <v>1396</v>
      </c>
      <c r="M53" s="776"/>
      <c r="N53" s="777"/>
      <c r="O53" s="576"/>
      <c r="P53" s="576"/>
      <c r="Q53" s="576"/>
    </row>
    <row r="54" spans="2:17" x14ac:dyDescent="0.45">
      <c r="C54" s="587" t="s">
        <v>1397</v>
      </c>
      <c r="D54" s="588">
        <v>0</v>
      </c>
      <c r="E54" s="588">
        <v>4.4711014176663122E-2</v>
      </c>
      <c r="F54" s="588">
        <v>-0.73173277661795399</v>
      </c>
      <c r="G54" s="588" t="s">
        <v>184</v>
      </c>
      <c r="H54" s="588"/>
      <c r="I54" s="599"/>
      <c r="J54" s="576"/>
      <c r="K54" s="576"/>
      <c r="L54" s="576"/>
      <c r="M54" s="576"/>
      <c r="N54" s="576"/>
      <c r="O54" s="576"/>
      <c r="P54" s="576"/>
      <c r="Q54" s="576"/>
    </row>
    <row r="55" spans="2:17" x14ac:dyDescent="0.45">
      <c r="C55" s="587" t="s">
        <v>1398</v>
      </c>
      <c r="D55" s="588">
        <v>2.9239766081871288E-2</v>
      </c>
      <c r="E55" s="588">
        <v>8.6647727272727293E-2</v>
      </c>
      <c r="F55" s="588">
        <v>-0.8248366013071895</v>
      </c>
      <c r="G55" s="588" t="s">
        <v>184</v>
      </c>
      <c r="H55" s="588"/>
      <c r="I55" s="599"/>
      <c r="J55" s="576"/>
      <c r="K55" s="600" t="s">
        <v>1396</v>
      </c>
      <c r="L55" s="604" t="s">
        <v>1399</v>
      </c>
      <c r="M55" s="604" t="s">
        <v>1400</v>
      </c>
      <c r="N55" s="604" t="s">
        <v>1401</v>
      </c>
      <c r="O55" s="576"/>
      <c r="P55" s="576"/>
      <c r="Q55" s="576"/>
    </row>
    <row r="56" spans="2:17" x14ac:dyDescent="0.45">
      <c r="C56" s="587" t="s">
        <v>1402</v>
      </c>
      <c r="D56" s="588">
        <v>4.7197640117993878E-2</v>
      </c>
      <c r="E56" s="588">
        <v>9.8591549295774739E-2</v>
      </c>
      <c r="F56" s="588">
        <v>-0.83333333333333337</v>
      </c>
      <c r="G56" s="588" t="s">
        <v>184</v>
      </c>
      <c r="H56" s="588">
        <v>-1.5320512820512819</v>
      </c>
      <c r="I56" s="599">
        <v>0.58032168674698803</v>
      </c>
      <c r="J56" s="576"/>
      <c r="K56" s="605" t="s">
        <v>1403</v>
      </c>
      <c r="L56" s="606">
        <v>14819</v>
      </c>
      <c r="M56" s="606">
        <v>15587</v>
      </c>
      <c r="N56" s="606">
        <v>14486</v>
      </c>
      <c r="O56" s="607"/>
      <c r="P56" s="576"/>
      <c r="Q56" s="576"/>
    </row>
    <row r="57" spans="2:17" x14ac:dyDescent="0.45">
      <c r="C57" s="587"/>
      <c r="D57" s="588"/>
      <c r="E57" s="588"/>
      <c r="F57" s="588"/>
      <c r="G57" s="588"/>
      <c r="H57" s="588"/>
      <c r="I57" s="599"/>
      <c r="J57" s="576"/>
      <c r="K57" s="605" t="s">
        <v>61</v>
      </c>
      <c r="L57" s="606">
        <v>12764</v>
      </c>
      <c r="M57" s="606">
        <v>13103</v>
      </c>
      <c r="N57" s="606">
        <v>11331</v>
      </c>
      <c r="O57" s="607"/>
      <c r="P57" s="576"/>
      <c r="Q57" s="576"/>
    </row>
    <row r="58" spans="2:17" x14ac:dyDescent="0.45">
      <c r="C58" s="587"/>
      <c r="D58" s="588"/>
      <c r="E58" s="588"/>
      <c r="F58" s="588"/>
      <c r="G58" s="588"/>
      <c r="H58" s="588"/>
      <c r="I58" s="599"/>
      <c r="J58" s="576"/>
      <c r="K58" s="605" t="s">
        <v>1404</v>
      </c>
      <c r="L58" s="606">
        <v>2055</v>
      </c>
      <c r="M58" s="606">
        <v>2484</v>
      </c>
      <c r="N58" s="606">
        <v>3155</v>
      </c>
      <c r="O58" s="607"/>
      <c r="P58" s="576"/>
      <c r="Q58" s="576"/>
    </row>
    <row r="59" spans="2:17" x14ac:dyDescent="0.45">
      <c r="C59" s="608" t="s">
        <v>1405</v>
      </c>
      <c r="D59" s="574"/>
      <c r="E59" s="574"/>
      <c r="F59" s="574"/>
      <c r="G59" s="574"/>
      <c r="H59" s="574"/>
      <c r="I59" s="609"/>
      <c r="J59" s="576"/>
      <c r="K59" s="605" t="s">
        <v>1406</v>
      </c>
      <c r="L59" s="606" t="s">
        <v>184</v>
      </c>
      <c r="M59" s="606">
        <v>0</v>
      </c>
      <c r="N59" s="606">
        <v>0</v>
      </c>
      <c r="O59" s="607"/>
      <c r="P59" s="576"/>
      <c r="Q59" s="576"/>
    </row>
    <row r="60" spans="2:17" ht="15" customHeight="1" x14ac:dyDescent="0.45">
      <c r="C60" s="610" t="s">
        <v>1407</v>
      </c>
      <c r="D60" s="611" t="s">
        <v>1408</v>
      </c>
      <c r="E60" s="612" t="s">
        <v>1409</v>
      </c>
      <c r="F60" s="576"/>
      <c r="G60" s="785" t="s">
        <v>1410</v>
      </c>
      <c r="H60" s="785"/>
      <c r="I60" s="785"/>
      <c r="J60" s="576"/>
      <c r="K60" s="605"/>
      <c r="L60" s="606"/>
      <c r="M60" s="606"/>
      <c r="N60" s="606"/>
      <c r="O60" s="607"/>
      <c r="P60" s="576"/>
      <c r="Q60" s="576"/>
    </row>
    <row r="61" spans="2:17" ht="15" customHeight="1" x14ac:dyDescent="0.45">
      <c r="C61" s="613">
        <v>1006177558</v>
      </c>
      <c r="D61" s="614" t="s">
        <v>184</v>
      </c>
      <c r="E61" s="614" t="s">
        <v>184</v>
      </c>
      <c r="F61" s="576"/>
      <c r="G61" s="786"/>
      <c r="H61" s="786"/>
      <c r="I61" s="786"/>
      <c r="K61" s="605"/>
      <c r="L61" s="606"/>
      <c r="M61" s="606"/>
      <c r="N61" s="606"/>
      <c r="O61" s="607"/>
    </row>
    <row r="62" spans="2:17" ht="14.45" customHeight="1" x14ac:dyDescent="0.45">
      <c r="D62" s="576"/>
      <c r="E62" s="576"/>
      <c r="F62" s="576"/>
      <c r="G62" s="787"/>
      <c r="H62" s="787"/>
      <c r="I62" s="787"/>
      <c r="L62" s="606"/>
      <c r="M62" s="606"/>
      <c r="N62" s="606"/>
      <c r="O62" s="607"/>
    </row>
    <row r="63" spans="2:17" x14ac:dyDescent="0.45">
      <c r="B63"/>
      <c r="C63" s="788" t="s">
        <v>1411</v>
      </c>
      <c r="D63" s="789"/>
      <c r="E63" s="789"/>
      <c r="F63" s="792" t="s">
        <v>1412</v>
      </c>
      <c r="G63" s="792" t="s">
        <v>1413</v>
      </c>
      <c r="H63" s="792" t="s">
        <v>1414</v>
      </c>
      <c r="I63" s="794" t="s">
        <v>1415</v>
      </c>
      <c r="L63" s="606"/>
      <c r="M63" s="606"/>
      <c r="N63" s="606"/>
      <c r="O63" s="607"/>
    </row>
    <row r="64" spans="2:17" x14ac:dyDescent="0.45">
      <c r="B64"/>
      <c r="C64" s="790"/>
      <c r="D64" s="791"/>
      <c r="E64" s="791"/>
      <c r="F64" s="793"/>
      <c r="G64" s="793"/>
      <c r="H64" s="793"/>
      <c r="I64" s="795"/>
      <c r="L64" s="606"/>
      <c r="M64" s="606"/>
      <c r="N64" s="606"/>
      <c r="O64" s="607"/>
    </row>
    <row r="65" spans="2:15" x14ac:dyDescent="0.45">
      <c r="B65" t="s">
        <v>184</v>
      </c>
      <c r="C65" s="615" t="s">
        <v>184</v>
      </c>
      <c r="D65" s="615"/>
      <c r="F65" s="616" t="s">
        <v>184</v>
      </c>
      <c r="G65" s="617" t="s">
        <v>184</v>
      </c>
      <c r="H65" s="616" t="s">
        <v>184</v>
      </c>
      <c r="I65" s="617" t="s">
        <v>184</v>
      </c>
      <c r="L65" s="606"/>
      <c r="M65" s="606"/>
      <c r="N65" s="606"/>
      <c r="O65" s="607"/>
    </row>
    <row r="66" spans="2:15" x14ac:dyDescent="0.45">
      <c r="B66"/>
      <c r="C66" s="615" t="s">
        <v>184</v>
      </c>
      <c r="D66" s="615"/>
      <c r="F66" s="616" t="s">
        <v>184</v>
      </c>
      <c r="G66" s="617" t="s">
        <v>184</v>
      </c>
      <c r="H66" s="616" t="s">
        <v>184</v>
      </c>
      <c r="I66" s="617" t="s">
        <v>184</v>
      </c>
      <c r="L66" s="606"/>
      <c r="M66" s="606"/>
      <c r="N66" s="606"/>
      <c r="O66" s="607"/>
    </row>
    <row r="67" spans="2:15" x14ac:dyDescent="0.45">
      <c r="B67"/>
      <c r="C67" s="615" t="s">
        <v>184</v>
      </c>
      <c r="D67" s="615"/>
      <c r="F67" s="616" t="s">
        <v>184</v>
      </c>
      <c r="G67" s="617" t="s">
        <v>184</v>
      </c>
      <c r="H67" s="616" t="s">
        <v>184</v>
      </c>
      <c r="I67" s="617" t="s">
        <v>184</v>
      </c>
      <c r="L67" s="606"/>
      <c r="M67" s="606"/>
      <c r="N67" s="606"/>
      <c r="O67" s="607"/>
    </row>
    <row r="68" spans="2:15" x14ac:dyDescent="0.45">
      <c r="B68"/>
      <c r="C68" s="615" t="s">
        <v>184</v>
      </c>
      <c r="D68" s="615"/>
      <c r="F68" s="616" t="s">
        <v>184</v>
      </c>
      <c r="G68" s="617" t="s">
        <v>184</v>
      </c>
      <c r="H68" s="616" t="s">
        <v>184</v>
      </c>
      <c r="I68" s="617" t="s">
        <v>184</v>
      </c>
      <c r="L68" s="606"/>
      <c r="M68" s="606"/>
      <c r="N68" s="606"/>
      <c r="O68" s="607"/>
    </row>
    <row r="69" spans="2:15" x14ac:dyDescent="0.45">
      <c r="B69"/>
      <c r="C69" s="615" t="s">
        <v>184</v>
      </c>
      <c r="D69" s="615"/>
      <c r="F69" s="616" t="s">
        <v>184</v>
      </c>
      <c r="G69" s="617" t="s">
        <v>184</v>
      </c>
      <c r="H69" s="616" t="s">
        <v>184</v>
      </c>
      <c r="I69" s="617" t="s">
        <v>184</v>
      </c>
      <c r="L69" s="606"/>
      <c r="M69" s="606"/>
      <c r="N69" s="606"/>
      <c r="O69" s="607"/>
    </row>
    <row r="70" spans="2:15" x14ac:dyDescent="0.45">
      <c r="B70"/>
      <c r="C70" s="615" t="s">
        <v>184</v>
      </c>
      <c r="D70" s="615"/>
      <c r="F70" s="616" t="s">
        <v>184</v>
      </c>
      <c r="G70" s="617" t="s">
        <v>184</v>
      </c>
      <c r="H70" s="616" t="s">
        <v>184</v>
      </c>
      <c r="I70" s="617" t="s">
        <v>184</v>
      </c>
      <c r="L70" s="606"/>
      <c r="M70" s="606"/>
      <c r="N70" s="606"/>
      <c r="O70" s="607"/>
    </row>
    <row r="71" spans="2:15" x14ac:dyDescent="0.45">
      <c r="B71"/>
      <c r="C71" s="615" t="s">
        <v>184</v>
      </c>
      <c r="D71" s="615"/>
      <c r="F71" s="616" t="s">
        <v>184</v>
      </c>
      <c r="G71" s="617" t="s">
        <v>184</v>
      </c>
      <c r="H71" s="616" t="s">
        <v>184</v>
      </c>
      <c r="I71" s="617" t="s">
        <v>184</v>
      </c>
      <c r="L71" s="606"/>
      <c r="M71" s="606"/>
      <c r="N71" s="606"/>
      <c r="O71" s="607"/>
    </row>
    <row r="72" spans="2:15" x14ac:dyDescent="0.45">
      <c r="B72"/>
      <c r="C72" s="615" t="s">
        <v>184</v>
      </c>
      <c r="D72" s="615"/>
      <c r="F72" s="616" t="s">
        <v>184</v>
      </c>
      <c r="G72" s="617" t="s">
        <v>184</v>
      </c>
      <c r="H72" s="616" t="s">
        <v>184</v>
      </c>
      <c r="I72" s="617" t="s">
        <v>184</v>
      </c>
      <c r="L72" s="606"/>
      <c r="M72" s="606"/>
      <c r="N72" s="606"/>
      <c r="O72" s="607"/>
    </row>
    <row r="73" spans="2:15" x14ac:dyDescent="0.45">
      <c r="B73"/>
      <c r="C73" s="615" t="s">
        <v>184</v>
      </c>
      <c r="D73" s="615"/>
      <c r="F73" s="616" t="s">
        <v>184</v>
      </c>
      <c r="G73" s="617" t="s">
        <v>184</v>
      </c>
      <c r="H73" s="616" t="s">
        <v>184</v>
      </c>
      <c r="I73" s="617" t="s">
        <v>184</v>
      </c>
      <c r="L73" s="606"/>
      <c r="M73" s="606"/>
      <c r="N73" s="606"/>
      <c r="O73" s="607"/>
    </row>
    <row r="74" spans="2:15" x14ac:dyDescent="0.45">
      <c r="B74"/>
      <c r="C74" s="615" t="s">
        <v>184</v>
      </c>
      <c r="D74" s="615"/>
      <c r="F74" s="616" t="s">
        <v>184</v>
      </c>
      <c r="G74" s="617" t="s">
        <v>184</v>
      </c>
      <c r="H74" s="616" t="s">
        <v>184</v>
      </c>
      <c r="I74" s="617" t="s">
        <v>184</v>
      </c>
      <c r="K74" s="605"/>
      <c r="L74" s="606"/>
      <c r="M74" s="606"/>
      <c r="N74" s="606"/>
      <c r="O74" s="607"/>
    </row>
    <row r="75" spans="2:15" ht="14.45" customHeight="1" x14ac:dyDescent="0.45">
      <c r="G75" s="618"/>
      <c r="I75" s="618"/>
      <c r="K75" s="605"/>
      <c r="L75" s="606"/>
      <c r="M75" s="606"/>
      <c r="N75" s="606"/>
      <c r="O75" s="607"/>
    </row>
    <row r="76" spans="2:15" x14ac:dyDescent="0.45">
      <c r="C76" s="788" t="s">
        <v>1416</v>
      </c>
      <c r="D76" s="789" t="s">
        <v>1417</v>
      </c>
      <c r="E76" s="789"/>
      <c r="F76" s="792"/>
      <c r="G76" s="792"/>
      <c r="H76" s="792" t="s">
        <v>1414</v>
      </c>
      <c r="I76" s="794" t="s">
        <v>1415</v>
      </c>
      <c r="K76" s="605"/>
      <c r="L76" s="606"/>
      <c r="M76" s="606"/>
      <c r="N76" s="606"/>
      <c r="O76" s="607"/>
    </row>
    <row r="77" spans="2:15" x14ac:dyDescent="0.45">
      <c r="C77" s="790"/>
      <c r="D77" s="791"/>
      <c r="E77" s="791"/>
      <c r="F77" s="793"/>
      <c r="G77" s="793"/>
      <c r="H77" s="793"/>
      <c r="I77" s="795"/>
      <c r="K77" s="605"/>
      <c r="L77" s="606"/>
      <c r="M77" s="606"/>
      <c r="N77" s="606"/>
      <c r="O77" s="607"/>
    </row>
    <row r="78" spans="2:15" x14ac:dyDescent="0.45">
      <c r="B78" s="556" t="s">
        <v>184</v>
      </c>
      <c r="C78" s="615" t="s">
        <v>184</v>
      </c>
      <c r="D78" s="615" t="s">
        <v>184</v>
      </c>
      <c r="H78" s="616" t="s">
        <v>184</v>
      </c>
      <c r="I78" s="617" t="s">
        <v>184</v>
      </c>
      <c r="K78" s="605"/>
      <c r="L78" s="606"/>
      <c r="M78" s="606"/>
      <c r="N78" s="606"/>
      <c r="O78" s="607"/>
    </row>
    <row r="79" spans="2:15" x14ac:dyDescent="0.45">
      <c r="C79" s="615" t="s">
        <v>184</v>
      </c>
      <c r="D79" s="615" t="s">
        <v>184</v>
      </c>
      <c r="H79" s="616" t="s">
        <v>184</v>
      </c>
      <c r="I79" s="617" t="s">
        <v>184</v>
      </c>
      <c r="K79" s="605"/>
      <c r="L79" s="606"/>
      <c r="M79" s="606"/>
      <c r="N79" s="606"/>
      <c r="O79" s="607"/>
    </row>
    <row r="80" spans="2:15" x14ac:dyDescent="0.45">
      <c r="C80" s="615" t="s">
        <v>184</v>
      </c>
      <c r="D80" s="615" t="s">
        <v>184</v>
      </c>
      <c r="H80" s="616" t="s">
        <v>184</v>
      </c>
      <c r="I80" s="617" t="s">
        <v>184</v>
      </c>
      <c r="K80" s="605"/>
      <c r="L80" s="606"/>
      <c r="M80" s="606"/>
      <c r="N80" s="606"/>
      <c r="O80" s="607"/>
    </row>
    <row r="81" spans="3:15" x14ac:dyDescent="0.45">
      <c r="C81" s="615" t="s">
        <v>184</v>
      </c>
      <c r="D81" s="615" t="s">
        <v>184</v>
      </c>
      <c r="H81" s="616" t="s">
        <v>184</v>
      </c>
      <c r="I81" s="617" t="s">
        <v>184</v>
      </c>
      <c r="K81" s="605"/>
      <c r="L81" s="606"/>
      <c r="M81" s="606"/>
      <c r="N81" s="606"/>
      <c r="O81" s="607"/>
    </row>
    <row r="82" spans="3:15" x14ac:dyDescent="0.45">
      <c r="C82" s="615" t="s">
        <v>184</v>
      </c>
      <c r="D82" s="615" t="s">
        <v>184</v>
      </c>
      <c r="H82" s="616" t="s">
        <v>184</v>
      </c>
      <c r="I82" s="617" t="s">
        <v>184</v>
      </c>
      <c r="K82" s="605"/>
      <c r="L82" s="606"/>
      <c r="M82" s="606"/>
      <c r="N82" s="606"/>
      <c r="O82" s="607"/>
    </row>
    <row r="83" spans="3:15" x14ac:dyDescent="0.45">
      <c r="C83" s="615" t="s">
        <v>184</v>
      </c>
      <c r="D83" s="615" t="s">
        <v>184</v>
      </c>
      <c r="H83" s="616" t="s">
        <v>184</v>
      </c>
      <c r="I83" s="617" t="s">
        <v>184</v>
      </c>
      <c r="K83" s="605"/>
      <c r="L83" s="606"/>
      <c r="M83" s="606"/>
      <c r="N83" s="606"/>
      <c r="O83" s="607"/>
    </row>
    <row r="84" spans="3:15" x14ac:dyDescent="0.45">
      <c r="C84" s="615" t="s">
        <v>184</v>
      </c>
      <c r="D84" s="615" t="s">
        <v>184</v>
      </c>
      <c r="H84" s="616" t="s">
        <v>184</v>
      </c>
      <c r="I84" s="617" t="s">
        <v>184</v>
      </c>
      <c r="K84" s="605"/>
      <c r="L84" s="606"/>
      <c r="M84" s="606"/>
      <c r="N84" s="606"/>
      <c r="O84" s="607"/>
    </row>
    <row r="85" spans="3:15" x14ac:dyDescent="0.45">
      <c r="C85" s="615" t="s">
        <v>184</v>
      </c>
      <c r="D85" s="615" t="s">
        <v>184</v>
      </c>
      <c r="H85" s="616" t="s">
        <v>184</v>
      </c>
      <c r="I85" s="617" t="s">
        <v>184</v>
      </c>
      <c r="K85" s="605"/>
      <c r="L85" s="606"/>
      <c r="M85" s="606"/>
      <c r="N85" s="606"/>
      <c r="O85" s="607"/>
    </row>
    <row r="86" spans="3:15" x14ac:dyDescent="0.45">
      <c r="C86" s="615" t="s">
        <v>184</v>
      </c>
      <c r="D86" s="615" t="s">
        <v>184</v>
      </c>
      <c r="H86" s="616" t="s">
        <v>184</v>
      </c>
      <c r="I86" s="617" t="s">
        <v>184</v>
      </c>
      <c r="K86" s="605"/>
      <c r="L86" s="606"/>
      <c r="M86" s="606"/>
      <c r="N86" s="606"/>
      <c r="O86" s="607"/>
    </row>
    <row r="87" spans="3:15" x14ac:dyDescent="0.45">
      <c r="C87" s="615" t="s">
        <v>184</v>
      </c>
      <c r="D87" s="615" t="s">
        <v>184</v>
      </c>
      <c r="H87" s="616" t="s">
        <v>184</v>
      </c>
      <c r="I87" s="617" t="s">
        <v>184</v>
      </c>
      <c r="K87" s="605"/>
      <c r="L87" s="606"/>
      <c r="M87" s="606"/>
      <c r="N87" s="606"/>
      <c r="O87" s="607"/>
    </row>
    <row r="88" spans="3:15" x14ac:dyDescent="0.45">
      <c r="C88" s="615" t="s">
        <v>184</v>
      </c>
      <c r="D88" s="615" t="s">
        <v>184</v>
      </c>
      <c r="F88" s="619"/>
      <c r="G88" s="616"/>
      <c r="H88" s="616" t="s">
        <v>184</v>
      </c>
      <c r="I88" s="617" t="s">
        <v>184</v>
      </c>
      <c r="K88" s="605"/>
      <c r="L88" s="606"/>
      <c r="M88" s="606"/>
      <c r="N88" s="606"/>
      <c r="O88" s="607"/>
    </row>
    <row r="89" spans="3:15" x14ac:dyDescent="0.45">
      <c r="C89" s="615" t="s">
        <v>184</v>
      </c>
      <c r="D89" s="615" t="s">
        <v>184</v>
      </c>
      <c r="F89" s="619"/>
      <c r="G89" s="616"/>
      <c r="H89" s="616" t="s">
        <v>184</v>
      </c>
      <c r="I89" s="617" t="s">
        <v>184</v>
      </c>
      <c r="K89" s="605"/>
      <c r="L89" s="606"/>
      <c r="M89" s="606"/>
      <c r="N89" s="606"/>
      <c r="O89" s="607"/>
    </row>
    <row r="90" spans="3:15" x14ac:dyDescent="0.45">
      <c r="C90" s="615" t="s">
        <v>184</v>
      </c>
      <c r="D90" s="615" t="s">
        <v>184</v>
      </c>
      <c r="F90" s="619"/>
      <c r="G90" s="616"/>
      <c r="H90" s="616" t="s">
        <v>184</v>
      </c>
      <c r="I90" s="617" t="s">
        <v>184</v>
      </c>
      <c r="K90" s="605"/>
      <c r="L90" s="606"/>
      <c r="M90" s="606"/>
      <c r="N90" s="606"/>
      <c r="O90" s="607"/>
    </row>
    <row r="91" spans="3:15" x14ac:dyDescent="0.45">
      <c r="C91" s="615" t="s">
        <v>184</v>
      </c>
      <c r="D91" s="615" t="s">
        <v>184</v>
      </c>
      <c r="F91" s="619"/>
      <c r="G91" s="616"/>
      <c r="H91" s="616" t="s">
        <v>184</v>
      </c>
      <c r="I91" s="617" t="s">
        <v>184</v>
      </c>
      <c r="K91" s="605"/>
      <c r="L91" s="606"/>
      <c r="M91" s="606"/>
      <c r="N91" s="606"/>
      <c r="O91" s="607"/>
    </row>
    <row r="92" spans="3:15" x14ac:dyDescent="0.45">
      <c r="C92" s="615" t="s">
        <v>184</v>
      </c>
      <c r="D92" s="615" t="s">
        <v>184</v>
      </c>
      <c r="F92" s="619"/>
      <c r="G92" s="616"/>
      <c r="H92" s="616" t="s">
        <v>184</v>
      </c>
      <c r="I92" s="617" t="s">
        <v>184</v>
      </c>
      <c r="K92" s="605"/>
      <c r="L92" s="606"/>
      <c r="M92" s="606"/>
      <c r="N92" s="606"/>
      <c r="O92" s="607"/>
    </row>
    <row r="93" spans="3:15" x14ac:dyDescent="0.45">
      <c r="C93" s="615" t="s">
        <v>184</v>
      </c>
      <c r="D93" s="615" t="s">
        <v>184</v>
      </c>
      <c r="F93" s="619"/>
      <c r="G93" s="616"/>
      <c r="H93" s="616" t="s">
        <v>184</v>
      </c>
      <c r="I93" s="617" t="s">
        <v>184</v>
      </c>
      <c r="K93" s="605"/>
      <c r="L93" s="606"/>
      <c r="M93" s="606"/>
      <c r="N93" s="606"/>
      <c r="O93" s="607"/>
    </row>
    <row r="94" spans="3:15" x14ac:dyDescent="0.45">
      <c r="C94" s="615" t="s">
        <v>184</v>
      </c>
      <c r="D94" s="615" t="s">
        <v>184</v>
      </c>
      <c r="F94" s="619"/>
      <c r="G94" s="616"/>
      <c r="H94" s="616" t="s">
        <v>184</v>
      </c>
      <c r="I94" s="617" t="s">
        <v>184</v>
      </c>
      <c r="K94" s="605"/>
      <c r="L94" s="606"/>
      <c r="M94" s="606"/>
      <c r="N94" s="606"/>
      <c r="O94" s="607"/>
    </row>
    <row r="95" spans="3:15" x14ac:dyDescent="0.45">
      <c r="C95" s="615" t="s">
        <v>184</v>
      </c>
      <c r="D95" s="615" t="s">
        <v>184</v>
      </c>
      <c r="F95" s="619"/>
      <c r="G95" s="616"/>
      <c r="H95" s="616" t="s">
        <v>184</v>
      </c>
      <c r="I95" s="619" t="s">
        <v>184</v>
      </c>
      <c r="K95" s="605"/>
      <c r="L95" s="606"/>
      <c r="M95" s="606"/>
      <c r="N95" s="606"/>
      <c r="O95" s="607"/>
    </row>
    <row r="96" spans="3:15" x14ac:dyDescent="0.45">
      <c r="C96" s="615" t="s">
        <v>184</v>
      </c>
      <c r="D96" s="615" t="s">
        <v>184</v>
      </c>
      <c r="F96" s="619"/>
      <c r="G96" s="616"/>
      <c r="H96" s="616" t="s">
        <v>184</v>
      </c>
      <c r="I96" s="619" t="s">
        <v>184</v>
      </c>
      <c r="K96" s="605"/>
      <c r="L96" s="606"/>
      <c r="M96" s="606"/>
      <c r="N96" s="606"/>
      <c r="O96" s="607"/>
    </row>
    <row r="97" spans="3:15" x14ac:dyDescent="0.45">
      <c r="C97" s="615" t="s">
        <v>184</v>
      </c>
      <c r="D97" s="615" t="s">
        <v>184</v>
      </c>
      <c r="F97" s="619"/>
      <c r="G97" s="616"/>
      <c r="H97" s="616" t="s">
        <v>184</v>
      </c>
      <c r="I97" s="619" t="s">
        <v>184</v>
      </c>
      <c r="K97" s="605"/>
      <c r="L97" s="606"/>
      <c r="M97" s="606"/>
      <c r="N97" s="606"/>
      <c r="O97" s="607"/>
    </row>
    <row r="98" spans="3:15" x14ac:dyDescent="0.45">
      <c r="C98" s="615" t="s">
        <v>184</v>
      </c>
      <c r="D98" s="615" t="s">
        <v>184</v>
      </c>
      <c r="F98" s="619"/>
      <c r="G98" s="616"/>
      <c r="H98" s="616" t="s">
        <v>184</v>
      </c>
      <c r="I98" s="619" t="s">
        <v>184</v>
      </c>
      <c r="K98" s="605"/>
      <c r="L98" s="606"/>
      <c r="M98" s="606"/>
      <c r="N98" s="606"/>
      <c r="O98" s="607"/>
    </row>
    <row r="99" spans="3:15" x14ac:dyDescent="0.45">
      <c r="C99" s="615" t="s">
        <v>184</v>
      </c>
      <c r="D99" s="615" t="s">
        <v>184</v>
      </c>
      <c r="F99" s="619"/>
      <c r="G99" s="616"/>
      <c r="H99" s="616" t="s">
        <v>184</v>
      </c>
      <c r="I99" s="619" t="s">
        <v>184</v>
      </c>
      <c r="K99" s="605"/>
      <c r="L99" s="606"/>
      <c r="M99" s="606"/>
      <c r="N99" s="606"/>
      <c r="O99" s="607"/>
    </row>
    <row r="100" spans="3:15" x14ac:dyDescent="0.45">
      <c r="C100" s="615" t="s">
        <v>184</v>
      </c>
      <c r="D100" s="615" t="s">
        <v>184</v>
      </c>
      <c r="F100" s="619"/>
      <c r="G100" s="616"/>
      <c r="H100" s="616" t="s">
        <v>184</v>
      </c>
      <c r="I100" s="619" t="s">
        <v>184</v>
      </c>
      <c r="K100" s="605"/>
      <c r="L100" s="606"/>
      <c r="M100" s="606"/>
      <c r="N100" s="606"/>
      <c r="O100" s="607"/>
    </row>
    <row r="101" spans="3:15" x14ac:dyDescent="0.45">
      <c r="C101" s="615" t="s">
        <v>184</v>
      </c>
      <c r="D101" s="615" t="s">
        <v>184</v>
      </c>
      <c r="F101" s="619"/>
      <c r="G101" s="616"/>
      <c r="H101" s="616" t="s">
        <v>184</v>
      </c>
      <c r="I101" s="619" t="s">
        <v>184</v>
      </c>
      <c r="K101" s="605"/>
      <c r="L101" s="606"/>
      <c r="M101" s="606"/>
      <c r="N101" s="606"/>
      <c r="O101" s="607"/>
    </row>
    <row r="102" spans="3:15" x14ac:dyDescent="0.45">
      <c r="C102" s="615" t="s">
        <v>184</v>
      </c>
      <c r="D102" s="615" t="s">
        <v>184</v>
      </c>
      <c r="F102" s="619"/>
      <c r="G102" s="616"/>
      <c r="H102" s="616" t="s">
        <v>184</v>
      </c>
      <c r="I102" s="619" t="s">
        <v>184</v>
      </c>
      <c r="K102" s="605"/>
      <c r="L102" s="606"/>
      <c r="M102" s="606"/>
      <c r="N102" s="606"/>
      <c r="O102" s="607"/>
    </row>
    <row r="103" spans="3:15" x14ac:dyDescent="0.45">
      <c r="C103" s="615" t="s">
        <v>184</v>
      </c>
      <c r="D103" s="615" t="s">
        <v>184</v>
      </c>
      <c r="F103" s="619"/>
      <c r="G103" s="616"/>
      <c r="H103" s="616" t="s">
        <v>184</v>
      </c>
      <c r="I103" s="619" t="s">
        <v>184</v>
      </c>
      <c r="K103" s="605"/>
      <c r="L103" s="606"/>
      <c r="M103" s="606"/>
      <c r="N103" s="606"/>
      <c r="O103" s="607"/>
    </row>
    <row r="104" spans="3:15" x14ac:dyDescent="0.45">
      <c r="C104" s="615" t="s">
        <v>184</v>
      </c>
      <c r="D104" s="615" t="s">
        <v>184</v>
      </c>
      <c r="F104" s="619"/>
      <c r="G104" s="616"/>
      <c r="H104" s="616" t="s">
        <v>184</v>
      </c>
      <c r="I104" s="619" t="s">
        <v>184</v>
      </c>
      <c r="K104" s="605"/>
      <c r="L104" s="606"/>
      <c r="M104" s="606"/>
      <c r="N104" s="606"/>
      <c r="O104" s="607"/>
    </row>
    <row r="105" spans="3:15" x14ac:dyDescent="0.45">
      <c r="C105" s="615" t="s">
        <v>184</v>
      </c>
      <c r="D105" s="615" t="s">
        <v>184</v>
      </c>
      <c r="F105" s="619"/>
      <c r="G105" s="616"/>
      <c r="H105" s="616" t="s">
        <v>184</v>
      </c>
      <c r="I105" s="619" t="s">
        <v>184</v>
      </c>
      <c r="K105" s="605"/>
      <c r="L105" s="606"/>
      <c r="M105" s="606"/>
      <c r="N105" s="606"/>
      <c r="O105" s="607"/>
    </row>
    <row r="106" spans="3:15" x14ac:dyDescent="0.45">
      <c r="C106" s="615" t="s">
        <v>184</v>
      </c>
      <c r="D106" s="615" t="s">
        <v>184</v>
      </c>
      <c r="F106" s="619"/>
      <c r="G106" s="616"/>
      <c r="H106" s="616" t="s">
        <v>184</v>
      </c>
      <c r="I106" s="619" t="s">
        <v>184</v>
      </c>
      <c r="K106" s="605"/>
      <c r="L106" s="606"/>
      <c r="M106" s="606"/>
      <c r="N106" s="606"/>
      <c r="O106" s="607"/>
    </row>
    <row r="107" spans="3:15" x14ac:dyDescent="0.45">
      <c r="C107" s="615" t="s">
        <v>184</v>
      </c>
      <c r="D107" s="615" t="s">
        <v>184</v>
      </c>
      <c r="F107" s="619"/>
      <c r="G107" s="616"/>
      <c r="H107" s="616" t="s">
        <v>184</v>
      </c>
      <c r="I107" s="619" t="s">
        <v>184</v>
      </c>
      <c r="K107" s="605"/>
      <c r="L107" s="606"/>
      <c r="M107" s="606"/>
      <c r="N107" s="606"/>
      <c r="O107" s="607"/>
    </row>
    <row r="108" spans="3:15" x14ac:dyDescent="0.45">
      <c r="C108" s="615" t="s">
        <v>184</v>
      </c>
      <c r="D108" s="615" t="s">
        <v>184</v>
      </c>
      <c r="F108" s="619"/>
      <c r="G108" s="616"/>
      <c r="H108" s="616" t="s">
        <v>184</v>
      </c>
      <c r="I108" s="619" t="s">
        <v>184</v>
      </c>
      <c r="K108" s="605"/>
      <c r="L108" s="606"/>
      <c r="M108" s="606"/>
      <c r="N108" s="606"/>
      <c r="O108" s="607"/>
    </row>
    <row r="109" spans="3:15" x14ac:dyDescent="0.45">
      <c r="C109" s="615" t="s">
        <v>184</v>
      </c>
      <c r="D109" s="615" t="s">
        <v>184</v>
      </c>
      <c r="F109" s="619"/>
      <c r="G109" s="616"/>
      <c r="H109" s="616" t="s">
        <v>184</v>
      </c>
      <c r="I109" s="619" t="s">
        <v>184</v>
      </c>
      <c r="K109" s="605"/>
      <c r="L109" s="606"/>
      <c r="M109" s="606"/>
      <c r="N109" s="606"/>
      <c r="O109" s="607"/>
    </row>
    <row r="110" spans="3:15" x14ac:dyDescent="0.45">
      <c r="C110" s="615" t="s">
        <v>184</v>
      </c>
      <c r="D110" s="615" t="s">
        <v>184</v>
      </c>
      <c r="F110" s="619"/>
      <c r="G110" s="616"/>
      <c r="H110" s="616" t="s">
        <v>184</v>
      </c>
      <c r="I110" s="619" t="s">
        <v>184</v>
      </c>
      <c r="K110" s="605"/>
      <c r="L110" s="606"/>
      <c r="M110" s="606"/>
      <c r="N110" s="606"/>
      <c r="O110" s="607"/>
    </row>
    <row r="111" spans="3:15" x14ac:dyDescent="0.45">
      <c r="C111" s="615" t="s">
        <v>184</v>
      </c>
      <c r="D111" s="615" t="s">
        <v>184</v>
      </c>
      <c r="F111" s="619"/>
      <c r="G111" s="616"/>
      <c r="H111" s="616" t="s">
        <v>184</v>
      </c>
      <c r="I111" s="619" t="s">
        <v>184</v>
      </c>
      <c r="K111" s="605"/>
      <c r="L111" s="606"/>
      <c r="M111" s="606"/>
      <c r="N111" s="606"/>
      <c r="O111" s="607"/>
    </row>
    <row r="112" spans="3:15" x14ac:dyDescent="0.45">
      <c r="C112" s="615" t="s">
        <v>184</v>
      </c>
      <c r="D112" s="615" t="s">
        <v>184</v>
      </c>
      <c r="F112" s="619"/>
      <c r="G112" s="616"/>
      <c r="H112" s="616" t="s">
        <v>184</v>
      </c>
      <c r="I112" s="619" t="s">
        <v>184</v>
      </c>
      <c r="K112" s="605"/>
      <c r="L112" s="606"/>
      <c r="M112" s="606"/>
      <c r="N112" s="606"/>
      <c r="O112" s="607"/>
    </row>
    <row r="113" spans="3:15" x14ac:dyDescent="0.45">
      <c r="C113" s="615" t="s">
        <v>184</v>
      </c>
      <c r="D113" s="615" t="s">
        <v>184</v>
      </c>
      <c r="F113" s="619"/>
      <c r="G113" s="616"/>
      <c r="H113" s="616" t="s">
        <v>184</v>
      </c>
      <c r="I113" s="619" t="s">
        <v>184</v>
      </c>
      <c r="K113" s="605"/>
      <c r="L113" s="606"/>
      <c r="M113" s="606"/>
      <c r="N113" s="606"/>
      <c r="O113" s="607"/>
    </row>
    <row r="114" spans="3:15" x14ac:dyDescent="0.45">
      <c r="K114" s="605"/>
      <c r="L114" s="606"/>
      <c r="M114" s="606"/>
      <c r="N114" s="606"/>
      <c r="O114" s="607"/>
    </row>
    <row r="115" spans="3:15" x14ac:dyDescent="0.45">
      <c r="K115" s="605"/>
      <c r="L115" s="606"/>
      <c r="M115" s="606"/>
      <c r="N115" s="606"/>
      <c r="O115" s="607"/>
    </row>
    <row r="116" spans="3:15" x14ac:dyDescent="0.45">
      <c r="K116" s="605"/>
      <c r="L116" s="606"/>
      <c r="M116" s="606"/>
      <c r="N116" s="606"/>
      <c r="O116" s="607"/>
    </row>
  </sheetData>
  <mergeCells count="27">
    <mergeCell ref="I76:I77"/>
    <mergeCell ref="C76:C77"/>
    <mergeCell ref="D76:D77"/>
    <mergeCell ref="E76:E77"/>
    <mergeCell ref="F76:F77"/>
    <mergeCell ref="G76:G77"/>
    <mergeCell ref="H76:H77"/>
    <mergeCell ref="L53:N53"/>
    <mergeCell ref="G60:I62"/>
    <mergeCell ref="C63:D64"/>
    <mergeCell ref="E63:E64"/>
    <mergeCell ref="F63:F64"/>
    <mergeCell ref="G63:G64"/>
    <mergeCell ref="H63:H64"/>
    <mergeCell ref="I63:I64"/>
    <mergeCell ref="L52:N52"/>
    <mergeCell ref="I3:J3"/>
    <mergeCell ref="N3:Q4"/>
    <mergeCell ref="I5:J5"/>
    <mergeCell ref="C22:Q22"/>
    <mergeCell ref="C28:I28"/>
    <mergeCell ref="K28:Q28"/>
    <mergeCell ref="L29:N29"/>
    <mergeCell ref="P29:Q29"/>
    <mergeCell ref="C42:I42"/>
    <mergeCell ref="D43:F43"/>
    <mergeCell ref="H43:I43"/>
  </mergeCells>
  <dataValidations count="5">
    <dataValidation type="list" allowBlank="1" showInputMessage="1" showErrorMessage="1" sqref="L53:N53" xr:uid="{795DDF9C-D184-4966-9832-108A015AD90F}">
      <formula1>MetricsOptions</formula1>
    </dataValidation>
    <dataValidation type="list" allowBlank="1" showInputMessage="1" showErrorMessage="1" sqref="L52:N52" xr:uid="{BB59CFD2-EF68-4FE8-9C8F-75854A31CDC6}">
      <formula1>SegmentsOptions</formula1>
    </dataValidation>
    <dataValidation type="list" allowBlank="1" showInputMessage="1" showErrorMessage="1" sqref="I5:J5" xr:uid="{4B9B51B4-1637-4FD7-8E8C-43F59C3B51D0}">
      <formula1>ValuationGrapthOptions</formula1>
    </dataValidation>
    <dataValidation type="list" allowBlank="1" showInputMessage="1" showErrorMessage="1" sqref="L3" xr:uid="{561347AA-DA1A-4C67-8C89-D502DA6B52C9}">
      <formula1>AmountsOptions</formula1>
    </dataValidation>
    <dataValidation type="list" allowBlank="1" showInputMessage="1" showErrorMessage="1" sqref="I3:J3" xr:uid="{056F7708-AB76-4DD5-93B6-B39657D549AC}">
      <formula1>CurrencyOptions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F77C-2167-4872-833B-67561C80E9FA}">
  <dimension ref="A2:AD127"/>
  <sheetViews>
    <sheetView showGridLines="0" tabSelected="1" topLeftCell="A15" zoomScale="70" zoomScaleNormal="100" workbookViewId="0">
      <selection activeCell="G72" sqref="G72"/>
    </sheetView>
  </sheetViews>
  <sheetFormatPr defaultColWidth="9.59765625" defaultRowHeight="15.75" outlineLevelRow="1" outlineLevelCol="1" x14ac:dyDescent="0.55000000000000004"/>
  <cols>
    <col min="1" max="1" width="3.59765625" style="45" customWidth="1"/>
    <col min="2" max="2" width="9.6640625" style="45" bestFit="1" customWidth="1"/>
    <col min="3" max="3" width="10.33203125" style="45" bestFit="1" customWidth="1"/>
    <col min="4" max="4" width="9.6640625" style="45" bestFit="1" customWidth="1"/>
    <col min="5" max="10" width="9.59765625" style="45" customWidth="1" outlineLevel="1"/>
    <col min="11" max="14" width="9.59765625" style="45" customWidth="1"/>
    <col min="15" max="16" width="14.46484375" style="45" bestFit="1" customWidth="1"/>
    <col min="17" max="18" width="9.59765625" style="45" customWidth="1"/>
    <col min="19" max="19" width="21.1328125" style="45" bestFit="1" customWidth="1"/>
    <col min="20" max="20" width="9.59765625" style="45"/>
    <col min="21" max="21" width="34.265625" style="45" bestFit="1" customWidth="1"/>
    <col min="22" max="26" width="10.46484375" style="45" bestFit="1" customWidth="1"/>
    <col min="27" max="27" width="12" style="45" bestFit="1" customWidth="1"/>
    <col min="28" max="29" width="9.59765625" style="45"/>
    <col min="30" max="30" width="10.33203125" style="45" bestFit="1" customWidth="1"/>
    <col min="31" max="16384" width="9.59765625" style="45"/>
  </cols>
  <sheetData>
    <row r="2" spans="1:18" s="64" customFormat="1" ht="23.65" x14ac:dyDescent="0.85">
      <c r="B2" s="65" t="s">
        <v>5</v>
      </c>
    </row>
    <row r="4" spans="1:18" x14ac:dyDescent="0.55000000000000004">
      <c r="A4" s="45" t="s">
        <v>6</v>
      </c>
      <c r="B4" s="45" t="s">
        <v>7</v>
      </c>
      <c r="C4" s="66" t="s">
        <v>8</v>
      </c>
      <c r="E4" s="45" t="s">
        <v>9</v>
      </c>
      <c r="G4" s="641">
        <f ca="1">E81</f>
        <v>19.263502830448154</v>
      </c>
      <c r="H4" s="642"/>
      <c r="M4" s="68"/>
      <c r="R4" s="69"/>
    </row>
    <row r="5" spans="1:18" x14ac:dyDescent="0.55000000000000004">
      <c r="B5" s="45" t="s">
        <v>10</v>
      </c>
      <c r="C5" s="70">
        <v>44990</v>
      </c>
      <c r="E5" s="45" t="s">
        <v>11</v>
      </c>
      <c r="G5" s="641">
        <f>'Football feild chart_Vestas'!D2</f>
        <v>27.405520805849999</v>
      </c>
      <c r="H5" s="642">
        <f ca="1">G4-G5</f>
        <v>-8.1420179754018456</v>
      </c>
      <c r="I5" s="45" t="s">
        <v>12</v>
      </c>
      <c r="K5" s="71">
        <f ca="1">G4/G5-1</f>
        <v>-0.29709407944051347</v>
      </c>
      <c r="M5" s="68"/>
    </row>
    <row r="6" spans="1:18" x14ac:dyDescent="0.55000000000000004">
      <c r="G6" s="72"/>
      <c r="K6" s="73"/>
      <c r="M6" s="68"/>
    </row>
    <row r="8" spans="1:18" x14ac:dyDescent="0.55000000000000004">
      <c r="A8" s="45" t="s">
        <v>6</v>
      </c>
      <c r="B8" s="49" t="s">
        <v>13</v>
      </c>
      <c r="C8" s="50"/>
      <c r="D8" s="50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1:18" x14ac:dyDescent="0.55000000000000004">
      <c r="B9" s="74" t="s">
        <v>14</v>
      </c>
      <c r="F9" s="74" t="s">
        <v>15</v>
      </c>
      <c r="J9" s="74" t="s">
        <v>16</v>
      </c>
      <c r="N9" s="74" t="s">
        <v>17</v>
      </c>
    </row>
    <row r="10" spans="1:18" x14ac:dyDescent="0.55000000000000004">
      <c r="B10" s="45" t="s">
        <v>1</v>
      </c>
      <c r="D10" s="75">
        <v>2</v>
      </c>
      <c r="F10" s="45" t="s">
        <v>18</v>
      </c>
      <c r="H10" s="76">
        <v>-0.02</v>
      </c>
      <c r="N10" s="45" t="s">
        <v>18</v>
      </c>
      <c r="P10" s="76">
        <v>0.04</v>
      </c>
    </row>
    <row r="11" spans="1:18" x14ac:dyDescent="0.55000000000000004">
      <c r="B11" s="45" t="s">
        <v>19</v>
      </c>
      <c r="D11" s="75">
        <v>2</v>
      </c>
      <c r="F11" s="45" t="s">
        <v>20</v>
      </c>
      <c r="H11" s="77">
        <v>0.02</v>
      </c>
      <c r="J11" s="45" t="s">
        <v>20</v>
      </c>
      <c r="L11" s="76">
        <f>N21-1%</f>
        <v>7.4028970038649403E-2</v>
      </c>
      <c r="N11" s="45" t="s">
        <v>20</v>
      </c>
      <c r="P11" s="77">
        <v>0.11</v>
      </c>
    </row>
    <row r="12" spans="1:18" x14ac:dyDescent="0.55000000000000004">
      <c r="B12" s="45" t="s">
        <v>21</v>
      </c>
      <c r="D12" s="75">
        <v>2</v>
      </c>
      <c r="F12" s="45" t="s">
        <v>22</v>
      </c>
      <c r="H12" s="76">
        <v>-5.0000000000000001E-3</v>
      </c>
      <c r="N12" s="45" t="s">
        <v>22</v>
      </c>
      <c r="P12" s="76">
        <v>5.0000000000000001E-3</v>
      </c>
    </row>
    <row r="13" spans="1:18" x14ac:dyDescent="0.55000000000000004">
      <c r="B13" s="45" t="s">
        <v>23</v>
      </c>
      <c r="D13" s="75">
        <v>2</v>
      </c>
      <c r="F13" s="45" t="s">
        <v>24</v>
      </c>
      <c r="H13" s="76">
        <v>0.08</v>
      </c>
      <c r="J13" s="45" t="s">
        <v>24</v>
      </c>
      <c r="L13" s="76">
        <v>0.1</v>
      </c>
      <c r="N13" s="45" t="s">
        <v>24</v>
      </c>
      <c r="P13" s="76">
        <v>0.12</v>
      </c>
    </row>
    <row r="14" spans="1:18" x14ac:dyDescent="0.55000000000000004">
      <c r="F14" s="45" t="s">
        <v>21</v>
      </c>
      <c r="H14" s="76">
        <f>L14+0.5%</f>
        <v>0.10813146962458534</v>
      </c>
      <c r="J14" s="45" t="s">
        <v>21</v>
      </c>
      <c r="L14" s="76">
        <f>'DCF-Vestas'!T90</f>
        <v>0.10313146962458533</v>
      </c>
      <c r="N14" s="45" t="s">
        <v>21</v>
      </c>
      <c r="P14" s="76">
        <f>L14-1%</f>
        <v>9.3131469624585336E-2</v>
      </c>
    </row>
    <row r="15" spans="1:18" x14ac:dyDescent="0.55000000000000004">
      <c r="B15" s="45" t="s">
        <v>21</v>
      </c>
      <c r="D15" s="76">
        <f>CHOOSE(wacc,H14,L14,P14)</f>
        <v>0.10313146962458533</v>
      </c>
      <c r="F15" s="45" t="s">
        <v>23</v>
      </c>
      <c r="H15" s="76">
        <f>L15-0.5%</f>
        <v>0.02</v>
      </c>
      <c r="J15" s="45" t="s">
        <v>23</v>
      </c>
      <c r="L15" s="76">
        <v>2.5000000000000001E-2</v>
      </c>
      <c r="N15" s="45" t="s">
        <v>23</v>
      </c>
      <c r="P15" s="76">
        <f>L15+0.5%</f>
        <v>3.0000000000000002E-2</v>
      </c>
    </row>
    <row r="16" spans="1:18" x14ac:dyDescent="0.55000000000000004">
      <c r="B16" s="45" t="s">
        <v>23</v>
      </c>
      <c r="D16" s="76">
        <f>CHOOSE(tgr,H15,L15,P15)</f>
        <v>2.5000000000000001E-2</v>
      </c>
    </row>
    <row r="18" spans="1:14" hidden="1" outlineLevel="1" x14ac:dyDescent="0.55000000000000004">
      <c r="G18" s="45" t="s">
        <v>25</v>
      </c>
      <c r="I18" s="45" t="s">
        <v>26</v>
      </c>
    </row>
    <row r="19" spans="1:14" hidden="1" outlineLevel="1" x14ac:dyDescent="0.55000000000000004">
      <c r="A19" s="45" t="s">
        <v>6</v>
      </c>
      <c r="B19" s="49" t="s">
        <v>27</v>
      </c>
      <c r="C19" s="50"/>
      <c r="D19" s="50"/>
      <c r="E19" s="49">
        <v>2018</v>
      </c>
      <c r="F19" s="49">
        <f t="shared" ref="F19:N19" si="0">E19+1</f>
        <v>2019</v>
      </c>
      <c r="G19" s="49">
        <f t="shared" si="0"/>
        <v>2020</v>
      </c>
      <c r="H19" s="49">
        <f t="shared" si="0"/>
        <v>2021</v>
      </c>
      <c r="I19" s="51">
        <f t="shared" si="0"/>
        <v>2022</v>
      </c>
      <c r="J19" s="49">
        <f t="shared" si="0"/>
        <v>2023</v>
      </c>
      <c r="K19" s="49">
        <f t="shared" si="0"/>
        <v>2024</v>
      </c>
      <c r="L19" s="49">
        <f t="shared" si="0"/>
        <v>2025</v>
      </c>
      <c r="M19" s="49">
        <f t="shared" si="0"/>
        <v>2026</v>
      </c>
      <c r="N19" s="49">
        <f t="shared" si="0"/>
        <v>2027</v>
      </c>
    </row>
    <row r="20" spans="1:14" s="78" customFormat="1" hidden="1" outlineLevel="1" x14ac:dyDescent="0.55000000000000004">
      <c r="B20" s="78" t="s">
        <v>1</v>
      </c>
      <c r="E20" s="79">
        <f>'Vestas Input_morningstar'!L27</f>
        <v>10134</v>
      </c>
      <c r="F20" s="79">
        <f>'Vestas Input_morningstar'!M27</f>
        <v>12147</v>
      </c>
      <c r="G20" s="79">
        <f>'Vestas Input_morningstar'!N27</f>
        <v>14819</v>
      </c>
      <c r="H20" s="79">
        <f>'Vestas Input_morningstar'!O27</f>
        <v>15587</v>
      </c>
      <c r="I20" s="80">
        <f>'Vestas Input_morningstar'!P27</f>
        <v>14486</v>
      </c>
      <c r="J20" s="79">
        <f>'Vestas Input_morningstar'!Q27</f>
        <v>15302.771878592828</v>
      </c>
      <c r="K20" s="79">
        <f>'Vestas Input_morningstar'!R27</f>
        <v>18812.027437940502</v>
      </c>
      <c r="L20" s="79">
        <f>'Vestas Input_morningstar'!S27</f>
        <v>24073.291302586356</v>
      </c>
      <c r="M20" s="81">
        <f>'Vestas Input_morningstar'!T27</f>
        <v>27998.48051102406</v>
      </c>
      <c r="N20" s="81">
        <f>'Vestas Input_morningstar'!U27</f>
        <v>30351.16399101261</v>
      </c>
    </row>
    <row r="21" spans="1:14" s="78" customFormat="1" hidden="1" outlineLevel="1" x14ac:dyDescent="0.55000000000000004">
      <c r="B21" s="82" t="s">
        <v>2</v>
      </c>
      <c r="E21" s="83"/>
      <c r="F21" s="83">
        <f>F20/E20-1</f>
        <v>0.19863824748371828</v>
      </c>
      <c r="G21" s="83">
        <f t="shared" ref="G21:N21" si="1">G20/F20-1</f>
        <v>0.2199720095496831</v>
      </c>
      <c r="H21" s="83">
        <f t="shared" si="1"/>
        <v>5.1825359335987642E-2</v>
      </c>
      <c r="I21" s="84">
        <f t="shared" si="1"/>
        <v>-7.0635786232116526E-2</v>
      </c>
      <c r="J21" s="85">
        <f t="shared" si="1"/>
        <v>5.6383534349912168E-2</v>
      </c>
      <c r="K21" s="83">
        <f t="shared" si="1"/>
        <v>0.22932156260244585</v>
      </c>
      <c r="L21" s="83">
        <f t="shared" si="1"/>
        <v>0.27967553640894782</v>
      </c>
      <c r="M21" s="86">
        <f t="shared" si="1"/>
        <v>0.16305162260949313</v>
      </c>
      <c r="N21" s="87">
        <f t="shared" si="1"/>
        <v>8.4028970038649398E-2</v>
      </c>
    </row>
    <row r="22" spans="1:14" s="78" customFormat="1" hidden="1" outlineLevel="1" x14ac:dyDescent="0.55000000000000004">
      <c r="B22" s="88"/>
      <c r="I22" s="89"/>
    </row>
    <row r="23" spans="1:14" s="78" customFormat="1" hidden="1" outlineLevel="1" x14ac:dyDescent="0.55000000000000004">
      <c r="B23" s="78" t="s">
        <v>19</v>
      </c>
      <c r="E23" s="79">
        <f>'Vestas Input_morningstar'!L46</f>
        <v>1013</v>
      </c>
      <c r="F23" s="79">
        <f>'Vestas Input_morningstar'!M46</f>
        <v>1118</v>
      </c>
      <c r="G23" s="79">
        <f>'Vestas Input_morningstar'!N46</f>
        <v>1165</v>
      </c>
      <c r="H23" s="79">
        <f>'Vestas Input_morningstar'!O46</f>
        <v>704</v>
      </c>
      <c r="I23" s="80">
        <f>'Vestas Input_morningstar'!P46</f>
        <v>-1142</v>
      </c>
      <c r="J23" s="79">
        <f>'Vestas Input_morningstar'!Q46</f>
        <v>-473.06017316820999</v>
      </c>
      <c r="K23" s="79">
        <f>'Vestas Input_morningstar'!R46</f>
        <v>474.71889094675771</v>
      </c>
      <c r="L23" s="79">
        <f>'Vestas Input_morningstar'!S46</f>
        <v>1085.3694501606244</v>
      </c>
      <c r="M23" s="81">
        <f>'Vestas Input_morningstar'!T46</f>
        <v>1666.2167122173951</v>
      </c>
      <c r="N23" s="81">
        <f>'Vestas Input_morningstar'!U46</f>
        <v>2063.0224612761135</v>
      </c>
    </row>
    <row r="24" spans="1:14" s="78" customFormat="1" hidden="1" outlineLevel="1" x14ac:dyDescent="0.55000000000000004">
      <c r="B24" s="82" t="s">
        <v>28</v>
      </c>
      <c r="E24" s="83">
        <f t="shared" ref="E24:N24" si="2">E23/E20</f>
        <v>9.9960528912571539E-2</v>
      </c>
      <c r="F24" s="83">
        <f t="shared" si="2"/>
        <v>9.2039186630443734E-2</v>
      </c>
      <c r="G24" s="83">
        <f t="shared" si="2"/>
        <v>7.8615291180241575E-2</v>
      </c>
      <c r="H24" s="83">
        <f t="shared" si="2"/>
        <v>4.5165843330980948E-2</v>
      </c>
      <c r="I24" s="84">
        <f t="shared" si="2"/>
        <v>-7.8834736987436149E-2</v>
      </c>
      <c r="J24" s="85">
        <f t="shared" si="2"/>
        <v>-3.0913365037479105E-2</v>
      </c>
      <c r="K24" s="83">
        <f t="shared" si="2"/>
        <v>2.5234860650337688E-2</v>
      </c>
      <c r="L24" s="83">
        <f t="shared" si="2"/>
        <v>4.5086043138771632E-2</v>
      </c>
      <c r="M24" s="86">
        <f t="shared" si="2"/>
        <v>5.9510969231396059E-2</v>
      </c>
      <c r="N24" s="86">
        <f t="shared" si="2"/>
        <v>6.7971774060691784E-2</v>
      </c>
    </row>
    <row r="25" spans="1:14" s="78" customFormat="1" hidden="1" outlineLevel="1" x14ac:dyDescent="0.55000000000000004">
      <c r="I25" s="89"/>
    </row>
    <row r="26" spans="1:14" s="78" customFormat="1" hidden="1" outlineLevel="1" x14ac:dyDescent="0.55000000000000004">
      <c r="B26" s="78" t="s">
        <v>29</v>
      </c>
      <c r="E26" s="79">
        <f>'Vestas Input_morningstar'!L64</f>
        <v>227</v>
      </c>
      <c r="F26" s="79">
        <f>'Vestas Input_morningstar'!M64</f>
        <v>209</v>
      </c>
      <c r="G26" s="79">
        <f>'Vestas Input_morningstar'!N64</f>
        <v>163</v>
      </c>
      <c r="H26" s="79">
        <f>'Vestas Input_morningstar'!O64</f>
        <v>81</v>
      </c>
      <c r="I26" s="80">
        <f>'Vestas Input_morningstar'!P64</f>
        <v>-124</v>
      </c>
      <c r="J26" s="79">
        <f>'Vestas Input_morningstar'!Q64</f>
        <v>-56.773238097006988</v>
      </c>
      <c r="K26" s="79">
        <f>'Vestas Input_morningstar'!R64</f>
        <v>151.7381560082865</v>
      </c>
      <c r="L26" s="79">
        <f>'Vestas Input_morningstar'!S64</f>
        <v>286.08127903533682</v>
      </c>
      <c r="M26" s="79">
        <f>'Vestas Input_morningstar'!T64</f>
        <v>413.86767668782608</v>
      </c>
      <c r="N26" s="79">
        <f>'Vestas Input_morningstar'!U64</f>
        <v>501.16494148074327</v>
      </c>
    </row>
    <row r="27" spans="1:14" s="78" customFormat="1" hidden="1" outlineLevel="1" x14ac:dyDescent="0.55000000000000004">
      <c r="B27" s="82" t="s">
        <v>30</v>
      </c>
      <c r="E27" s="83">
        <f t="shared" ref="E27:N27" si="3">E26/E23</f>
        <v>0.22408687068114511</v>
      </c>
      <c r="F27" s="83">
        <f t="shared" si="3"/>
        <v>0.18694096601073346</v>
      </c>
      <c r="G27" s="83">
        <f t="shared" si="3"/>
        <v>0.13991416309012875</v>
      </c>
      <c r="H27" s="83">
        <f t="shared" si="3"/>
        <v>0.11505681818181818</v>
      </c>
      <c r="I27" s="84">
        <f t="shared" si="3"/>
        <v>0.10858143607705779</v>
      </c>
      <c r="J27" s="85">
        <f t="shared" si="3"/>
        <v>0.12001271998186085</v>
      </c>
      <c r="K27" s="83">
        <f t="shared" si="3"/>
        <v>0.31963791393611246</v>
      </c>
      <c r="L27" s="83">
        <f t="shared" si="3"/>
        <v>0.26357963087407654</v>
      </c>
      <c r="M27" s="83">
        <f t="shared" si="3"/>
        <v>0.24838766389340344</v>
      </c>
      <c r="N27" s="83">
        <f t="shared" si="3"/>
        <v>0.24292752545735258</v>
      </c>
    </row>
    <row r="28" spans="1:14" s="78" customFormat="1" hidden="1" outlineLevel="1" x14ac:dyDescent="0.55000000000000004">
      <c r="I28" s="89"/>
    </row>
    <row r="29" spans="1:14" hidden="1" outlineLevel="1" x14ac:dyDescent="0.55000000000000004">
      <c r="A29" s="45" t="s">
        <v>6</v>
      </c>
      <c r="B29" s="49" t="s">
        <v>31</v>
      </c>
      <c r="C29" s="50"/>
      <c r="D29" s="50"/>
      <c r="E29" s="49">
        <v>2018</v>
      </c>
      <c r="F29" s="49">
        <f t="shared" ref="F29:N29" si="4">E29+1</f>
        <v>2019</v>
      </c>
      <c r="G29" s="49">
        <f t="shared" si="4"/>
        <v>2020</v>
      </c>
      <c r="H29" s="49">
        <f t="shared" si="4"/>
        <v>2021</v>
      </c>
      <c r="I29" s="51">
        <f t="shared" si="4"/>
        <v>2022</v>
      </c>
      <c r="J29" s="49">
        <f t="shared" si="4"/>
        <v>2023</v>
      </c>
      <c r="K29" s="49">
        <f t="shared" si="4"/>
        <v>2024</v>
      </c>
      <c r="L29" s="49">
        <f t="shared" si="4"/>
        <v>2025</v>
      </c>
      <c r="M29" s="49">
        <f t="shared" si="4"/>
        <v>2026</v>
      </c>
      <c r="N29" s="49">
        <f t="shared" si="4"/>
        <v>2027</v>
      </c>
    </row>
    <row r="30" spans="1:14" s="78" customFormat="1" hidden="1" outlineLevel="1" x14ac:dyDescent="0.55000000000000004">
      <c r="B30" s="78" t="s">
        <v>32</v>
      </c>
      <c r="E30" s="79">
        <f>'Vestas Input_morningstar'!L177+'Vestas Input_morningstar'!L180</f>
        <v>426</v>
      </c>
      <c r="F30" s="79">
        <f>'Vestas Input_morningstar'!M177+'Vestas Input_morningstar'!M180</f>
        <v>546</v>
      </c>
      <c r="G30" s="79">
        <f>'Vestas Input_morningstar'!N177+'Vestas Input_morningstar'!N180</f>
        <v>630</v>
      </c>
      <c r="H30" s="79">
        <f>'Vestas Input_morningstar'!O177+'Vestas Input_morningstar'!O180</f>
        <v>921</v>
      </c>
      <c r="I30" s="80">
        <f>'Vestas Input_morningstar'!P177+'Vestas Input_morningstar'!P180</f>
        <v>899</v>
      </c>
      <c r="J30" s="79">
        <f>'Vestas Input_morningstar'!Q177+'Vestas Input_morningstar'!Q180</f>
        <v>937.11087514371309</v>
      </c>
      <c r="K30" s="79">
        <f>'Vestas Input_morningstar'!R177+'Vestas Input_morningstar'!R180</f>
        <v>1077.4810975176199</v>
      </c>
      <c r="L30" s="79">
        <f>'Vestas Input_morningstar'!S177+'Vestas Input_morningstar'!S180</f>
        <v>1287.9316521034541</v>
      </c>
      <c r="M30" s="81">
        <f>'Vestas Input_morningstar'!T177+'Vestas Input_morningstar'!T180</f>
        <v>1304.9468178858419</v>
      </c>
      <c r="N30" s="81">
        <f>'Vestas Input_morningstar'!U177+'Vestas Input_morningstar'!U180</f>
        <v>1387.2907396854412</v>
      </c>
    </row>
    <row r="31" spans="1:14" s="78" customFormat="1" hidden="1" outlineLevel="1" x14ac:dyDescent="0.55000000000000004">
      <c r="B31" s="90" t="s">
        <v>28</v>
      </c>
      <c r="E31" s="83">
        <f t="shared" ref="E31:N31" si="5">E30/E20</f>
        <v>4.2036708111308468E-2</v>
      </c>
      <c r="F31" s="83">
        <f t="shared" si="5"/>
        <v>4.4949370214867869E-2</v>
      </c>
      <c r="G31" s="83">
        <f t="shared" si="5"/>
        <v>4.2512990080302314E-2</v>
      </c>
      <c r="H31" s="83">
        <f t="shared" si="5"/>
        <v>5.9087701289536151E-2</v>
      </c>
      <c r="I31" s="84">
        <f t="shared" si="5"/>
        <v>6.2059919922683969E-2</v>
      </c>
      <c r="J31" s="85">
        <f t="shared" si="5"/>
        <v>6.1237982411189509E-2</v>
      </c>
      <c r="K31" s="83">
        <f t="shared" si="5"/>
        <v>5.7276181478692338E-2</v>
      </c>
      <c r="L31" s="83">
        <f t="shared" si="5"/>
        <v>5.350043896843814E-2</v>
      </c>
      <c r="M31" s="86">
        <f t="shared" si="5"/>
        <v>4.6607772781527737E-2</v>
      </c>
      <c r="N31" s="86">
        <f t="shared" si="5"/>
        <v>4.5707991301296935E-2</v>
      </c>
    </row>
    <row r="32" spans="1:14" s="78" customFormat="1" hidden="1" outlineLevel="1" x14ac:dyDescent="0.55000000000000004">
      <c r="B32" s="90" t="s">
        <v>33</v>
      </c>
      <c r="E32" s="83">
        <f>E30/E34</f>
        <v>1.3653846153846154</v>
      </c>
      <c r="F32" s="83">
        <f t="shared" ref="F32:N32" si="6">F30/F34</f>
        <v>1.2106430155210643</v>
      </c>
      <c r="G32" s="83">
        <f t="shared" si="6"/>
        <v>1.6622691292875988</v>
      </c>
      <c r="H32" s="83">
        <f t="shared" si="6"/>
        <v>1.9348739495798319</v>
      </c>
      <c r="I32" s="84">
        <f t="shared" si="6"/>
        <v>2.4231805929919137</v>
      </c>
      <c r="J32" s="85">
        <f t="shared" si="6"/>
        <v>1.5309495602797378</v>
      </c>
      <c r="K32" s="83">
        <f t="shared" si="6"/>
        <v>1.6364623279626382</v>
      </c>
      <c r="L32" s="83">
        <f t="shared" si="6"/>
        <v>1.5285839705268041</v>
      </c>
      <c r="M32" s="86">
        <f t="shared" si="6"/>
        <v>1.3316506509007926</v>
      </c>
      <c r="N32" s="86">
        <f t="shared" si="6"/>
        <v>1.5235997100432315</v>
      </c>
    </row>
    <row r="33" spans="1:27" s="78" customFormat="1" hidden="1" outlineLevel="1" x14ac:dyDescent="0.55000000000000004">
      <c r="E33" s="91"/>
      <c r="F33" s="91"/>
      <c r="G33" s="91"/>
      <c r="H33" s="91"/>
      <c r="I33" s="92"/>
      <c r="J33" s="91"/>
      <c r="K33" s="91"/>
      <c r="L33" s="91"/>
      <c r="M33" s="91"/>
      <c r="N33" s="91"/>
    </row>
    <row r="34" spans="1:27" s="78" customFormat="1" hidden="1" outlineLevel="1" x14ac:dyDescent="0.55000000000000004">
      <c r="B34" s="78" t="s">
        <v>34</v>
      </c>
      <c r="E34" s="79">
        <f>-'Vestas Input_morningstar'!L197</f>
        <v>312</v>
      </c>
      <c r="F34" s="79">
        <f>-'Vestas Input_morningstar'!M197</f>
        <v>451</v>
      </c>
      <c r="G34" s="79">
        <f>-'Vestas Input_morningstar'!N197</f>
        <v>379</v>
      </c>
      <c r="H34" s="79">
        <f>-'Vestas Input_morningstar'!O197</f>
        <v>476</v>
      </c>
      <c r="I34" s="47">
        <f>-'Vestas Input_morningstar'!P197</f>
        <v>371</v>
      </c>
      <c r="J34" s="79">
        <f>-'Vestas Input_morningstar'!Q197</f>
        <v>612.11087514371309</v>
      </c>
      <c r="K34" s="79">
        <f>-'Vestas Input_morningstar'!R197</f>
        <v>658.42096032791756</v>
      </c>
      <c r="L34" s="79">
        <f>-'Vestas Input_morningstar'!S197</f>
        <v>842.56519559052242</v>
      </c>
      <c r="M34" s="81">
        <f>-'Vestas Input_morningstar'!T197</f>
        <v>979.94681788584205</v>
      </c>
      <c r="N34" s="81">
        <f>-'Vestas Input_morningstar'!U197</f>
        <v>910.53491973037808</v>
      </c>
    </row>
    <row r="35" spans="1:27" s="78" customFormat="1" hidden="1" outlineLevel="1" x14ac:dyDescent="0.55000000000000004">
      <c r="B35" s="90" t="s">
        <v>28</v>
      </c>
      <c r="E35" s="83">
        <f t="shared" ref="E35:N35" si="7">E34/E20</f>
        <v>3.078744819419775E-2</v>
      </c>
      <c r="F35" s="83">
        <f t="shared" si="7"/>
        <v>3.7128509096896356E-2</v>
      </c>
      <c r="G35" s="83">
        <f t="shared" si="7"/>
        <v>2.5575274984816789E-2</v>
      </c>
      <c r="H35" s="83">
        <f t="shared" si="7"/>
        <v>3.0538269070379161E-2</v>
      </c>
      <c r="I35" s="84">
        <f t="shared" si="7"/>
        <v>2.5610934695568136E-2</v>
      </c>
      <c r="J35" s="85">
        <f t="shared" si="7"/>
        <v>3.9999999999999994E-2</v>
      </c>
      <c r="K35" s="83">
        <f t="shared" si="7"/>
        <v>3.4999999999999996E-2</v>
      </c>
      <c r="L35" s="83">
        <f t="shared" si="7"/>
        <v>3.4999999999999996E-2</v>
      </c>
      <c r="M35" s="86">
        <f t="shared" si="7"/>
        <v>3.4999999999999996E-2</v>
      </c>
      <c r="N35" s="86">
        <f t="shared" si="7"/>
        <v>2.9999999999999992E-2</v>
      </c>
    </row>
    <row r="36" spans="1:27" s="78" customFormat="1" hidden="1" outlineLevel="1" x14ac:dyDescent="0.55000000000000004">
      <c r="E36" s="91"/>
      <c r="F36" s="91"/>
      <c r="G36" s="91"/>
      <c r="H36" s="91"/>
      <c r="I36" s="92"/>
      <c r="J36" s="91"/>
      <c r="K36" s="91"/>
      <c r="L36" s="91"/>
      <c r="M36" s="91"/>
      <c r="N36" s="91"/>
    </row>
    <row r="37" spans="1:27" s="78" customFormat="1" hidden="1" outlineLevel="1" x14ac:dyDescent="0.55000000000000004">
      <c r="B37" s="78" t="s">
        <v>35</v>
      </c>
      <c r="E37" s="93">
        <f>-'Vestas Input_morningstar'!L274</f>
        <v>169</v>
      </c>
      <c r="F37" s="93">
        <f>-'Vestas Input_morningstar'!M274</f>
        <v>437</v>
      </c>
      <c r="G37" s="93">
        <f>-'Vestas Input_morningstar'!N274</f>
        <v>588</v>
      </c>
      <c r="H37" s="93">
        <f>-'Vestas Input_morningstar'!O274</f>
        <v>-9</v>
      </c>
      <c r="I37" s="94">
        <f>-'Vestas Input_morningstar'!P274</f>
        <v>192</v>
      </c>
      <c r="J37" s="91"/>
      <c r="K37" s="91"/>
      <c r="L37" s="91"/>
      <c r="M37" s="91"/>
      <c r="N37" s="91"/>
    </row>
    <row r="38" spans="1:27" s="78" customFormat="1" hidden="1" outlineLevel="1" x14ac:dyDescent="0.55000000000000004">
      <c r="B38" s="90" t="s">
        <v>28</v>
      </c>
      <c r="E38" s="95">
        <f>E37/E20</f>
        <v>1.6676534438523783E-2</v>
      </c>
      <c r="F38" s="95">
        <f>F37/F20</f>
        <v>3.5975961142668975E-2</v>
      </c>
      <c r="G38" s="95">
        <f>G37/G20</f>
        <v>3.9678790741615497E-2</v>
      </c>
      <c r="H38" s="95">
        <f>H37/H20</f>
        <v>-5.7740424712901777E-4</v>
      </c>
      <c r="I38" s="96">
        <f>I37/I20</f>
        <v>1.3254176446223941E-2</v>
      </c>
      <c r="J38" s="85"/>
      <c r="K38" s="83"/>
      <c r="L38" s="83"/>
      <c r="M38" s="83"/>
      <c r="N38" s="83"/>
    </row>
    <row r="39" spans="1:27" s="78" customFormat="1" hidden="1" outlineLevel="1" x14ac:dyDescent="0.55000000000000004">
      <c r="B39" s="90" t="s">
        <v>36</v>
      </c>
      <c r="E39" s="95"/>
      <c r="F39" s="95">
        <f>F37/(F20-E20)</f>
        <v>0.21708892200695479</v>
      </c>
      <c r="G39" s="95">
        <f>G37/(G20-F20)</f>
        <v>0.22005988023952097</v>
      </c>
      <c r="H39" s="95">
        <f>H37/(H20-G20)</f>
        <v>-1.171875E-2</v>
      </c>
      <c r="I39" s="96">
        <f>I37/(I20-H20)</f>
        <v>-0.17438692098092642</v>
      </c>
      <c r="J39" s="85"/>
      <c r="K39" s="83"/>
      <c r="L39" s="83"/>
      <c r="M39" s="83"/>
      <c r="N39" s="83"/>
    </row>
    <row r="40" spans="1:27" s="78" customFormat="1" hidden="1" outlineLevel="1" x14ac:dyDescent="0.55000000000000004">
      <c r="B40" s="90"/>
      <c r="E40" s="95"/>
      <c r="F40" s="95"/>
      <c r="G40" s="95"/>
      <c r="H40" s="95"/>
      <c r="I40" s="96"/>
      <c r="J40" s="85"/>
      <c r="K40" s="83"/>
      <c r="L40" s="83"/>
      <c r="M40" s="83"/>
      <c r="N40" s="83"/>
    </row>
    <row r="41" spans="1:27" collapsed="1" x14ac:dyDescent="0.55000000000000004">
      <c r="I41" s="97"/>
      <c r="J41" s="45">
        <v>1</v>
      </c>
      <c r="K41" s="45">
        <f>J41+1</f>
        <v>2</v>
      </c>
      <c r="L41" s="45">
        <f>K41+1</f>
        <v>3</v>
      </c>
      <c r="M41" s="45">
        <f>L41+1</f>
        <v>4</v>
      </c>
      <c r="N41" s="45">
        <f>M41+1</f>
        <v>5</v>
      </c>
    </row>
    <row r="42" spans="1:27" x14ac:dyDescent="0.55000000000000004">
      <c r="A42" s="45" t="s">
        <v>6</v>
      </c>
      <c r="B42" s="49" t="s">
        <v>0</v>
      </c>
      <c r="C42" s="50"/>
      <c r="D42" s="50"/>
      <c r="E42" s="49">
        <f t="shared" ref="E42:N42" si="8">E29</f>
        <v>2018</v>
      </c>
      <c r="F42" s="49">
        <f t="shared" si="8"/>
        <v>2019</v>
      </c>
      <c r="G42" s="49">
        <f t="shared" si="8"/>
        <v>2020</v>
      </c>
      <c r="H42" s="49">
        <f t="shared" si="8"/>
        <v>2021</v>
      </c>
      <c r="I42" s="51">
        <f t="shared" si="8"/>
        <v>2022</v>
      </c>
      <c r="J42" s="49">
        <f t="shared" si="8"/>
        <v>2023</v>
      </c>
      <c r="K42" s="49">
        <f t="shared" si="8"/>
        <v>2024</v>
      </c>
      <c r="L42" s="49">
        <f t="shared" si="8"/>
        <v>2025</v>
      </c>
      <c r="M42" s="49">
        <f t="shared" si="8"/>
        <v>2026</v>
      </c>
      <c r="N42" s="49">
        <f t="shared" si="8"/>
        <v>2027</v>
      </c>
      <c r="O42" s="49" t="s">
        <v>59</v>
      </c>
      <c r="P42" s="49" t="s">
        <v>60</v>
      </c>
    </row>
    <row r="43" spans="1:27" x14ac:dyDescent="0.55000000000000004">
      <c r="B43" s="45" t="s">
        <v>1</v>
      </c>
      <c r="E43" s="392">
        <f>E20</f>
        <v>10134</v>
      </c>
      <c r="F43" s="392">
        <f>F20</f>
        <v>12147</v>
      </c>
      <c r="G43" s="392">
        <f>G20</f>
        <v>14819</v>
      </c>
      <c r="H43" s="392">
        <f>H20</f>
        <v>15587</v>
      </c>
      <c r="I43" s="394">
        <f>I20</f>
        <v>14486</v>
      </c>
      <c r="J43" s="392">
        <f ca="1">I43*(1+J44)</f>
        <v>15302.771878592828</v>
      </c>
      <c r="K43" s="392">
        <f ca="1">J43*(1+K44)</f>
        <v>18658.999719154574</v>
      </c>
      <c r="L43" s="392">
        <f ca="1">K43*(1+L44)</f>
        <v>23690.875477271991</v>
      </c>
      <c r="M43" s="392">
        <f ca="1">L43*(1+M44)</f>
        <v>27762.205808885621</v>
      </c>
      <c r="N43" s="392">
        <f ca="1">M43*(1+N44)</f>
        <v>29817.413310918433</v>
      </c>
      <c r="O43" s="370">
        <f>((I43/E43)^(1/4))-1</f>
        <v>9.343229098548389E-2</v>
      </c>
      <c r="P43" s="370">
        <f ca="1">((N43/J43)^(1/4))-1</f>
        <v>0.18147616673884515</v>
      </c>
    </row>
    <row r="44" spans="1:27" x14ac:dyDescent="0.55000000000000004">
      <c r="B44" s="376" t="s">
        <v>2</v>
      </c>
      <c r="C44" s="377"/>
      <c r="D44" s="377"/>
      <c r="E44" s="395"/>
      <c r="F44" s="395">
        <f>F43/E43-1</f>
        <v>0.19863824748371828</v>
      </c>
      <c r="G44" s="395">
        <f>G43/F43-1</f>
        <v>0.2199720095496831</v>
      </c>
      <c r="H44" s="395">
        <f>H43/G43-1</f>
        <v>5.1825359335987642E-2</v>
      </c>
      <c r="I44" s="396">
        <f>I43/H43-1</f>
        <v>-7.0635786232116526E-2</v>
      </c>
      <c r="J44" s="397">
        <f ca="1">OFFSET(J44,$D$10,0)</f>
        <v>5.6383534349912168E-2</v>
      </c>
      <c r="K44" s="395">
        <f ca="1">OFFSET(K44,$D$10,0)</f>
        <v>0.21932156260244584</v>
      </c>
      <c r="L44" s="395">
        <f ca="1">OFFSET(L44,$D$10,0)</f>
        <v>0.26967553640894781</v>
      </c>
      <c r="M44" s="395">
        <f ca="1">OFFSET(M44,$D$10,0)</f>
        <v>0.1718522532237986</v>
      </c>
      <c r="N44" s="395">
        <f ca="1">OFFSET(N44,$D$10,0)</f>
        <v>7.4028970038649403E-2</v>
      </c>
      <c r="U44" s="78"/>
      <c r="Y44" s="63"/>
      <c r="Z44" s="63"/>
      <c r="AA44" s="63"/>
    </row>
    <row r="45" spans="1:27" hidden="1" outlineLevel="1" x14ac:dyDescent="0.55000000000000004">
      <c r="B45" s="55" t="s">
        <v>15</v>
      </c>
      <c r="E45" s="398"/>
      <c r="F45" s="398"/>
      <c r="G45" s="398"/>
      <c r="H45" s="398"/>
      <c r="I45" s="399"/>
      <c r="J45" s="400">
        <f>J46</f>
        <v>5.6383534349912168E-2</v>
      </c>
      <c r="K45" s="400">
        <f>K46+$H$10</f>
        <v>0.19932156260244585</v>
      </c>
      <c r="L45" s="400">
        <f>L46+$H$10</f>
        <v>0.24967553640894782</v>
      </c>
      <c r="M45" s="400">
        <f>L45-(L45-$N$45)/($N$42-L42)</f>
        <v>0.13483776820447391</v>
      </c>
      <c r="N45" s="400">
        <f>H11</f>
        <v>0.02</v>
      </c>
      <c r="U45" s="78"/>
      <c r="Y45" s="63"/>
      <c r="Z45" s="63"/>
      <c r="AA45" s="63"/>
    </row>
    <row r="46" spans="1:27" hidden="1" outlineLevel="1" x14ac:dyDescent="0.55000000000000004">
      <c r="B46" s="55" t="s">
        <v>37</v>
      </c>
      <c r="E46" s="398"/>
      <c r="F46" s="398"/>
      <c r="G46" s="398"/>
      <c r="H46" s="398"/>
      <c r="I46" s="399"/>
      <c r="J46" s="401">
        <f>J21</f>
        <v>5.6383534349912168E-2</v>
      </c>
      <c r="K46" s="401">
        <f>K21-1%</f>
        <v>0.21932156260244584</v>
      </c>
      <c r="L46" s="401">
        <f>L21-1%</f>
        <v>0.26967553640894781</v>
      </c>
      <c r="M46" s="401">
        <f>L46-(L46-$N$46)/($N$42-L42)</f>
        <v>0.1718522532237986</v>
      </c>
      <c r="N46" s="401">
        <f>L11</f>
        <v>7.4028970038649403E-2</v>
      </c>
      <c r="U46" s="78"/>
      <c r="Y46" s="63"/>
      <c r="Z46" s="63"/>
      <c r="AA46" s="63"/>
    </row>
    <row r="47" spans="1:27" hidden="1" outlineLevel="1" x14ac:dyDescent="0.55000000000000004">
      <c r="B47" s="55" t="s">
        <v>38</v>
      </c>
      <c r="E47" s="398"/>
      <c r="F47" s="398"/>
      <c r="G47" s="398"/>
      <c r="H47" s="398"/>
      <c r="I47" s="399"/>
      <c r="J47" s="401">
        <f>J46</f>
        <v>5.6383534349912168E-2</v>
      </c>
      <c r="K47" s="401">
        <f>K46+$P$10</f>
        <v>0.25932156260244582</v>
      </c>
      <c r="L47" s="401">
        <f>L46+$P$10</f>
        <v>0.30967553640894779</v>
      </c>
      <c r="M47" s="401">
        <f>L47-(L47-$N$47)/($N$42-L42)</f>
        <v>0.20983776820447389</v>
      </c>
      <c r="N47" s="401">
        <f>P11</f>
        <v>0.11</v>
      </c>
      <c r="U47" s="78"/>
      <c r="Y47" s="63"/>
      <c r="Z47" s="63"/>
      <c r="AA47" s="63"/>
    </row>
    <row r="48" spans="1:27" hidden="1" outlineLevel="1" x14ac:dyDescent="0.55000000000000004">
      <c r="E48" s="22"/>
      <c r="F48" s="22"/>
      <c r="G48" s="22"/>
      <c r="H48" s="22"/>
      <c r="I48" s="402"/>
      <c r="J48" s="22"/>
      <c r="K48" s="22"/>
      <c r="L48" s="22"/>
      <c r="M48" s="22"/>
      <c r="N48" s="22"/>
      <c r="Y48" s="63"/>
      <c r="Z48" s="63"/>
      <c r="AA48" s="63"/>
    </row>
    <row r="49" spans="1:30" collapsed="1" x14ac:dyDescent="0.55000000000000004">
      <c r="B49" s="45" t="s">
        <v>19</v>
      </c>
      <c r="E49" s="392">
        <f>E23</f>
        <v>1013</v>
      </c>
      <c r="F49" s="408">
        <f>F23</f>
        <v>1118</v>
      </c>
      <c r="G49" s="408">
        <f>G23</f>
        <v>1165</v>
      </c>
      <c r="H49" s="408">
        <f>H23</f>
        <v>704</v>
      </c>
      <c r="I49" s="409">
        <f>I23</f>
        <v>-1142</v>
      </c>
      <c r="J49" s="408">
        <f ca="1">J50*J43</f>
        <v>-473.06017316820999</v>
      </c>
      <c r="K49" s="408">
        <f ca="1">K50*K43</f>
        <v>377.56225919178286</v>
      </c>
      <c r="L49" s="408">
        <f ca="1">L50*L43</f>
        <v>1068.127833763552</v>
      </c>
      <c r="M49" s="408">
        <f ca="1">M50*M43</f>
        <v>2013.9542948077178</v>
      </c>
      <c r="N49" s="408">
        <f ca="1">N50*N43</f>
        <v>2981.7413310918437</v>
      </c>
      <c r="V49" s="102"/>
      <c r="W49" s="102"/>
      <c r="X49" s="102"/>
      <c r="Y49" s="102"/>
      <c r="Z49" s="102"/>
      <c r="AA49" s="102"/>
    </row>
    <row r="50" spans="1:30" x14ac:dyDescent="0.55000000000000004">
      <c r="B50" s="376" t="s">
        <v>39</v>
      </c>
      <c r="C50" s="377"/>
      <c r="D50" s="377"/>
      <c r="E50" s="395">
        <f>E49/E43</f>
        <v>9.9960528912571539E-2</v>
      </c>
      <c r="F50" s="395">
        <f>F49/F43</f>
        <v>9.2039186630443734E-2</v>
      </c>
      <c r="G50" s="395">
        <f>G49/G43</f>
        <v>7.8615291180241575E-2</v>
      </c>
      <c r="H50" s="395">
        <f>H49/H43</f>
        <v>4.5165843330980948E-2</v>
      </c>
      <c r="I50" s="396">
        <f>I49/I43</f>
        <v>-7.8834736987436149E-2</v>
      </c>
      <c r="J50" s="397">
        <f ca="1">OFFSET(J50,$D$11,0)</f>
        <v>-3.0913365037479105E-2</v>
      </c>
      <c r="K50" s="395">
        <f ca="1">OFFSET(K50,$D$11,0)</f>
        <v>2.0234860650337687E-2</v>
      </c>
      <c r="L50" s="395">
        <f ca="1">OFFSET(L50,$D$11,0)</f>
        <v>4.5086043138771632E-2</v>
      </c>
      <c r="M50" s="395">
        <f ca="1">OFFSET(M50,$D$11,0)</f>
        <v>7.2543021569385815E-2</v>
      </c>
      <c r="N50" s="395">
        <f ca="1">OFFSET(N50,$D$11,0)</f>
        <v>0.1</v>
      </c>
      <c r="V50" s="46"/>
      <c r="W50" s="46"/>
      <c r="X50" s="46"/>
      <c r="Y50" s="46"/>
      <c r="Z50" s="46"/>
      <c r="AA50" s="46"/>
    </row>
    <row r="51" spans="1:30" hidden="1" outlineLevel="1" x14ac:dyDescent="0.55000000000000004">
      <c r="B51" s="55" t="s">
        <v>15</v>
      </c>
      <c r="E51" s="398"/>
      <c r="F51" s="398"/>
      <c r="G51" s="398"/>
      <c r="H51" s="398"/>
      <c r="I51" s="399"/>
      <c r="J51" s="400">
        <f>J52</f>
        <v>-3.0913365037479105E-2</v>
      </c>
      <c r="K51" s="400">
        <f>K52+$H$12</f>
        <v>1.5234860650337686E-2</v>
      </c>
      <c r="L51" s="400">
        <f>L52+$H$12</f>
        <v>4.0086043138771635E-2</v>
      </c>
      <c r="M51" s="403">
        <f>$L51+($N51-$L51)/($N$42-$L$42)</f>
        <v>6.0043021569385818E-2</v>
      </c>
      <c r="N51" s="400">
        <f>H13</f>
        <v>0.08</v>
      </c>
      <c r="U51" s="78"/>
      <c r="Y51" s="63"/>
      <c r="Z51" s="63"/>
      <c r="AA51" s="63"/>
    </row>
    <row r="52" spans="1:30" hidden="1" outlineLevel="1" x14ac:dyDescent="0.55000000000000004">
      <c r="B52" s="55" t="s">
        <v>37</v>
      </c>
      <c r="E52" s="398"/>
      <c r="F52" s="398"/>
      <c r="G52" s="398"/>
      <c r="H52" s="398"/>
      <c r="I52" s="399"/>
      <c r="J52" s="401">
        <f>J24</f>
        <v>-3.0913365037479105E-2</v>
      </c>
      <c r="K52" s="401">
        <f>K24-0.5%</f>
        <v>2.0234860650337687E-2</v>
      </c>
      <c r="L52" s="401">
        <f>L24</f>
        <v>4.5086043138771632E-2</v>
      </c>
      <c r="M52" s="404">
        <f>$L52+($N52-$L52)/($N$42-$L$42)</f>
        <v>7.2543021569385815E-2</v>
      </c>
      <c r="N52" s="401">
        <v>0.1</v>
      </c>
      <c r="U52" s="78"/>
      <c r="Y52" s="63"/>
      <c r="Z52" s="63"/>
      <c r="AA52" s="63"/>
    </row>
    <row r="53" spans="1:30" hidden="1" outlineLevel="1" x14ac:dyDescent="0.55000000000000004">
      <c r="B53" s="55" t="s">
        <v>38</v>
      </c>
      <c r="E53" s="398"/>
      <c r="F53" s="398"/>
      <c r="G53" s="398"/>
      <c r="H53" s="398"/>
      <c r="I53" s="399"/>
      <c r="J53" s="401">
        <f>J52</f>
        <v>-3.0913365037479105E-2</v>
      </c>
      <c r="K53" s="401">
        <f>K52+$P$12</f>
        <v>2.5234860650337688E-2</v>
      </c>
      <c r="L53" s="401">
        <f>L52+$P$12</f>
        <v>5.008604313877163E-2</v>
      </c>
      <c r="M53" s="404">
        <f>$L53+($N53-$L53)/($N$42-$L$42)</f>
        <v>8.5043021569385813E-2</v>
      </c>
      <c r="N53" s="401">
        <f>P13</f>
        <v>0.12</v>
      </c>
      <c r="U53" s="78"/>
      <c r="Y53" s="63"/>
      <c r="Z53" s="63"/>
      <c r="AA53" s="63"/>
    </row>
    <row r="54" spans="1:30" hidden="1" outlineLevel="1" x14ac:dyDescent="0.55000000000000004">
      <c r="E54" s="22"/>
      <c r="F54" s="22"/>
      <c r="G54" s="22"/>
      <c r="H54" s="22"/>
      <c r="I54" s="402"/>
      <c r="J54" s="22"/>
      <c r="K54" s="393"/>
      <c r="L54" s="393"/>
      <c r="M54" s="22"/>
      <c r="N54" s="22"/>
      <c r="U54" s="78"/>
      <c r="Y54" s="91"/>
      <c r="Z54" s="91"/>
      <c r="AA54" s="91"/>
      <c r="AB54" s="78"/>
      <c r="AC54" s="78"/>
      <c r="AD54" s="78"/>
    </row>
    <row r="55" spans="1:30" collapsed="1" x14ac:dyDescent="0.55000000000000004">
      <c r="B55" s="45" t="s">
        <v>29</v>
      </c>
      <c r="E55" s="392">
        <f>E26</f>
        <v>227</v>
      </c>
      <c r="F55" s="392">
        <f t="shared" ref="F55:L55" si="9">F26</f>
        <v>209</v>
      </c>
      <c r="G55" s="392">
        <f t="shared" si="9"/>
        <v>163</v>
      </c>
      <c r="H55" s="392">
        <f t="shared" si="9"/>
        <v>81</v>
      </c>
      <c r="I55" s="394">
        <f t="shared" si="9"/>
        <v>-124</v>
      </c>
      <c r="J55" s="392">
        <f t="shared" si="9"/>
        <v>-56.773238097006988</v>
      </c>
      <c r="K55" s="392">
        <f t="shared" si="9"/>
        <v>151.7381560082865</v>
      </c>
      <c r="L55" s="392">
        <f t="shared" si="9"/>
        <v>286.08127903533682</v>
      </c>
      <c r="M55" s="392">
        <f ca="1">M56*M49</f>
        <v>501.30777118344213</v>
      </c>
      <c r="N55" s="392">
        <f ca="1">N56*N49</f>
        <v>685.80050615112407</v>
      </c>
      <c r="U55" s="78"/>
      <c r="Y55" s="91"/>
      <c r="Z55" s="91"/>
      <c r="AA55" s="91"/>
      <c r="AB55" s="78"/>
      <c r="AC55" s="78"/>
      <c r="AD55" s="78"/>
    </row>
    <row r="56" spans="1:30" hidden="1" outlineLevel="1" x14ac:dyDescent="0.55000000000000004">
      <c r="B56" s="55" t="s">
        <v>30</v>
      </c>
      <c r="E56" s="398">
        <f>E55/E49</f>
        <v>0.22408687068114511</v>
      </c>
      <c r="F56" s="398">
        <f t="shared" ref="F56:L56" si="10">F55/F49</f>
        <v>0.18694096601073346</v>
      </c>
      <c r="G56" s="398">
        <f t="shared" si="10"/>
        <v>0.13991416309012875</v>
      </c>
      <c r="H56" s="398">
        <f t="shared" si="10"/>
        <v>0.11505681818181818</v>
      </c>
      <c r="I56" s="399">
        <f t="shared" si="10"/>
        <v>0.10858143607705779</v>
      </c>
      <c r="J56" s="405">
        <f t="shared" ca="1" si="10"/>
        <v>0.12001271998186085</v>
      </c>
      <c r="K56" s="405">
        <f t="shared" ca="1" si="10"/>
        <v>0.40188909859025673</v>
      </c>
      <c r="L56" s="405">
        <f t="shared" ca="1" si="10"/>
        <v>0.26783430783497936</v>
      </c>
      <c r="M56" s="405">
        <f ca="1">L56-(L56-N56)/(N42-L42)</f>
        <v>0.2489171539174897</v>
      </c>
      <c r="N56" s="405">
        <v>0.23</v>
      </c>
      <c r="U56" s="78"/>
      <c r="Y56" s="106"/>
      <c r="Z56" s="106"/>
      <c r="AA56" s="106"/>
      <c r="AB56" s="78"/>
      <c r="AC56" s="78"/>
      <c r="AD56" s="78"/>
    </row>
    <row r="57" spans="1:30" hidden="1" outlineLevel="1" x14ac:dyDescent="0.55000000000000004">
      <c r="E57" s="22"/>
      <c r="F57" s="22"/>
      <c r="G57" s="22"/>
      <c r="H57" s="22"/>
      <c r="I57" s="402"/>
      <c r="J57" s="22"/>
      <c r="K57" s="22"/>
      <c r="L57" s="22"/>
      <c r="M57" s="22"/>
      <c r="N57" s="22"/>
      <c r="U57" s="78"/>
      <c r="Y57" s="107"/>
      <c r="Z57" s="107"/>
      <c r="AA57" s="107"/>
      <c r="AB57" s="107"/>
      <c r="AC57" s="107"/>
      <c r="AD57" s="107"/>
    </row>
    <row r="58" spans="1:30" collapsed="1" x14ac:dyDescent="0.55000000000000004">
      <c r="A58" s="45" t="s">
        <v>6</v>
      </c>
      <c r="B58" s="108" t="s">
        <v>40</v>
      </c>
      <c r="C58" s="109"/>
      <c r="D58" s="109"/>
      <c r="E58" s="630">
        <f>E49-E55</f>
        <v>786</v>
      </c>
      <c r="F58" s="630">
        <f t="shared" ref="F58:N58" si="11">F49-F55</f>
        <v>909</v>
      </c>
      <c r="G58" s="630">
        <f t="shared" si="11"/>
        <v>1002</v>
      </c>
      <c r="H58" s="630">
        <f t="shared" si="11"/>
        <v>623</v>
      </c>
      <c r="I58" s="631">
        <f t="shared" si="11"/>
        <v>-1018</v>
      </c>
      <c r="J58" s="116">
        <f t="shared" ca="1" si="11"/>
        <v>-416.286935071203</v>
      </c>
      <c r="K58" s="406">
        <f t="shared" ca="1" si="11"/>
        <v>225.82410318349636</v>
      </c>
      <c r="L58" s="406">
        <f t="shared" ca="1" si="11"/>
        <v>782.04655472821514</v>
      </c>
      <c r="M58" s="406">
        <f t="shared" ca="1" si="11"/>
        <v>1512.6465236242757</v>
      </c>
      <c r="N58" s="407">
        <f t="shared" ca="1" si="11"/>
        <v>2295.9408249407197</v>
      </c>
      <c r="U58" s="78"/>
      <c r="Y58" s="106"/>
      <c r="Z58" s="106"/>
      <c r="AA58" s="106"/>
      <c r="AB58" s="106"/>
      <c r="AC58" s="106"/>
      <c r="AD58" s="106"/>
    </row>
    <row r="59" spans="1:30" hidden="1" outlineLevel="1" x14ac:dyDescent="0.55000000000000004">
      <c r="E59" s="22"/>
      <c r="F59" s="22"/>
      <c r="G59" s="22"/>
      <c r="H59" s="22"/>
      <c r="I59" s="402"/>
      <c r="J59" s="22"/>
      <c r="K59" s="392"/>
      <c r="L59" s="22"/>
      <c r="M59" s="22"/>
      <c r="N59" s="22"/>
      <c r="U59" s="78"/>
      <c r="Y59" s="78"/>
      <c r="Z59" s="78"/>
      <c r="AA59" s="78"/>
      <c r="AB59" s="78"/>
      <c r="AC59" s="78"/>
      <c r="AD59" s="78"/>
    </row>
    <row r="60" spans="1:30" collapsed="1" x14ac:dyDescent="0.55000000000000004">
      <c r="B60" s="45" t="s">
        <v>32</v>
      </c>
      <c r="E60" s="408">
        <f>E30</f>
        <v>426</v>
      </c>
      <c r="F60" s="408">
        <f t="shared" ref="F60:L60" si="12">F30</f>
        <v>546</v>
      </c>
      <c r="G60" s="408">
        <f t="shared" si="12"/>
        <v>630</v>
      </c>
      <c r="H60" s="408">
        <f t="shared" si="12"/>
        <v>921</v>
      </c>
      <c r="I60" s="409">
        <f t="shared" si="12"/>
        <v>899</v>
      </c>
      <c r="J60" s="408">
        <f t="shared" si="12"/>
        <v>937.11087514371309</v>
      </c>
      <c r="K60" s="408">
        <f t="shared" si="12"/>
        <v>1077.4810975176199</v>
      </c>
      <c r="L60" s="408">
        <f t="shared" si="12"/>
        <v>1287.9316521034541</v>
      </c>
      <c r="M60" s="408">
        <f ca="1">M61*M43</f>
        <v>1309.8769204355535</v>
      </c>
      <c r="N60" s="408">
        <f ca="1">N61*N43</f>
        <v>1192.6965324367372</v>
      </c>
      <c r="U60" s="78"/>
    </row>
    <row r="61" spans="1:30" hidden="1" outlineLevel="1" x14ac:dyDescent="0.55000000000000004">
      <c r="B61" s="55" t="s">
        <v>28</v>
      </c>
      <c r="E61" s="632">
        <f>E60/E$43</f>
        <v>4.2036708111308468E-2</v>
      </c>
      <c r="F61" s="632">
        <f t="shared" ref="F61:L61" si="13">F60/F$43</f>
        <v>4.4949370214867869E-2</v>
      </c>
      <c r="G61" s="632">
        <f t="shared" si="13"/>
        <v>4.2512990080302314E-2</v>
      </c>
      <c r="H61" s="632">
        <f t="shared" si="13"/>
        <v>5.9087701289536151E-2</v>
      </c>
      <c r="I61" s="633">
        <f t="shared" si="13"/>
        <v>6.2059919922683969E-2</v>
      </c>
      <c r="J61" s="634">
        <f t="shared" ca="1" si="13"/>
        <v>6.1237982411189509E-2</v>
      </c>
      <c r="K61" s="634">
        <f t="shared" ca="1" si="13"/>
        <v>5.7745919595653429E-2</v>
      </c>
      <c r="L61" s="634">
        <f t="shared" ca="1" si="13"/>
        <v>5.4364037890412296E-2</v>
      </c>
      <c r="M61" s="635">
        <f ca="1">L61-(L61-$N$61)/($N$42-$L$42)</f>
        <v>4.7182018945206149E-2</v>
      </c>
      <c r="N61" s="635">
        <v>0.04</v>
      </c>
      <c r="U61" s="78"/>
      <c r="Y61" s="106"/>
      <c r="Z61" s="106"/>
      <c r="AA61" s="106"/>
    </row>
    <row r="62" spans="1:30" hidden="1" outlineLevel="1" x14ac:dyDescent="0.55000000000000004">
      <c r="E62" s="392"/>
      <c r="F62" s="392"/>
      <c r="G62" s="392"/>
      <c r="H62" s="392"/>
      <c r="I62" s="394"/>
      <c r="J62" s="392"/>
      <c r="K62" s="392"/>
      <c r="L62" s="392"/>
      <c r="M62" s="392"/>
      <c r="N62" s="392"/>
    </row>
    <row r="63" spans="1:30" collapsed="1" x14ac:dyDescent="0.55000000000000004">
      <c r="B63" s="45" t="s">
        <v>34</v>
      </c>
      <c r="E63" s="408">
        <f>E34</f>
        <v>312</v>
      </c>
      <c r="F63" s="408">
        <f t="shared" ref="F63:L63" si="14">F34</f>
        <v>451</v>
      </c>
      <c r="G63" s="408">
        <f t="shared" si="14"/>
        <v>379</v>
      </c>
      <c r="H63" s="408">
        <f t="shared" si="14"/>
        <v>476</v>
      </c>
      <c r="I63" s="409">
        <f t="shared" si="14"/>
        <v>371</v>
      </c>
      <c r="J63" s="408">
        <f t="shared" si="14"/>
        <v>612.11087514371309</v>
      </c>
      <c r="K63" s="408">
        <f t="shared" si="14"/>
        <v>658.42096032791756</v>
      </c>
      <c r="L63" s="408">
        <f t="shared" si="14"/>
        <v>842.56519559052242</v>
      </c>
      <c r="M63" s="408">
        <f ca="1">M64*M43</f>
        <v>910.11404860363643</v>
      </c>
      <c r="N63" s="408">
        <f ca="1">N64*N43</f>
        <v>894.52239932755299</v>
      </c>
      <c r="U63" s="78"/>
    </row>
    <row r="64" spans="1:30" hidden="1" outlineLevel="1" x14ac:dyDescent="0.55000000000000004">
      <c r="B64" s="55" t="s">
        <v>28</v>
      </c>
      <c r="E64" s="636">
        <f>E63/E$43</f>
        <v>3.078744819419775E-2</v>
      </c>
      <c r="F64" s="636">
        <f t="shared" ref="F64:L64" si="15">F63/F$43</f>
        <v>3.7128509096896356E-2</v>
      </c>
      <c r="G64" s="636">
        <f t="shared" si="15"/>
        <v>2.5575274984816789E-2</v>
      </c>
      <c r="H64" s="636">
        <f t="shared" si="15"/>
        <v>3.0538269070379161E-2</v>
      </c>
      <c r="I64" s="637">
        <f t="shared" si="15"/>
        <v>2.5610934695568136E-2</v>
      </c>
      <c r="J64" s="638">
        <f t="shared" ca="1" si="15"/>
        <v>3.9999999999999994E-2</v>
      </c>
      <c r="K64" s="638">
        <f t="shared" ca="1" si="15"/>
        <v>3.5287044870471233E-2</v>
      </c>
      <c r="L64" s="638">
        <f t="shared" ca="1" si="15"/>
        <v>3.5564966621805229E-2</v>
      </c>
      <c r="M64" s="639">
        <f ca="1">L64-(L64-$N$64)/($N$42-$L$42)</f>
        <v>3.278248331090261E-2</v>
      </c>
      <c r="N64" s="639">
        <v>0.03</v>
      </c>
      <c r="U64" s="78"/>
      <c r="Y64" s="104"/>
      <c r="Z64" s="104"/>
      <c r="AA64" s="104"/>
      <c r="AB64" s="104"/>
      <c r="AC64" s="104"/>
      <c r="AD64" s="104"/>
    </row>
    <row r="65" spans="1:27" hidden="1" outlineLevel="1" x14ac:dyDescent="0.55000000000000004">
      <c r="E65" s="408"/>
      <c r="F65" s="408"/>
      <c r="G65" s="408"/>
      <c r="H65" s="408"/>
      <c r="I65" s="409"/>
      <c r="J65" s="408"/>
      <c r="K65" s="408"/>
      <c r="L65" s="408"/>
      <c r="M65" s="408"/>
      <c r="N65" s="408"/>
    </row>
    <row r="66" spans="1:27" collapsed="1" x14ac:dyDescent="0.55000000000000004">
      <c r="B66" s="45" t="s">
        <v>35</v>
      </c>
      <c r="E66" s="408">
        <f>E37</f>
        <v>169</v>
      </c>
      <c r="F66" s="408">
        <f>F37</f>
        <v>437</v>
      </c>
      <c r="G66" s="408">
        <f>G37</f>
        <v>588</v>
      </c>
      <c r="H66" s="408">
        <f>H37</f>
        <v>-9</v>
      </c>
      <c r="I66" s="409">
        <f>I37</f>
        <v>192</v>
      </c>
      <c r="J66" s="408">
        <f ca="1">J67*J43</f>
        <v>267.06174541900009</v>
      </c>
      <c r="K66" s="408">
        <f ca="1">K67*K43</f>
        <v>325.63414473563182</v>
      </c>
      <c r="L66" s="408">
        <f ca="1">L67*L43</f>
        <v>413.4497073902823</v>
      </c>
      <c r="M66" s="408">
        <f ca="1">M67*M43</f>
        <v>484.50197120002258</v>
      </c>
      <c r="N66" s="408">
        <f ca="1">N67*N43</f>
        <v>520.3691531096556</v>
      </c>
      <c r="U66" s="78"/>
      <c r="Y66" s="104"/>
      <c r="Z66" s="104"/>
      <c r="AA66" s="104"/>
    </row>
    <row r="67" spans="1:27" hidden="1" outlineLevel="1" x14ac:dyDescent="0.55000000000000004">
      <c r="B67" s="55" t="s">
        <v>28</v>
      </c>
      <c r="E67" s="56">
        <f>E66/E$43</f>
        <v>1.6676534438523783E-2</v>
      </c>
      <c r="F67" s="113">
        <f>F66/F$43</f>
        <v>3.5975961142668975E-2</v>
      </c>
      <c r="G67" s="113">
        <f>G66/G$43</f>
        <v>3.9678790741615497E-2</v>
      </c>
      <c r="H67" s="113">
        <f>H66/H$43</f>
        <v>-5.7740424712901777E-4</v>
      </c>
      <c r="I67" s="96">
        <f>I66/I$43</f>
        <v>1.3254176446223941E-2</v>
      </c>
      <c r="J67" s="114">
        <f>AVERAGE(G67:I67)</f>
        <v>1.7451854313570141E-2</v>
      </c>
      <c r="K67" s="113">
        <f>J67</f>
        <v>1.7451854313570141E-2</v>
      </c>
      <c r="L67" s="113">
        <f>K67</f>
        <v>1.7451854313570141E-2</v>
      </c>
      <c r="M67" s="113">
        <f>L67</f>
        <v>1.7451854313570141E-2</v>
      </c>
      <c r="N67" s="113">
        <f>M67</f>
        <v>1.7451854313570141E-2</v>
      </c>
    </row>
    <row r="68" spans="1:27" hidden="1" outlineLevel="1" x14ac:dyDescent="0.55000000000000004">
      <c r="I68" s="115"/>
    </row>
    <row r="69" spans="1:27" collapsed="1" x14ac:dyDescent="0.55000000000000004">
      <c r="A69" s="45" t="s">
        <v>6</v>
      </c>
      <c r="B69" s="25" t="s">
        <v>41</v>
      </c>
      <c r="C69" s="26"/>
      <c r="D69" s="26"/>
      <c r="E69" s="27">
        <f t="shared" ref="E69:N69" si="16">E58+E60-E63-E66</f>
        <v>731</v>
      </c>
      <c r="F69" s="27">
        <f t="shared" si="16"/>
        <v>567</v>
      </c>
      <c r="G69" s="27">
        <f t="shared" si="16"/>
        <v>665</v>
      </c>
      <c r="H69" s="27">
        <f t="shared" si="16"/>
        <v>1077</v>
      </c>
      <c r="I69" s="28">
        <f t="shared" si="16"/>
        <v>-682</v>
      </c>
      <c r="J69" s="27">
        <f t="shared" ca="1" si="16"/>
        <v>-358.34868049020304</v>
      </c>
      <c r="K69" s="27">
        <f t="shared" ca="1" si="16"/>
        <v>319.25009563756691</v>
      </c>
      <c r="L69" s="27">
        <f t="shared" ca="1" si="16"/>
        <v>813.96330385086435</v>
      </c>
      <c r="M69" s="27">
        <f t="shared" ca="1" si="16"/>
        <v>1427.9074242561701</v>
      </c>
      <c r="N69" s="28">
        <f t="shared" ca="1" si="16"/>
        <v>2073.7458049402485</v>
      </c>
      <c r="P69" s="118"/>
    </row>
    <row r="70" spans="1:27" x14ac:dyDescent="0.55000000000000004">
      <c r="B70" s="108" t="s">
        <v>42</v>
      </c>
      <c r="C70" s="109"/>
      <c r="D70" s="109"/>
      <c r="E70" s="109"/>
      <c r="F70" s="109"/>
      <c r="G70" s="109"/>
      <c r="H70" s="109"/>
      <c r="I70" s="110"/>
      <c r="J70" s="116">
        <f ca="1">J69/(1+WACCC)^J41</f>
        <v>-324.84675703445873</v>
      </c>
      <c r="K70" s="116">
        <f ca="1">K69/(1+WACCC)^K41</f>
        <v>262.34723287108579</v>
      </c>
      <c r="L70" s="116">
        <f ca="1">L69/(1+WACCC)^L41</f>
        <v>606.34947175163325</v>
      </c>
      <c r="M70" s="116">
        <f ca="1">M69/(1+WACCC)^M41</f>
        <v>964.25290336708451</v>
      </c>
      <c r="N70" s="117">
        <f ca="1">N69/(1+WACCC)^N41</f>
        <v>1269.4603766474752</v>
      </c>
    </row>
    <row r="71" spans="1:27" hidden="1" outlineLevel="1" x14ac:dyDescent="0.55000000000000004">
      <c r="J71" s="119"/>
    </row>
    <row r="72" spans="1:27" collapsed="1" x14ac:dyDescent="0.55000000000000004">
      <c r="A72" s="45" t="s">
        <v>6</v>
      </c>
      <c r="B72" s="45" t="s">
        <v>43</v>
      </c>
      <c r="J72" s="119"/>
      <c r="N72" s="112">
        <f ca="1">(N69*(1+TGRR))/(WACCC-TGRR)</f>
        <v>27205.292058078776</v>
      </c>
    </row>
    <row r="73" spans="1:27" x14ac:dyDescent="0.55000000000000004">
      <c r="B73" s="64" t="s">
        <v>44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120">
        <f ca="1">N72/(1+WACCC)^N41</f>
        <v>16653.941008863592</v>
      </c>
    </row>
    <row r="74" spans="1:27" x14ac:dyDescent="0.55000000000000004">
      <c r="N74" s="112"/>
    </row>
    <row r="75" spans="1:27" x14ac:dyDescent="0.55000000000000004">
      <c r="B75" s="30" t="s">
        <v>45</v>
      </c>
      <c r="C75" s="30"/>
      <c r="D75" s="30"/>
      <c r="E75" s="31">
        <f ca="1">SUM(J70:N70,N73)</f>
        <v>19431.504236466411</v>
      </c>
      <c r="F75"/>
      <c r="G75"/>
      <c r="H75"/>
      <c r="I75"/>
      <c r="J75"/>
      <c r="K75"/>
      <c r="L75"/>
      <c r="M75"/>
      <c r="N75"/>
      <c r="O75"/>
      <c r="R75" s="20" t="s">
        <v>21</v>
      </c>
      <c r="S75" s="21"/>
      <c r="T75" s="640" t="s">
        <v>1420</v>
      </c>
      <c r="U75" s="20" t="s">
        <v>1246</v>
      </c>
    </row>
    <row r="76" spans="1:27" x14ac:dyDescent="0.55000000000000004">
      <c r="B76" s="32" t="s">
        <v>21</v>
      </c>
      <c r="C76" s="33"/>
      <c r="D76" s="33"/>
      <c r="E76" s="34">
        <f>'DCF-Vestas'!T90</f>
        <v>0.10313146962458533</v>
      </c>
      <c r="F76"/>
      <c r="G76"/>
      <c r="H76"/>
      <c r="I76"/>
      <c r="J76"/>
      <c r="K76"/>
      <c r="L76"/>
      <c r="M76"/>
      <c r="N76"/>
      <c r="O76"/>
      <c r="R76" s="19" t="s">
        <v>66</v>
      </c>
      <c r="S76" s="19"/>
      <c r="T76" s="23">
        <f>'Vestas Input_morningstar'!P154+'Vestas Input_morningstar'!P149</f>
        <v>2427</v>
      </c>
      <c r="U76" s="19"/>
      <c r="W76" s="45" t="s">
        <v>1320</v>
      </c>
    </row>
    <row r="77" spans="1:27" x14ac:dyDescent="0.55000000000000004">
      <c r="B77" s="35" t="s">
        <v>46</v>
      </c>
      <c r="C77" s="22"/>
      <c r="D77" s="22"/>
      <c r="E77" s="36">
        <f>'Trading Comps'!C28</f>
        <v>2378</v>
      </c>
      <c r="F77"/>
      <c r="G77"/>
      <c r="H77"/>
      <c r="I77"/>
      <c r="J77"/>
      <c r="K77"/>
      <c r="L77"/>
      <c r="M77"/>
      <c r="N77"/>
      <c r="O77"/>
      <c r="R77" s="19" t="s">
        <v>50</v>
      </c>
      <c r="S77" s="19"/>
      <c r="T77" s="126">
        <f>T76/T88</f>
        <v>8.085658419375423E-2</v>
      </c>
    </row>
    <row r="78" spans="1:27" x14ac:dyDescent="0.55000000000000004">
      <c r="B78" s="37" t="s">
        <v>47</v>
      </c>
      <c r="C78" s="29"/>
      <c r="D78" s="29"/>
      <c r="E78" s="38">
        <f>'Trading Comps'!C29</f>
        <v>2427</v>
      </c>
      <c r="F78"/>
      <c r="G78"/>
      <c r="H78"/>
      <c r="I78"/>
      <c r="J78"/>
      <c r="K78"/>
      <c r="L78"/>
      <c r="M78"/>
      <c r="N78"/>
      <c r="O78"/>
      <c r="R78" s="19" t="s">
        <v>51</v>
      </c>
      <c r="S78" s="19"/>
      <c r="T78" s="127">
        <v>3.1828000000000002E-2</v>
      </c>
      <c r="U78" s="19" t="s">
        <v>1247</v>
      </c>
    </row>
    <row r="79" spans="1:27" x14ac:dyDescent="0.55000000000000004">
      <c r="B79" s="33" t="s">
        <v>48</v>
      </c>
      <c r="C79" s="33"/>
      <c r="D79" s="33"/>
      <c r="E79" s="39">
        <f ca="1">E75+E77-E78</f>
        <v>19382.504236466411</v>
      </c>
      <c r="F79"/>
      <c r="G79"/>
      <c r="H79"/>
      <c r="I79"/>
      <c r="J79"/>
      <c r="K79"/>
      <c r="L79"/>
      <c r="M79"/>
      <c r="N79"/>
      <c r="O79"/>
      <c r="R79" s="19" t="s">
        <v>52</v>
      </c>
      <c r="S79" s="19"/>
      <c r="T79" s="127">
        <v>0.22</v>
      </c>
      <c r="U79" s="19" t="s">
        <v>1247</v>
      </c>
    </row>
    <row r="80" spans="1:27" x14ac:dyDescent="0.55000000000000004">
      <c r="B80" s="29" t="s">
        <v>49</v>
      </c>
      <c r="C80" s="29"/>
      <c r="D80" s="29"/>
      <c r="E80" s="38">
        <f>1006177558/10^6</f>
        <v>1006.177558</v>
      </c>
      <c r="F80"/>
      <c r="G80"/>
      <c r="H80"/>
      <c r="I80"/>
      <c r="J80"/>
      <c r="K80"/>
      <c r="L80"/>
      <c r="M80"/>
      <c r="N80"/>
      <c r="O80"/>
      <c r="R80" s="19"/>
      <c r="S80" s="19"/>
      <c r="T80" s="19"/>
    </row>
    <row r="81" spans="1:23" ht="16.149999999999999" thickBot="1" x14ac:dyDescent="0.6">
      <c r="A81" s="45" t="s">
        <v>6</v>
      </c>
      <c r="B81" s="40" t="s">
        <v>9</v>
      </c>
      <c r="C81" s="40"/>
      <c r="D81" s="40"/>
      <c r="E81" s="434">
        <f ca="1">E79/E80</f>
        <v>19.263502830448154</v>
      </c>
      <c r="F81"/>
      <c r="G81"/>
      <c r="H81"/>
      <c r="I81"/>
      <c r="J81"/>
      <c r="K81"/>
      <c r="L81"/>
      <c r="M81"/>
      <c r="N81"/>
      <c r="O81"/>
      <c r="R81" s="19" t="s">
        <v>67</v>
      </c>
      <c r="S81" s="19"/>
      <c r="T81" s="23">
        <f>Vestas_Pitchbooksum!E34</f>
        <v>27589.10844930392</v>
      </c>
      <c r="U81" s="19" t="s">
        <v>1421</v>
      </c>
      <c r="W81" s="45" t="s">
        <v>1320</v>
      </c>
    </row>
    <row r="82" spans="1:23" ht="16.149999999999999" thickTop="1" x14ac:dyDescent="0.55000000000000004">
      <c r="R82" s="19" t="s">
        <v>53</v>
      </c>
      <c r="S82" s="19"/>
      <c r="T82" s="128">
        <f>T81/T88</f>
        <v>0.91914341580624581</v>
      </c>
    </row>
    <row r="83" spans="1:23" x14ac:dyDescent="0.55000000000000004">
      <c r="R83" s="19" t="s">
        <v>54</v>
      </c>
      <c r="S83" s="19"/>
      <c r="T83" s="24">
        <f>T84+(T85*T86)</f>
        <v>0.109404</v>
      </c>
    </row>
    <row r="84" spans="1:23" x14ac:dyDescent="0.55000000000000004">
      <c r="B84" s="121" t="s">
        <v>45</v>
      </c>
      <c r="C84" s="121"/>
      <c r="D84" s="121"/>
      <c r="E84" s="121"/>
      <c r="F84" s="121"/>
      <c r="G84" s="121"/>
      <c r="R84" s="19" t="s">
        <v>55</v>
      </c>
      <c r="S84" s="19"/>
      <c r="T84" s="127">
        <v>4.0500000000000001E-2</v>
      </c>
      <c r="U84" s="19" t="s">
        <v>1250</v>
      </c>
    </row>
    <row r="85" spans="1:23" x14ac:dyDescent="0.55000000000000004">
      <c r="B85" s="122" t="s">
        <v>65</v>
      </c>
      <c r="C85" s="122"/>
      <c r="D85" s="122"/>
      <c r="E85" s="123"/>
      <c r="F85" s="123"/>
      <c r="G85" s="123"/>
      <c r="R85" s="19" t="s">
        <v>56</v>
      </c>
      <c r="S85" s="19"/>
      <c r="T85" s="129">
        <v>1.1599999999999999</v>
      </c>
      <c r="U85" s="19" t="s">
        <v>1249</v>
      </c>
    </row>
    <row r="86" spans="1:23" x14ac:dyDescent="0.55000000000000004">
      <c r="B86" s="124">
        <f ca="1">E75</f>
        <v>19431.504236466411</v>
      </c>
      <c r="C86" s="621">
        <f>D86-0.5%</f>
        <v>1.4999999999999999E-2</v>
      </c>
      <c r="D86" s="621">
        <f>E86-0.5%</f>
        <v>0.02</v>
      </c>
      <c r="E86" s="621">
        <v>2.5000000000000001E-2</v>
      </c>
      <c r="F86" s="621">
        <f>E86+0.5%</f>
        <v>3.0000000000000002E-2</v>
      </c>
      <c r="G86" s="621">
        <f>F86+0.5%</f>
        <v>3.5000000000000003E-2</v>
      </c>
      <c r="R86" s="19" t="s">
        <v>57</v>
      </c>
      <c r="S86" s="19"/>
      <c r="T86" s="127">
        <v>5.9400000000000001E-2</v>
      </c>
      <c r="U86" s="19" t="s">
        <v>1418</v>
      </c>
    </row>
    <row r="87" spans="1:23" x14ac:dyDescent="0.55000000000000004">
      <c r="A87" s="796" t="s">
        <v>21</v>
      </c>
      <c r="B87" s="620">
        <f>B88-0.5%</f>
        <v>9.3131469624585322E-2</v>
      </c>
      <c r="C87" s="371">
        <f t="dataTable" ref="C87:G91" dt2D="1" dtr="1" r1="D16" r2="D15" ca="1"/>
        <v>20150.828973925629</v>
      </c>
      <c r="D87" s="371">
        <v>21421.712183127955</v>
      </c>
      <c r="E87" s="371">
        <v>22879.129341503118</v>
      </c>
      <c r="F87" s="371">
        <v>24567.400805510919</v>
      </c>
      <c r="G87" s="371">
        <v>26546.095249517461</v>
      </c>
      <c r="R87" s="19"/>
      <c r="S87" s="19"/>
      <c r="T87" s="19"/>
    </row>
    <row r="88" spans="1:23" x14ac:dyDescent="0.55000000000000004">
      <c r="A88" s="797"/>
      <c r="B88" s="620">
        <f>B89-0.5%</f>
        <v>9.8131469624585327E-2</v>
      </c>
      <c r="C88" s="372">
        <v>18689.309087305483</v>
      </c>
      <c r="D88" s="371">
        <v>19787.092649173515</v>
      </c>
      <c r="E88" s="371">
        <v>21034.987177975949</v>
      </c>
      <c r="F88" s="371">
        <v>22466.041491189098</v>
      </c>
      <c r="G88" s="371">
        <v>24123.774245712586</v>
      </c>
      <c r="R88" s="410" t="s">
        <v>58</v>
      </c>
      <c r="S88" s="411"/>
      <c r="T88" s="412">
        <f>T76+T81</f>
        <v>30016.10844930392</v>
      </c>
    </row>
    <row r="89" spans="1:23" x14ac:dyDescent="0.55000000000000004">
      <c r="A89" s="797"/>
      <c r="B89" s="620">
        <v>0.10313146962458533</v>
      </c>
      <c r="C89" s="372">
        <v>17397.792389624465</v>
      </c>
      <c r="D89" s="372">
        <v>18353.488807023652</v>
      </c>
      <c r="E89" s="545">
        <v>19431.504236466411</v>
      </c>
      <c r="F89" s="371">
        <v>20656.927537647112</v>
      </c>
      <c r="G89" s="371">
        <v>22062.212407634852</v>
      </c>
      <c r="R89" s="19"/>
      <c r="S89" s="19"/>
      <c r="T89" s="19"/>
    </row>
    <row r="90" spans="1:23" x14ac:dyDescent="0.55000000000000004">
      <c r="A90" s="797"/>
      <c r="B90" s="620">
        <f>B89+0.5%</f>
        <v>0.10813146962458534</v>
      </c>
      <c r="C90" s="372">
        <v>16248.805527384411</v>
      </c>
      <c r="D90" s="372">
        <v>17086.591148648793</v>
      </c>
      <c r="E90" s="372">
        <v>18025.155166475601</v>
      </c>
      <c r="F90" s="372">
        <v>19083.845430786259</v>
      </c>
      <c r="G90" s="371">
        <v>20287.301043003277</v>
      </c>
      <c r="R90" s="130" t="s">
        <v>21</v>
      </c>
      <c r="S90" s="131"/>
      <c r="T90" s="433">
        <f>(T78*T77)+(T82*T83)</f>
        <v>0.10313146962458533</v>
      </c>
    </row>
    <row r="91" spans="1:23" x14ac:dyDescent="0.55000000000000004">
      <c r="A91" s="797"/>
      <c r="B91" s="620">
        <f>B90+0.5%</f>
        <v>0.11313146962458534</v>
      </c>
      <c r="C91" s="372">
        <v>15220.476931988942</v>
      </c>
      <c r="D91" s="372">
        <v>15959.460738586416</v>
      </c>
      <c r="E91" s="372">
        <v>16782.294707872126</v>
      </c>
      <c r="F91" s="372">
        <v>17704.108518727047</v>
      </c>
      <c r="G91" s="372">
        <v>18743.904727108107</v>
      </c>
    </row>
    <row r="92" spans="1:23" x14ac:dyDescent="0.55000000000000004">
      <c r="R92" s="44" t="s">
        <v>1062</v>
      </c>
    </row>
    <row r="93" spans="1:23" x14ac:dyDescent="0.55000000000000004">
      <c r="B93" s="121" t="s">
        <v>9</v>
      </c>
      <c r="C93" s="121"/>
      <c r="D93" s="121"/>
      <c r="E93" s="121"/>
      <c r="F93" s="121"/>
      <c r="G93" s="121"/>
      <c r="R93" s="44" t="s">
        <v>1063</v>
      </c>
    </row>
    <row r="94" spans="1:23" x14ac:dyDescent="0.55000000000000004">
      <c r="B94" s="122" t="s">
        <v>65</v>
      </c>
      <c r="C94" s="122"/>
      <c r="D94" s="122"/>
      <c r="E94" s="123"/>
      <c r="F94" s="123"/>
      <c r="G94" s="123"/>
      <c r="R94" s="44" t="s">
        <v>1419</v>
      </c>
    </row>
    <row r="95" spans="1:23" x14ac:dyDescent="0.55000000000000004">
      <c r="B95" s="552">
        <f ca="1">E81</f>
        <v>19.263502830448154</v>
      </c>
      <c r="C95" s="621">
        <f>D95-0.5%</f>
        <v>1.4999999999999999E-2</v>
      </c>
      <c r="D95" s="621">
        <f>E95-0.5%</f>
        <v>0.02</v>
      </c>
      <c r="E95" s="621">
        <v>2.5000000000000001E-2</v>
      </c>
      <c r="F95" s="621">
        <f>E95+0.5%</f>
        <v>3.0000000000000002E-2</v>
      </c>
      <c r="G95" s="621">
        <f>F95+0.5%</f>
        <v>3.5000000000000003E-2</v>
      </c>
    </row>
    <row r="96" spans="1:23" x14ac:dyDescent="0.55000000000000004">
      <c r="A96" s="796" t="s">
        <v>21</v>
      </c>
      <c r="B96" s="551">
        <f>B97-0.5%</f>
        <v>9.3131469624585322E-2</v>
      </c>
      <c r="C96" s="546">
        <f t="dataTable" ref="C96:G100" dt2D="1" dtr="1" r1="D16" r2="D15" ca="1"/>
        <v>19.978411180112634</v>
      </c>
      <c r="D96" s="547">
        <v>21.241491636536736</v>
      </c>
      <c r="E96" s="547">
        <v>22.689960792688559</v>
      </c>
      <c r="F96" s="547">
        <v>24.367866894434272</v>
      </c>
      <c r="G96" s="547">
        <v>26.334412886515068</v>
      </c>
    </row>
    <row r="97" spans="1:16" x14ac:dyDescent="0.55000000000000004">
      <c r="A97" s="797"/>
      <c r="B97" s="551">
        <f>B98-0.5%</f>
        <v>9.8131469624585327E-2</v>
      </c>
      <c r="C97" s="549">
        <v>18.525864484949565</v>
      </c>
      <c r="D97" s="548">
        <v>19.616908061840828</v>
      </c>
      <c r="E97" s="548">
        <v>20.857140979858695</v>
      </c>
      <c r="F97" s="548">
        <v>22.279409148965634</v>
      </c>
      <c r="G97" s="548">
        <v>23.926964037606361</v>
      </c>
    </row>
    <row r="98" spans="1:16" x14ac:dyDescent="0.55000000000000004">
      <c r="A98" s="797"/>
      <c r="B98" s="551">
        <v>0.10313146962458533</v>
      </c>
      <c r="C98" s="549">
        <v>17.242277222033277</v>
      </c>
      <c r="D98" s="550">
        <v>18.192106016961723</v>
      </c>
      <c r="E98" s="553">
        <v>19.263502830448154</v>
      </c>
      <c r="F98" s="548">
        <v>20.48140248586931</v>
      </c>
      <c r="G98" s="548">
        <v>21.878059426599588</v>
      </c>
    </row>
    <row r="99" spans="1:16" x14ac:dyDescent="0.55000000000000004">
      <c r="A99" s="797"/>
      <c r="B99" s="551">
        <f>B98+0.5%</f>
        <v>0.10813146962458534</v>
      </c>
      <c r="C99" s="549">
        <v>16.100344714093108</v>
      </c>
      <c r="D99" s="550">
        <v>16.932986641557349</v>
      </c>
      <c r="E99" s="550">
        <v>17.865788223509156</v>
      </c>
      <c r="F99" s="550">
        <v>18.917978521228616</v>
      </c>
      <c r="G99" s="548">
        <v>20.114045361170017</v>
      </c>
    </row>
    <row r="100" spans="1:16" x14ac:dyDescent="0.55000000000000004">
      <c r="A100" s="797"/>
      <c r="B100" s="551">
        <f>B99+0.5%</f>
        <v>0.11313146962458534</v>
      </c>
      <c r="C100" s="549">
        <v>15.078329675873116</v>
      </c>
      <c r="D100" s="550">
        <v>15.812776395263644</v>
      </c>
      <c r="E100" s="550">
        <v>16.630558468361432</v>
      </c>
      <c r="F100" s="550">
        <v>17.546712683415912</v>
      </c>
      <c r="G100" s="550">
        <v>18.580124927719872</v>
      </c>
    </row>
    <row r="105" spans="1:16" x14ac:dyDescent="0.55000000000000004">
      <c r="B105" t="s">
        <v>72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55000000000000004">
      <c r="B106" s="1" t="s">
        <v>0</v>
      </c>
      <c r="C106" s="2"/>
      <c r="D106" s="2"/>
      <c r="E106" s="1">
        <v>2018</v>
      </c>
      <c r="F106" s="1">
        <v>2019</v>
      </c>
      <c r="G106" s="1">
        <v>2020</v>
      </c>
      <c r="H106" s="1">
        <v>2021</v>
      </c>
      <c r="I106" s="3">
        <v>2022</v>
      </c>
      <c r="J106" s="1">
        <v>2023</v>
      </c>
      <c r="K106" s="1">
        <v>2024</v>
      </c>
      <c r="L106" s="1">
        <v>2025</v>
      </c>
      <c r="M106" s="1">
        <v>2026</v>
      </c>
      <c r="N106" s="1">
        <v>2027</v>
      </c>
      <c r="O106" s="1" t="s">
        <v>59</v>
      </c>
      <c r="P106" s="1" t="s">
        <v>60</v>
      </c>
    </row>
    <row r="107" spans="1:16" x14ac:dyDescent="0.55000000000000004">
      <c r="B107" t="s">
        <v>1</v>
      </c>
      <c r="C107"/>
      <c r="D107"/>
      <c r="E107" s="4">
        <v>10134</v>
      </c>
      <c r="F107" s="4">
        <v>12147</v>
      </c>
      <c r="G107" s="4">
        <v>14819</v>
      </c>
      <c r="H107" s="4">
        <v>15587</v>
      </c>
      <c r="I107" s="5">
        <v>14486</v>
      </c>
      <c r="J107" s="6">
        <v>15302.771878592828</v>
      </c>
      <c r="K107" s="6">
        <v>18352.944281582717</v>
      </c>
      <c r="L107" s="6">
        <v>22935.225489770412</v>
      </c>
      <c r="M107" s="6">
        <v>26027.760108077415</v>
      </c>
      <c r="N107" s="6">
        <v>26548.315310238962</v>
      </c>
      <c r="O107" s="17">
        <v>9.343229098548389E-2</v>
      </c>
      <c r="P107" s="17">
        <v>0.14766917114253419</v>
      </c>
    </row>
    <row r="108" spans="1:16" x14ac:dyDescent="0.55000000000000004">
      <c r="B108" s="7" t="s">
        <v>2</v>
      </c>
      <c r="C108"/>
      <c r="D108"/>
      <c r="E108" s="8"/>
      <c r="F108" s="8">
        <v>0.19863824748371828</v>
      </c>
      <c r="G108" s="8">
        <v>0.2199720095496831</v>
      </c>
      <c r="H108" s="8">
        <v>5.1825359335987642E-2</v>
      </c>
      <c r="I108" s="9">
        <v>-7.0635786232116526E-2</v>
      </c>
      <c r="J108" s="10">
        <v>5.6383534349912168E-2</v>
      </c>
      <c r="K108" s="11">
        <v>0.19932156260244585</v>
      </c>
      <c r="L108" s="11">
        <v>0.24967553640894782</v>
      </c>
      <c r="M108" s="11">
        <v>0.13483776820447391</v>
      </c>
      <c r="N108" s="11">
        <v>0.02</v>
      </c>
      <c r="O108"/>
      <c r="P108"/>
    </row>
    <row r="109" spans="1:16" x14ac:dyDescent="0.55000000000000004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55000000000000004">
      <c r="B110" t="s">
        <v>19</v>
      </c>
      <c r="C110"/>
      <c r="D110"/>
      <c r="E110" s="4">
        <v>1013</v>
      </c>
      <c r="F110" s="4">
        <v>1118</v>
      </c>
      <c r="G110" s="4">
        <v>1165</v>
      </c>
      <c r="H110" s="4">
        <v>704</v>
      </c>
      <c r="I110" s="5">
        <v>-1142</v>
      </c>
      <c r="J110" s="6">
        <v>-473.06017316820999</v>
      </c>
      <c r="K110" s="6">
        <v>279.60454865332457</v>
      </c>
      <c r="L110" s="6">
        <v>919.38243838039148</v>
      </c>
      <c r="M110" s="6">
        <v>1562.7853615720919</v>
      </c>
      <c r="N110" s="6">
        <v>2123.865224819117</v>
      </c>
      <c r="O110"/>
      <c r="P110"/>
    </row>
    <row r="111" spans="1:16" x14ac:dyDescent="0.55000000000000004">
      <c r="B111" s="7" t="s">
        <v>39</v>
      </c>
      <c r="C111"/>
      <c r="D111"/>
      <c r="E111" s="8">
        <v>9.9960528912571539E-2</v>
      </c>
      <c r="F111" s="8">
        <v>9.2039186630443734E-2</v>
      </c>
      <c r="G111" s="8">
        <v>7.8615291180241575E-2</v>
      </c>
      <c r="H111" s="8">
        <v>4.5165843330980948E-2</v>
      </c>
      <c r="I111" s="9">
        <v>-7.8834736987436149E-2</v>
      </c>
      <c r="J111" s="10">
        <v>-3.0913365037479105E-2</v>
      </c>
      <c r="K111" s="11">
        <v>1.5234860650337686E-2</v>
      </c>
      <c r="L111" s="11">
        <v>4.0086043138771635E-2</v>
      </c>
      <c r="M111" s="11">
        <v>6.0043021569385818E-2</v>
      </c>
      <c r="N111" s="11">
        <v>0.08</v>
      </c>
      <c r="O111"/>
      <c r="P111"/>
    </row>
    <row r="112" spans="1:16" x14ac:dyDescent="0.55000000000000004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2:16" x14ac:dyDescent="0.55000000000000004">
      <c r="B113" t="s">
        <v>73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2:16" x14ac:dyDescent="0.55000000000000004">
      <c r="B114" s="1" t="s">
        <v>0</v>
      </c>
      <c r="C114" s="2"/>
      <c r="D114" s="2"/>
      <c r="E114" s="1">
        <v>2018</v>
      </c>
      <c r="F114" s="1">
        <v>2019</v>
      </c>
      <c r="G114" s="1">
        <v>2020</v>
      </c>
      <c r="H114" s="1">
        <v>2021</v>
      </c>
      <c r="I114" s="3">
        <v>2022</v>
      </c>
      <c r="J114" s="1">
        <v>2023</v>
      </c>
      <c r="K114" s="1">
        <v>2024</v>
      </c>
      <c r="L114" s="1">
        <v>2025</v>
      </c>
      <c r="M114" s="1">
        <v>2026</v>
      </c>
      <c r="N114" s="1">
        <v>2027</v>
      </c>
      <c r="O114" s="1" t="s">
        <v>59</v>
      </c>
      <c r="P114" s="1" t="s">
        <v>60</v>
      </c>
    </row>
    <row r="115" spans="2:16" x14ac:dyDescent="0.55000000000000004">
      <c r="B115" t="s">
        <v>1</v>
      </c>
      <c r="C115"/>
      <c r="D115"/>
      <c r="E115" s="4">
        <v>10134</v>
      </c>
      <c r="F115" s="4">
        <v>12147</v>
      </c>
      <c r="G115" s="4">
        <v>14819</v>
      </c>
      <c r="H115" s="4">
        <v>15587</v>
      </c>
      <c r="I115" s="5">
        <v>14486</v>
      </c>
      <c r="J115" s="6">
        <v>15302.771878592828</v>
      </c>
      <c r="K115" s="6">
        <v>18658.999719154574</v>
      </c>
      <c r="L115" s="6">
        <v>23690.875477271991</v>
      </c>
      <c r="M115" s="6">
        <v>27762.205808885621</v>
      </c>
      <c r="N115" s="6">
        <v>29817.413310918433</v>
      </c>
      <c r="O115" s="17">
        <v>9.343229098548389E-2</v>
      </c>
      <c r="P115" s="17">
        <v>0.18147616673884515</v>
      </c>
    </row>
    <row r="116" spans="2:16" x14ac:dyDescent="0.55000000000000004">
      <c r="B116" s="7" t="s">
        <v>2</v>
      </c>
      <c r="C116"/>
      <c r="D116"/>
      <c r="E116" s="8"/>
      <c r="F116" s="8">
        <v>0.19863824748371828</v>
      </c>
      <c r="G116" s="8">
        <v>0.2199720095496831</v>
      </c>
      <c r="H116" s="8">
        <v>5.1825359335987642E-2</v>
      </c>
      <c r="I116" s="9">
        <v>-7.0635786232116526E-2</v>
      </c>
      <c r="J116" s="10">
        <v>5.6383534349912168E-2</v>
      </c>
      <c r="K116" s="11">
        <v>0.21932156260244584</v>
      </c>
      <c r="L116" s="11">
        <v>0.26967553640894781</v>
      </c>
      <c r="M116" s="11">
        <v>0.1718522532237986</v>
      </c>
      <c r="N116" s="11">
        <v>7.4028970038649403E-2</v>
      </c>
      <c r="O116"/>
      <c r="P116"/>
    </row>
    <row r="117" spans="2:16" x14ac:dyDescent="0.55000000000000004">
      <c r="B117"/>
      <c r="C117"/>
      <c r="D117"/>
      <c r="E117"/>
      <c r="F117"/>
      <c r="G117"/>
      <c r="H117"/>
      <c r="I117" s="12"/>
      <c r="J117"/>
      <c r="K117"/>
      <c r="L117"/>
      <c r="M117"/>
      <c r="N117"/>
      <c r="O117"/>
      <c r="P117"/>
    </row>
    <row r="118" spans="2:16" x14ac:dyDescent="0.55000000000000004">
      <c r="B118" t="s">
        <v>19</v>
      </c>
      <c r="C118"/>
      <c r="D118"/>
      <c r="E118" s="4">
        <v>1013</v>
      </c>
      <c r="F118" s="4">
        <v>1118</v>
      </c>
      <c r="G118" s="4">
        <v>1165</v>
      </c>
      <c r="H118" s="4">
        <v>704</v>
      </c>
      <c r="I118" s="5">
        <v>-1142</v>
      </c>
      <c r="J118" s="6">
        <v>-473.06017316820999</v>
      </c>
      <c r="K118" s="6">
        <v>377.56225919178286</v>
      </c>
      <c r="L118" s="6">
        <v>1068.127833763552</v>
      </c>
      <c r="M118" s="6">
        <v>2013.9542948077178</v>
      </c>
      <c r="N118" s="6">
        <v>2981.7413310918437</v>
      </c>
      <c r="O118"/>
      <c r="P118"/>
    </row>
    <row r="119" spans="2:16" x14ac:dyDescent="0.55000000000000004">
      <c r="B119" s="7" t="s">
        <v>39</v>
      </c>
      <c r="C119"/>
      <c r="D119"/>
      <c r="E119" s="8">
        <v>9.9960528912571539E-2</v>
      </c>
      <c r="F119" s="8">
        <v>9.2039186630443734E-2</v>
      </c>
      <c r="G119" s="8">
        <v>7.8615291180241575E-2</v>
      </c>
      <c r="H119" s="8">
        <v>4.5165843330980948E-2</v>
      </c>
      <c r="I119" s="9">
        <v>-7.8834736987436149E-2</v>
      </c>
      <c r="J119" s="10">
        <v>-3.0913365037479105E-2</v>
      </c>
      <c r="K119" s="11">
        <v>2.0234860650337687E-2</v>
      </c>
      <c r="L119" s="11">
        <v>4.5086043138771632E-2</v>
      </c>
      <c r="M119" s="11">
        <v>7.2543021569385815E-2</v>
      </c>
      <c r="N119" s="11">
        <v>0.1</v>
      </c>
      <c r="O119"/>
      <c r="P119"/>
    </row>
    <row r="120" spans="2:16" x14ac:dyDescent="0.55000000000000004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2:16" x14ac:dyDescent="0.55000000000000004">
      <c r="B121" t="s">
        <v>38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2:16" x14ac:dyDescent="0.55000000000000004">
      <c r="B122" s="1" t="s">
        <v>0</v>
      </c>
      <c r="C122" s="2"/>
      <c r="D122" s="2"/>
      <c r="E122" s="1">
        <v>2018</v>
      </c>
      <c r="F122" s="1">
        <v>2019</v>
      </c>
      <c r="G122" s="1">
        <v>2020</v>
      </c>
      <c r="H122" s="1">
        <v>2021</v>
      </c>
      <c r="I122" s="3">
        <v>2022</v>
      </c>
      <c r="J122" s="1">
        <v>2023</v>
      </c>
      <c r="K122" s="1">
        <v>2024</v>
      </c>
      <c r="L122" s="1">
        <v>2025</v>
      </c>
      <c r="M122" s="1">
        <v>2026</v>
      </c>
      <c r="N122" s="1">
        <v>2027</v>
      </c>
      <c r="O122" s="1" t="s">
        <v>59</v>
      </c>
      <c r="P122" s="1" t="s">
        <v>60</v>
      </c>
    </row>
    <row r="123" spans="2:16" x14ac:dyDescent="0.55000000000000004">
      <c r="B123" t="s">
        <v>1</v>
      </c>
      <c r="C123"/>
      <c r="D123"/>
      <c r="E123" s="4">
        <v>10134</v>
      </c>
      <c r="F123" s="4">
        <v>12147</v>
      </c>
      <c r="G123" s="4">
        <v>14819</v>
      </c>
      <c r="H123" s="4">
        <v>15587</v>
      </c>
      <c r="I123" s="5">
        <v>14486</v>
      </c>
      <c r="J123" s="6">
        <v>15302.771878592828</v>
      </c>
      <c r="K123" s="6">
        <v>19271.110594298287</v>
      </c>
      <c r="L123" s="6">
        <v>25238.902104783767</v>
      </c>
      <c r="M123" s="6">
        <v>30534.976994382789</v>
      </c>
      <c r="N123" s="6">
        <v>33893.824463764897</v>
      </c>
      <c r="O123" s="17">
        <v>9.343229098548389E-2</v>
      </c>
      <c r="P123" s="17">
        <v>0.21993760258378692</v>
      </c>
    </row>
    <row r="124" spans="2:16" x14ac:dyDescent="0.55000000000000004">
      <c r="B124" s="7" t="s">
        <v>2</v>
      </c>
      <c r="C124"/>
      <c r="D124"/>
      <c r="E124" s="8"/>
      <c r="F124" s="8">
        <v>0.19863824748371828</v>
      </c>
      <c r="G124" s="8">
        <v>0.2199720095496831</v>
      </c>
      <c r="H124" s="8">
        <v>5.1825359335987642E-2</v>
      </c>
      <c r="I124" s="9">
        <v>-7.0635786232116526E-2</v>
      </c>
      <c r="J124" s="10">
        <v>5.6383534349912168E-2</v>
      </c>
      <c r="K124" s="11">
        <v>0.25932156260244582</v>
      </c>
      <c r="L124" s="11">
        <v>0.30967553640894779</v>
      </c>
      <c r="M124" s="11">
        <v>0.20983776820447389</v>
      </c>
      <c r="N124" s="11">
        <v>0.11</v>
      </c>
      <c r="O124"/>
      <c r="P124"/>
    </row>
    <row r="125" spans="2:16" x14ac:dyDescent="0.55000000000000004">
      <c r="B125"/>
      <c r="C125"/>
      <c r="D125"/>
      <c r="E125"/>
      <c r="F125"/>
      <c r="G125"/>
      <c r="H125"/>
      <c r="I125" s="12"/>
      <c r="J125"/>
      <c r="K125"/>
      <c r="L125"/>
      <c r="M125"/>
      <c r="N125"/>
      <c r="O125"/>
      <c r="P125"/>
    </row>
    <row r="126" spans="2:16" x14ac:dyDescent="0.55000000000000004">
      <c r="B126" t="s">
        <v>19</v>
      </c>
      <c r="C126"/>
      <c r="D126"/>
      <c r="E126" s="4">
        <v>1013</v>
      </c>
      <c r="F126" s="4">
        <v>1118</v>
      </c>
      <c r="G126" s="4">
        <v>1165</v>
      </c>
      <c r="H126" s="4">
        <v>704</v>
      </c>
      <c r="I126" s="5">
        <v>-1142</v>
      </c>
      <c r="J126" s="6">
        <v>-473.06017316820999</v>
      </c>
      <c r="K126" s="6">
        <v>486.30379042436357</v>
      </c>
      <c r="L126" s="6">
        <v>1264.1167395954337</v>
      </c>
      <c r="M126" s="6">
        <v>2596.7867071539949</v>
      </c>
      <c r="N126" s="6">
        <v>4067.2589356517874</v>
      </c>
      <c r="O126"/>
      <c r="P126"/>
    </row>
    <row r="127" spans="2:16" x14ac:dyDescent="0.55000000000000004">
      <c r="B127" s="7" t="s">
        <v>39</v>
      </c>
      <c r="C127"/>
      <c r="D127"/>
      <c r="E127" s="8">
        <v>9.9960528912571539E-2</v>
      </c>
      <c r="F127" s="8">
        <v>9.2039186630443734E-2</v>
      </c>
      <c r="G127" s="8">
        <v>7.8615291180241575E-2</v>
      </c>
      <c r="H127" s="8">
        <v>4.5165843330980948E-2</v>
      </c>
      <c r="I127" s="9">
        <v>-7.8834736987436149E-2</v>
      </c>
      <c r="J127" s="10">
        <v>-3.0913365037479105E-2</v>
      </c>
      <c r="K127" s="11">
        <v>2.5234860650337688E-2</v>
      </c>
      <c r="L127" s="11">
        <v>5.008604313877163E-2</v>
      </c>
      <c r="M127" s="11">
        <v>8.5043021569385813E-2</v>
      </c>
      <c r="N127" s="11">
        <v>0.12</v>
      </c>
      <c r="O127"/>
      <c r="P127"/>
    </row>
  </sheetData>
  <mergeCells count="2">
    <mergeCell ref="A87:A91"/>
    <mergeCell ref="A96:A100"/>
  </mergeCells>
  <hyperlinks>
    <hyperlink ref="R94" r:id="rId1" xr:uid="{B7CAF108-8CE8-4984-93C9-FC75D206BEE3}"/>
    <hyperlink ref="R93" r:id="rId2" xr:uid="{0F8B6F7D-78FC-4F4F-A899-585C9A47A2F3}"/>
    <hyperlink ref="R92" r:id="rId3" xr:uid="{86FBD548-F0F9-4598-850E-D58134179FAC}"/>
  </hyperlinks>
  <pageMargins left="0.7" right="0.7" top="0.75" bottom="0.75" header="0.3" footer="0.3"/>
  <pageSetup orientation="portrait" r:id="rId4"/>
  <ignoredErrors>
    <ignoredError xmlns:x16r3="http://schemas.microsoft.com/office/spreadsheetml/2018/08/main" sqref="B95" x16r3:misleadingForma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5CD7-2E84-4E53-A09D-FB42D71D67FE}">
  <dimension ref="A1"/>
  <sheetViews>
    <sheetView workbookViewId="0"/>
  </sheetViews>
  <sheetFormatPr defaultRowHeight="14.25" x14ac:dyDescent="0.45"/>
  <sheetData>
    <row r="1" spans="1:1" x14ac:dyDescent="0.45">
      <c r="A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FAE6-9361-4902-9BBB-451BB9C662BE}">
  <dimension ref="B3:R37"/>
  <sheetViews>
    <sheetView showGridLines="0" workbookViewId="0">
      <selection activeCell="O9" sqref="O9"/>
    </sheetView>
  </sheetViews>
  <sheetFormatPr defaultRowHeight="15.75" x14ac:dyDescent="0.45"/>
  <cols>
    <col min="1" max="1" width="9.06640625" style="644"/>
    <col min="2" max="2" width="23.265625" style="663" bestFit="1" customWidth="1"/>
    <col min="3" max="3" width="11.9296875" style="644" bestFit="1" customWidth="1"/>
    <col min="4" max="4" width="7.265625" style="644" bestFit="1" customWidth="1"/>
    <col min="5" max="5" width="7.6640625" style="644" bestFit="1" customWidth="1"/>
    <col min="6" max="6" width="4.59765625" style="644" bestFit="1" customWidth="1"/>
    <col min="7" max="7" width="4.19921875" style="644" bestFit="1" customWidth="1"/>
    <col min="8" max="10" width="9.06640625" style="644"/>
    <col min="11" max="11" width="18.9296875" style="663" bestFit="1" customWidth="1"/>
    <col min="12" max="13" width="8.19921875" style="644" bestFit="1" customWidth="1"/>
    <col min="14" max="14" width="5" style="644" bestFit="1" customWidth="1"/>
    <col min="15" max="15" width="8.19921875" style="644" bestFit="1" customWidth="1"/>
    <col min="16" max="16" width="4.59765625" style="644" bestFit="1" customWidth="1"/>
    <col min="17" max="18" width="12.46484375" style="644" bestFit="1" customWidth="1"/>
    <col min="19" max="19" width="9.06640625" style="644"/>
    <col min="20" max="20" width="13.1328125" style="644" bestFit="1" customWidth="1"/>
    <col min="21" max="16384" width="9.06640625" style="644"/>
  </cols>
  <sheetData>
    <row r="3" spans="2:16" x14ac:dyDescent="0.45">
      <c r="B3" s="663" t="s">
        <v>1423</v>
      </c>
      <c r="C3" s="645">
        <v>0.15</v>
      </c>
      <c r="D3" s="645">
        <v>0.85</v>
      </c>
    </row>
    <row r="4" spans="2:16" x14ac:dyDescent="0.45">
      <c r="B4" s="663" t="s">
        <v>1424</v>
      </c>
      <c r="C4" s="646" t="s">
        <v>1256</v>
      </c>
      <c r="D4" s="646" t="s">
        <v>0</v>
      </c>
      <c r="E4" s="644" t="s">
        <v>85</v>
      </c>
    </row>
    <row r="5" spans="2:16" x14ac:dyDescent="0.45">
      <c r="B5" s="663" t="s">
        <v>45</v>
      </c>
      <c r="C5" s="647">
        <f>'Trading Comps'!C27</f>
        <v>24288.292253307231</v>
      </c>
      <c r="D5" s="647">
        <f ca="1">'DCF-Vestas'!E75</f>
        <v>19431.504236466411</v>
      </c>
      <c r="E5" s="647">
        <f ca="1">AVERAGE(C5:D5)</f>
        <v>21859.898244886819</v>
      </c>
    </row>
    <row r="6" spans="2:16" x14ac:dyDescent="0.45">
      <c r="B6" s="664" t="s">
        <v>1422</v>
      </c>
      <c r="C6" s="649">
        <f>C5*C3</f>
        <v>3643.2438379960845</v>
      </c>
      <c r="D6" s="649">
        <f ca="1">D5*D3</f>
        <v>16516.778600996447</v>
      </c>
      <c r="E6" s="649">
        <f ca="1">C6+D6</f>
        <v>20160.022438992532</v>
      </c>
      <c r="K6" s="663" t="s">
        <v>1286</v>
      </c>
      <c r="M6" s="647">
        <f ca="1">E22</f>
        <v>20111.022438992532</v>
      </c>
    </row>
    <row r="7" spans="2:16" x14ac:dyDescent="0.45">
      <c r="C7" s="647"/>
      <c r="D7" s="647"/>
      <c r="E7" s="647"/>
      <c r="K7" s="669" t="s">
        <v>1287</v>
      </c>
      <c r="M7" s="647">
        <f>E23</f>
        <v>6399.6199985667317</v>
      </c>
    </row>
    <row r="8" spans="2:16" x14ac:dyDescent="0.45">
      <c r="B8" s="665" t="s">
        <v>101</v>
      </c>
      <c r="C8" s="650"/>
      <c r="D8" s="650"/>
      <c r="E8" s="651">
        <f>'DCF-Vestas'!E77</f>
        <v>2378</v>
      </c>
      <c r="K8" s="669" t="s">
        <v>1288</v>
      </c>
      <c r="M8" s="652">
        <f>-E20</f>
        <v>-27680.108448999999</v>
      </c>
    </row>
    <row r="9" spans="2:16" x14ac:dyDescent="0.45">
      <c r="B9" s="666" t="s">
        <v>100</v>
      </c>
      <c r="C9" s="653"/>
      <c r="D9" s="653"/>
      <c r="E9" s="654">
        <f>-'DCF-Vestas'!E78</f>
        <v>-2427</v>
      </c>
      <c r="K9" s="669" t="s">
        <v>1289</v>
      </c>
      <c r="M9" s="652">
        <f>M8*D30</f>
        <v>-8470.1131853940005</v>
      </c>
    </row>
    <row r="10" spans="2:16" x14ac:dyDescent="0.45">
      <c r="C10" s="647"/>
      <c r="D10" s="647"/>
      <c r="E10" s="647"/>
      <c r="K10" s="669" t="s">
        <v>1290</v>
      </c>
      <c r="M10" s="652">
        <f>M8*D31</f>
        <v>-1384.00542245</v>
      </c>
    </row>
    <row r="11" spans="2:16" x14ac:dyDescent="0.45">
      <c r="B11" s="664" t="s">
        <v>1259</v>
      </c>
      <c r="C11" s="648"/>
      <c r="D11" s="648"/>
      <c r="E11" s="649">
        <f ca="1">E6+E8+E9</f>
        <v>20111.022438992532</v>
      </c>
      <c r="G11" s="647"/>
      <c r="K11" s="670" t="s">
        <v>103</v>
      </c>
      <c r="L11" s="646"/>
      <c r="M11" s="655">
        <f ca="1">SUM(M6:M10)</f>
        <v>-11023.584619284738</v>
      </c>
    </row>
    <row r="12" spans="2:16" x14ac:dyDescent="0.45">
      <c r="B12" s="667" t="s">
        <v>1260</v>
      </c>
      <c r="C12" s="653"/>
      <c r="D12" s="653"/>
      <c r="E12" s="654">
        <f>'DCF-Vestas'!E80</f>
        <v>1006.177558</v>
      </c>
    </row>
    <row r="13" spans="2:16" ht="16.149999999999999" thickBot="1" x14ac:dyDescent="0.5">
      <c r="B13" s="668" t="s">
        <v>1257</v>
      </c>
      <c r="C13" s="656"/>
      <c r="D13" s="656"/>
      <c r="E13" s="657">
        <f ca="1">E11/E12</f>
        <v>19.987548200704882</v>
      </c>
      <c r="K13" s="731" t="s">
        <v>1301</v>
      </c>
      <c r="L13" s="732"/>
      <c r="M13" s="733">
        <f>M8+M9+M10</f>
        <v>-37534.227056844</v>
      </c>
      <c r="N13" s="652"/>
    </row>
    <row r="14" spans="2:16" ht="16.149999999999999" thickTop="1" x14ac:dyDescent="0.45">
      <c r="K14" s="663" t="s">
        <v>1303</v>
      </c>
      <c r="M14" s="652">
        <f>M13*D32</f>
        <v>-375.34227056844003</v>
      </c>
    </row>
    <row r="15" spans="2:16" x14ac:dyDescent="0.45">
      <c r="B15" s="667" t="s">
        <v>1258</v>
      </c>
      <c r="C15" s="653"/>
      <c r="D15" s="653"/>
      <c r="E15" s="658">
        <f>'Football feild chart_Vestas'!D2</f>
        <v>27.405520805849999</v>
      </c>
      <c r="K15" s="663" t="s">
        <v>85</v>
      </c>
      <c r="M15" s="652">
        <f>-(M13+M14)</f>
        <v>37909.569327412442</v>
      </c>
    </row>
    <row r="16" spans="2:16" ht="16.149999999999999" thickBot="1" x14ac:dyDescent="0.5">
      <c r="B16" s="668" t="s">
        <v>12</v>
      </c>
      <c r="C16" s="656"/>
      <c r="D16" s="656"/>
      <c r="E16" s="659">
        <f ca="1">E13/E15-1</f>
        <v>-0.27067438921144937</v>
      </c>
      <c r="K16" s="731" t="s">
        <v>1321</v>
      </c>
      <c r="M16" s="657">
        <f>-M13/E12</f>
        <v>37.303780787410489</v>
      </c>
      <c r="N16" s="660">
        <f>M16/E15-1</f>
        <v>0.36117759088335233</v>
      </c>
      <c r="O16" s="660">
        <f ca="1">M16/E13-1</f>
        <v>0.86635101078054833</v>
      </c>
      <c r="P16" s="734">
        <f ca="1">M16/E27-1</f>
        <v>0.41581733242597507</v>
      </c>
    </row>
    <row r="17" spans="2:18" ht="16.149999999999999" thickTop="1" x14ac:dyDescent="0.45"/>
    <row r="18" spans="2:18" x14ac:dyDescent="0.45">
      <c r="K18" s="663" t="s">
        <v>1078</v>
      </c>
      <c r="Q18" s="644">
        <v>2022</v>
      </c>
    </row>
    <row r="19" spans="2:18" x14ac:dyDescent="0.45">
      <c r="K19" s="663" t="s">
        <v>101</v>
      </c>
      <c r="L19" s="661">
        <v>10465</v>
      </c>
      <c r="N19" s="644">
        <f>25%</f>
        <v>0.25</v>
      </c>
      <c r="O19" s="644">
        <f>N19*L19</f>
        <v>2616.25</v>
      </c>
      <c r="Q19" s="644">
        <v>11704</v>
      </c>
    </row>
    <row r="20" spans="2:18" x14ac:dyDescent="0.45">
      <c r="B20" s="663" t="s">
        <v>1280</v>
      </c>
      <c r="E20" s="652">
        <f>'Trading Comps'!J11</f>
        <v>27680.108448999999</v>
      </c>
      <c r="K20" s="663" t="s">
        <v>100</v>
      </c>
      <c r="L20" s="661">
        <v>6658</v>
      </c>
      <c r="O20" s="652">
        <f>M13+O19</f>
        <v>-34917.977056844</v>
      </c>
    </row>
    <row r="21" spans="2:18" x14ac:dyDescent="0.45">
      <c r="B21" s="663" t="s">
        <v>1281</v>
      </c>
      <c r="E21" s="647">
        <f ca="1">E22-E20</f>
        <v>-7569.0860100074678</v>
      </c>
      <c r="L21" s="661">
        <v>43978</v>
      </c>
    </row>
    <row r="22" spans="2:18" x14ac:dyDescent="0.45">
      <c r="B22" s="663" t="s">
        <v>48</v>
      </c>
      <c r="E22" s="647">
        <f ca="1">E11</f>
        <v>20111.022438992532</v>
      </c>
      <c r="K22" s="663" t="s">
        <v>1291</v>
      </c>
      <c r="L22" s="661">
        <f>L20+L21</f>
        <v>50636</v>
      </c>
      <c r="M22" s="661">
        <f>L22-O20</f>
        <v>85553.977056844</v>
      </c>
      <c r="Q22" s="644">
        <v>21788</v>
      </c>
      <c r="R22" s="652">
        <f>Q22+(0.8*-M13)</f>
        <v>51815.381645475201</v>
      </c>
    </row>
    <row r="23" spans="2:18" x14ac:dyDescent="0.45">
      <c r="B23" s="663" t="s">
        <v>1282</v>
      </c>
      <c r="E23" s="647">
        <f>Synergies_Vestas!I39</f>
        <v>6399.6199985667317</v>
      </c>
      <c r="K23" s="663" t="s">
        <v>1292</v>
      </c>
      <c r="L23" s="661">
        <f>L22-L19</f>
        <v>40171</v>
      </c>
      <c r="M23" s="661">
        <f>M22-L19-O19</f>
        <v>72472.727056844</v>
      </c>
      <c r="Q23" s="644">
        <f>Q22-Q19</f>
        <v>10084</v>
      </c>
      <c r="R23" s="652">
        <f>R22-Q19</f>
        <v>40111.381645475201</v>
      </c>
    </row>
    <row r="24" spans="2:18" x14ac:dyDescent="0.45">
      <c r="B24" s="663" t="s">
        <v>1283</v>
      </c>
      <c r="E24" s="647">
        <f ca="1">E22+E23</f>
        <v>26510.642437559261</v>
      </c>
      <c r="K24" s="663" t="s">
        <v>88</v>
      </c>
      <c r="L24" s="661">
        <v>10748</v>
      </c>
      <c r="M24" s="661">
        <f>L24</f>
        <v>10748</v>
      </c>
      <c r="Q24" s="644">
        <v>11323</v>
      </c>
      <c r="R24" s="644">
        <f>Q24</f>
        <v>11323</v>
      </c>
    </row>
    <row r="25" spans="2:18" x14ac:dyDescent="0.45">
      <c r="L25" s="661">
        <f>L23/L24</f>
        <v>3.7375325641979904</v>
      </c>
      <c r="M25" s="661">
        <f>M23/M24</f>
        <v>6.7429035222221811</v>
      </c>
      <c r="P25" s="644" t="s">
        <v>1318</v>
      </c>
      <c r="Q25" s="644">
        <f>Q22/Q24</f>
        <v>1.9242250287026406</v>
      </c>
      <c r="R25" s="644">
        <f>R22/R24</f>
        <v>4.5761177819902148</v>
      </c>
    </row>
    <row r="26" spans="2:18" x14ac:dyDescent="0.45">
      <c r="B26" s="667" t="s">
        <v>1260</v>
      </c>
      <c r="C26" s="653"/>
      <c r="D26" s="653"/>
      <c r="E26" s="654">
        <f>E12</f>
        <v>1006.177558</v>
      </c>
      <c r="L26" s="661">
        <f>L22/L24</f>
        <v>4.7112020841086713</v>
      </c>
    </row>
    <row r="27" spans="2:18" ht="16.149999999999999" thickBot="1" x14ac:dyDescent="0.5">
      <c r="B27" s="668" t="s">
        <v>1257</v>
      </c>
      <c r="C27" s="656"/>
      <c r="D27" s="656"/>
      <c r="E27" s="657">
        <f ca="1">E24/E26</f>
        <v>26.347876899833679</v>
      </c>
      <c r="F27" s="734">
        <f ca="1">E27/E13-1</f>
        <v>0.31821455214324357</v>
      </c>
      <c r="G27" s="660">
        <f ca="1">E27/E15-1</f>
        <v>-3.859236660777321E-2</v>
      </c>
      <c r="K27" s="663" t="s">
        <v>1272</v>
      </c>
      <c r="L27" s="661">
        <v>54804</v>
      </c>
      <c r="M27" s="662">
        <f>L22/L27</f>
        <v>0.92394715714181441</v>
      </c>
    </row>
    <row r="28" spans="2:18" ht="16.149999999999999" thickTop="1" x14ac:dyDescent="0.45">
      <c r="M28" s="662">
        <f>'Acq Feasibility'!D6/'Vestas_Valuation Summary'!L27</f>
        <v>1.6156771280821187</v>
      </c>
    </row>
    <row r="30" spans="2:18" x14ac:dyDescent="0.45">
      <c r="B30" s="663" t="s">
        <v>1284</v>
      </c>
      <c r="D30" s="645">
        <v>0.30599999999999999</v>
      </c>
      <c r="K30" s="663" t="s">
        <v>664</v>
      </c>
      <c r="L30" s="661">
        <v>2022</v>
      </c>
    </row>
    <row r="31" spans="2:18" x14ac:dyDescent="0.45">
      <c r="B31" s="663" t="s">
        <v>1285</v>
      </c>
      <c r="D31" s="645">
        <v>0.05</v>
      </c>
      <c r="K31" s="663" t="s">
        <v>271</v>
      </c>
      <c r="L31" s="661">
        <v>2377</v>
      </c>
    </row>
    <row r="32" spans="2:18" x14ac:dyDescent="0.45">
      <c r="B32" s="663" t="s">
        <v>1285</v>
      </c>
      <c r="D32" s="645">
        <v>0.01</v>
      </c>
      <c r="K32" s="663" t="s">
        <v>1306</v>
      </c>
      <c r="L32" s="661">
        <v>1657</v>
      </c>
    </row>
    <row r="33" spans="11:13" x14ac:dyDescent="0.45">
      <c r="K33" s="663" t="s">
        <v>1319</v>
      </c>
      <c r="L33" s="661">
        <v>2249</v>
      </c>
    </row>
    <row r="34" spans="11:13" x14ac:dyDescent="0.45">
      <c r="L34" s="661">
        <f>L31+L32-L33</f>
        <v>1785</v>
      </c>
    </row>
    <row r="35" spans="11:13" x14ac:dyDescent="0.45">
      <c r="L35" s="661">
        <f>L34*1.5</f>
        <v>2677.5</v>
      </c>
    </row>
    <row r="36" spans="11:13" x14ac:dyDescent="0.45">
      <c r="L36" s="661"/>
    </row>
    <row r="37" spans="11:13" x14ac:dyDescent="0.45">
      <c r="L37" s="661">
        <f>M37*M13</f>
        <v>-7506.8454113688003</v>
      </c>
      <c r="M37" s="660">
        <v>0.2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B3F-E0B2-4509-953A-A957D69E63C9}">
  <dimension ref="B2:N34"/>
  <sheetViews>
    <sheetView workbookViewId="0">
      <selection activeCell="E13" sqref="E13"/>
    </sheetView>
  </sheetViews>
  <sheetFormatPr defaultRowHeight="15.75" x14ac:dyDescent="0.55000000000000004"/>
  <cols>
    <col min="1" max="4" width="9.06640625" style="45"/>
    <col min="5" max="14" width="9.59765625" style="45" customWidth="1"/>
    <col min="15" max="16384" width="9.06640625" style="45"/>
  </cols>
  <sheetData>
    <row r="2" spans="2:14" x14ac:dyDescent="0.55000000000000004">
      <c r="I2" s="45">
        <f>((I4/E4)^(1/4))-1</f>
        <v>9.343229098548389E-2</v>
      </c>
      <c r="N2" s="45">
        <f>((N4/I4)^(1/5))-1</f>
        <v>0.15532533458272768</v>
      </c>
    </row>
    <row r="3" spans="2:14" x14ac:dyDescent="0.55000000000000004">
      <c r="B3" s="49" t="s">
        <v>76</v>
      </c>
      <c r="C3" s="50"/>
      <c r="D3" s="50"/>
      <c r="E3" s="49">
        <v>2018</v>
      </c>
      <c r="F3" s="49">
        <v>2019</v>
      </c>
      <c r="G3" s="49">
        <v>2020</v>
      </c>
      <c r="H3" s="49">
        <v>2021</v>
      </c>
      <c r="I3" s="51">
        <v>2022</v>
      </c>
      <c r="J3" s="49">
        <v>2023</v>
      </c>
      <c r="K3" s="49">
        <v>2024</v>
      </c>
      <c r="L3" s="49">
        <v>2025</v>
      </c>
      <c r="M3" s="49">
        <v>2026</v>
      </c>
      <c r="N3" s="49">
        <v>2027</v>
      </c>
    </row>
    <row r="4" spans="2:14" x14ac:dyDescent="0.55000000000000004">
      <c r="B4" s="45" t="s">
        <v>1</v>
      </c>
      <c r="E4" s="52">
        <v>10134</v>
      </c>
      <c r="F4" s="52">
        <v>12147</v>
      </c>
      <c r="G4" s="52">
        <v>14819</v>
      </c>
      <c r="H4" s="52">
        <v>15587</v>
      </c>
      <c r="I4" s="53">
        <v>14486</v>
      </c>
      <c r="J4" s="54">
        <v>15302.771878592828</v>
      </c>
      <c r="K4" s="54">
        <v>18658.999719154574</v>
      </c>
      <c r="L4" s="54">
        <v>23690.875477271991</v>
      </c>
      <c r="M4" s="54">
        <v>27762.205808885621</v>
      </c>
      <c r="N4" s="54">
        <v>29817.413310918433</v>
      </c>
    </row>
    <row r="5" spans="2:14" x14ac:dyDescent="0.55000000000000004">
      <c r="B5" s="55" t="s">
        <v>2</v>
      </c>
      <c r="E5" s="56"/>
      <c r="F5" s="56">
        <v>0.19863824748371828</v>
      </c>
      <c r="G5" s="56">
        <v>0.2199720095496831</v>
      </c>
      <c r="H5" s="56">
        <v>5.1825359335987642E-2</v>
      </c>
      <c r="I5" s="57">
        <v>-7.0635786232116526E-2</v>
      </c>
      <c r="J5" s="58">
        <v>5.6383534349912168E-2</v>
      </c>
      <c r="K5" s="59">
        <v>0.21932156260244584</v>
      </c>
      <c r="L5" s="59">
        <v>0.26967553640894781</v>
      </c>
      <c r="M5" s="59">
        <v>0.1718522532237986</v>
      </c>
      <c r="N5" s="59">
        <v>7.4028970038649403E-2</v>
      </c>
    </row>
    <row r="8" spans="2:14" x14ac:dyDescent="0.55000000000000004">
      <c r="B8" s="60" t="s">
        <v>61</v>
      </c>
      <c r="I8" s="61">
        <v>10398</v>
      </c>
      <c r="J8" s="61">
        <v>10970</v>
      </c>
      <c r="K8" s="61">
        <v>13963</v>
      </c>
      <c r="L8" s="61">
        <v>16814</v>
      </c>
      <c r="M8" s="61">
        <v>19587</v>
      </c>
      <c r="N8" s="61">
        <v>20566</v>
      </c>
    </row>
    <row r="9" spans="2:14" x14ac:dyDescent="0.55000000000000004">
      <c r="B9" s="60" t="s">
        <v>3</v>
      </c>
      <c r="I9" s="61">
        <v>3155</v>
      </c>
      <c r="J9" s="61">
        <v>3400</v>
      </c>
      <c r="K9" s="61">
        <v>3682</v>
      </c>
      <c r="L9" s="61">
        <v>3994</v>
      </c>
      <c r="M9" s="61">
        <v>4330</v>
      </c>
      <c r="N9" s="61">
        <v>4683</v>
      </c>
    </row>
    <row r="10" spans="2:14" x14ac:dyDescent="0.55000000000000004">
      <c r="B10" s="60" t="s">
        <v>4</v>
      </c>
      <c r="I10" s="61">
        <v>933</v>
      </c>
      <c r="J10" s="61">
        <v>933</v>
      </c>
      <c r="K10" s="61">
        <v>1166</v>
      </c>
      <c r="L10" s="61">
        <v>3266</v>
      </c>
      <c r="M10" s="61">
        <v>4082</v>
      </c>
      <c r="N10" s="61">
        <v>5102</v>
      </c>
    </row>
    <row r="12" spans="2:14" x14ac:dyDescent="0.55000000000000004">
      <c r="B12" s="60" t="s">
        <v>61</v>
      </c>
      <c r="I12" s="379">
        <f t="shared" ref="I12:N12" si="0">I$8/SUM(I$8:I$10)</f>
        <v>0.71779649316581529</v>
      </c>
      <c r="J12" s="379">
        <f t="shared" si="0"/>
        <v>0.71685290465921714</v>
      </c>
      <c r="K12" s="379">
        <f t="shared" si="0"/>
        <v>0.74227845409600768</v>
      </c>
      <c r="L12" s="379">
        <f t="shared" si="0"/>
        <v>0.69842984132258867</v>
      </c>
      <c r="M12" s="379">
        <f t="shared" si="0"/>
        <v>0.69956069859637848</v>
      </c>
      <c r="N12" s="379">
        <f t="shared" si="0"/>
        <v>0.67760535072979478</v>
      </c>
    </row>
    <row r="13" spans="2:14" x14ac:dyDescent="0.55000000000000004">
      <c r="B13" s="60" t="s">
        <v>3</v>
      </c>
      <c r="I13" s="379">
        <f t="shared" ref="I13:N13" si="1">I$9/SUM(I$8:I$10)</f>
        <v>0.21779649316581526</v>
      </c>
      <c r="J13" s="379">
        <f t="shared" si="1"/>
        <v>0.22217865777952037</v>
      </c>
      <c r="K13" s="379">
        <f t="shared" si="1"/>
        <v>0.19573653713252884</v>
      </c>
      <c r="L13" s="379">
        <f t="shared" si="1"/>
        <v>0.16590512586192574</v>
      </c>
      <c r="M13" s="379">
        <f t="shared" si="1"/>
        <v>0.1546483802992964</v>
      </c>
      <c r="N13" s="379">
        <f t="shared" si="1"/>
        <v>0.15429475140852031</v>
      </c>
    </row>
    <row r="14" spans="2:14" x14ac:dyDescent="0.55000000000000004">
      <c r="B14" s="60" t="s">
        <v>4</v>
      </c>
      <c r="I14" s="379">
        <f t="shared" ref="I14:N14" si="2">I$10/SUM(I$8:I$10)</f>
        <v>6.4407013668369456E-2</v>
      </c>
      <c r="J14" s="379">
        <f t="shared" si="2"/>
        <v>6.0968437561262495E-2</v>
      </c>
      <c r="K14" s="379">
        <f t="shared" si="2"/>
        <v>6.1985008771463505E-2</v>
      </c>
      <c r="L14" s="379">
        <f t="shared" si="2"/>
        <v>0.13566503281548559</v>
      </c>
      <c r="M14" s="379">
        <f t="shared" si="2"/>
        <v>0.14579092110432515</v>
      </c>
      <c r="N14" s="379">
        <f t="shared" si="2"/>
        <v>0.16809989786168494</v>
      </c>
    </row>
    <row r="15" spans="2:14" x14ac:dyDescent="0.55000000000000004">
      <c r="I15" s="45">
        <f t="shared" ref="I15:N15" si="3">SUM(I12:I14)</f>
        <v>1</v>
      </c>
      <c r="J15" s="45">
        <f t="shared" si="3"/>
        <v>1</v>
      </c>
      <c r="K15" s="45">
        <f t="shared" si="3"/>
        <v>1</v>
      </c>
      <c r="L15" s="45">
        <f t="shared" si="3"/>
        <v>1</v>
      </c>
      <c r="M15" s="45">
        <f t="shared" si="3"/>
        <v>1</v>
      </c>
      <c r="N15" s="45">
        <f t="shared" si="3"/>
        <v>1</v>
      </c>
    </row>
    <row r="17" spans="2:14" x14ac:dyDescent="0.55000000000000004">
      <c r="B17" s="60" t="s">
        <v>61</v>
      </c>
      <c r="J17" s="45">
        <f t="shared" ref="J17:N19" si="4">J$4*J12</f>
        <v>10969.836470506654</v>
      </c>
      <c r="K17" s="45">
        <f t="shared" si="4"/>
        <v>13850.173466511898</v>
      </c>
      <c r="L17" s="45">
        <f t="shared" si="4"/>
        <v>16546.414400384285</v>
      </c>
      <c r="M17" s="45">
        <f t="shared" si="4"/>
        <v>19421.348090240463</v>
      </c>
      <c r="N17" s="45">
        <f t="shared" si="4"/>
        <v>20204.438804400135</v>
      </c>
    </row>
    <row r="18" spans="2:14" x14ac:dyDescent="0.55000000000000004">
      <c r="B18" s="60" t="s">
        <v>3</v>
      </c>
      <c r="J18" s="45">
        <f t="shared" si="4"/>
        <v>3399.9493162919439</v>
      </c>
      <c r="K18" s="45">
        <f t="shared" si="4"/>
        <v>3652.2479913841444</v>
      </c>
      <c r="L18" s="45">
        <f t="shared" si="4"/>
        <v>3930.4376778360197</v>
      </c>
      <c r="M18" s="45">
        <f t="shared" si="4"/>
        <v>4293.3801618798789</v>
      </c>
      <c r="N18" s="45">
        <f t="shared" si="4"/>
        <v>4600.6703744532642</v>
      </c>
    </row>
    <row r="19" spans="2:14" x14ac:dyDescent="0.55000000000000004">
      <c r="B19" s="60" t="s">
        <v>4</v>
      </c>
      <c r="J19" s="45">
        <f t="shared" si="4"/>
        <v>932.98609179423045</v>
      </c>
      <c r="K19" s="45">
        <f t="shared" si="4"/>
        <v>1156.5782612585313</v>
      </c>
      <c r="L19" s="45">
        <f t="shared" si="4"/>
        <v>3214.0233990516876</v>
      </c>
      <c r="M19" s="45">
        <f t="shared" si="4"/>
        <v>4047.477556765281</v>
      </c>
      <c r="N19" s="45">
        <f t="shared" si="4"/>
        <v>5012.3041320650336</v>
      </c>
    </row>
    <row r="20" spans="2:14" x14ac:dyDescent="0.55000000000000004">
      <c r="J20" s="45">
        <f>SUM(J17:J19)</f>
        <v>15302.771878592828</v>
      </c>
      <c r="K20" s="45">
        <f>SUM(K17:K19)</f>
        <v>18658.999719154574</v>
      </c>
      <c r="L20" s="45">
        <f>SUM(L17:L19)</f>
        <v>23690.875477271991</v>
      </c>
      <c r="M20" s="45">
        <f>SUM(M17:M19)</f>
        <v>27762.205808885621</v>
      </c>
      <c r="N20" s="45">
        <f>SUM(N17:N19)</f>
        <v>29817.413310918433</v>
      </c>
    </row>
    <row r="22" spans="2:14" x14ac:dyDescent="0.55000000000000004">
      <c r="B22" s="62" t="s">
        <v>62</v>
      </c>
      <c r="I22" s="62">
        <v>7822.4400000000005</v>
      </c>
      <c r="J22" s="62">
        <v>8340.1350000000002</v>
      </c>
      <c r="K22" s="62">
        <v>10346.6</v>
      </c>
      <c r="L22" s="62">
        <v>13360.515000000001</v>
      </c>
      <c r="M22" s="62">
        <v>15678.880000000001</v>
      </c>
      <c r="N22" s="62">
        <v>17148.315000000002</v>
      </c>
    </row>
    <row r="23" spans="2:14" x14ac:dyDescent="0.55000000000000004">
      <c r="B23" s="62" t="s">
        <v>63</v>
      </c>
      <c r="I23" s="62">
        <v>5070.0999999999995</v>
      </c>
      <c r="J23" s="62">
        <v>5432.5649999999996</v>
      </c>
      <c r="K23" s="62">
        <v>6715.884</v>
      </c>
      <c r="L23" s="62">
        <v>8642.2070000000003</v>
      </c>
      <c r="M23" s="62">
        <v>10107.278</v>
      </c>
      <c r="N23" s="62">
        <v>11017.413</v>
      </c>
    </row>
    <row r="24" spans="2:14" x14ac:dyDescent="0.55000000000000004">
      <c r="B24" s="62" t="s">
        <v>64</v>
      </c>
      <c r="I24" s="62">
        <v>1593.46</v>
      </c>
      <c r="J24" s="62">
        <v>1530.3000000000002</v>
      </c>
      <c r="K24" s="62">
        <v>1749.5160000000001</v>
      </c>
      <c r="L24" s="62">
        <v>2070.2779999999998</v>
      </c>
      <c r="M24" s="62">
        <v>2211.8419999999996</v>
      </c>
      <c r="N24" s="62">
        <v>2185.2719999999995</v>
      </c>
    </row>
    <row r="26" spans="2:14" x14ac:dyDescent="0.55000000000000004">
      <c r="B26" s="62" t="s">
        <v>62</v>
      </c>
      <c r="I26" s="379">
        <f t="shared" ref="I26:N26" si="5">I$22/SUM(I$22:I$24)</f>
        <v>0.54</v>
      </c>
      <c r="J26" s="379">
        <f t="shared" si="5"/>
        <v>0.54500000000000004</v>
      </c>
      <c r="K26" s="379">
        <f t="shared" si="5"/>
        <v>0.55000000000000004</v>
      </c>
      <c r="L26" s="379">
        <f t="shared" si="5"/>
        <v>0.55500000000000005</v>
      </c>
      <c r="M26" s="379">
        <f t="shared" si="5"/>
        <v>0.55999999999999994</v>
      </c>
      <c r="N26" s="379">
        <f t="shared" si="5"/>
        <v>0.56500000000000006</v>
      </c>
    </row>
    <row r="27" spans="2:14" x14ac:dyDescent="0.55000000000000004">
      <c r="B27" s="62" t="s">
        <v>63</v>
      </c>
      <c r="I27" s="379">
        <f t="shared" ref="I27:N27" si="6">I$23/SUM(I$22:I$24)</f>
        <v>0.35</v>
      </c>
      <c r="J27" s="379">
        <f t="shared" si="6"/>
        <v>0.35499999999999998</v>
      </c>
      <c r="K27" s="379">
        <f t="shared" si="6"/>
        <v>0.35699999999999998</v>
      </c>
      <c r="L27" s="379">
        <f t="shared" si="6"/>
        <v>0.35900000000000004</v>
      </c>
      <c r="M27" s="379">
        <f t="shared" si="6"/>
        <v>0.36099999999999999</v>
      </c>
      <c r="N27" s="379">
        <f t="shared" si="6"/>
        <v>0.36299999999999999</v>
      </c>
    </row>
    <row r="28" spans="2:14" x14ac:dyDescent="0.55000000000000004">
      <c r="B28" s="62" t="s">
        <v>64</v>
      </c>
      <c r="I28" s="379">
        <f>I$24/SUM(I$8:I$10)</f>
        <v>0.11</v>
      </c>
      <c r="J28" s="379">
        <f>J$24/SUM(J$8:J$10)</f>
        <v>0.1</v>
      </c>
      <c r="K28" s="379">
        <f>1-SUM(K26:K27)</f>
        <v>9.2999999999999972E-2</v>
      </c>
      <c r="L28" s="379">
        <f>1-SUM(L26:L27)</f>
        <v>8.5999999999999854E-2</v>
      </c>
      <c r="M28" s="379">
        <f>1-SUM(M26:M27)</f>
        <v>7.900000000000007E-2</v>
      </c>
      <c r="N28" s="379">
        <f>N$24/SUM(N$8:N$10)</f>
        <v>7.1999999999999981E-2</v>
      </c>
    </row>
    <row r="29" spans="2:14" x14ac:dyDescent="0.55000000000000004">
      <c r="I29" s="63">
        <f t="shared" ref="I29:N29" si="7">SUM(I26:I28)</f>
        <v>1</v>
      </c>
      <c r="J29" s="63">
        <f t="shared" si="7"/>
        <v>1</v>
      </c>
      <c r="K29" s="63">
        <f t="shared" si="7"/>
        <v>1</v>
      </c>
      <c r="L29" s="63">
        <f t="shared" si="7"/>
        <v>1</v>
      </c>
      <c r="M29" s="63">
        <f t="shared" si="7"/>
        <v>1</v>
      </c>
      <c r="N29" s="63">
        <f t="shared" si="7"/>
        <v>1</v>
      </c>
    </row>
    <row r="30" spans="2:14" x14ac:dyDescent="0.55000000000000004">
      <c r="I30" s="63"/>
      <c r="J30" s="63"/>
      <c r="K30" s="63"/>
      <c r="L30" s="63"/>
      <c r="M30" s="63"/>
      <c r="N30" s="63"/>
    </row>
    <row r="31" spans="2:14" x14ac:dyDescent="0.55000000000000004">
      <c r="B31" s="62" t="s">
        <v>62</v>
      </c>
      <c r="J31" s="45">
        <f t="shared" ref="J31:N33" si="8">J26*J$4</f>
        <v>8340.0106738330924</v>
      </c>
      <c r="K31" s="45">
        <f t="shared" si="8"/>
        <v>10262.449845535017</v>
      </c>
      <c r="L31" s="45">
        <f t="shared" si="8"/>
        <v>13148.435889885955</v>
      </c>
      <c r="M31" s="45">
        <f t="shared" si="8"/>
        <v>15546.835252975947</v>
      </c>
      <c r="N31" s="45">
        <f t="shared" si="8"/>
        <v>16846.838520668916</v>
      </c>
    </row>
    <row r="32" spans="2:14" x14ac:dyDescent="0.55000000000000004">
      <c r="B32" s="62" t="s">
        <v>63</v>
      </c>
      <c r="J32" s="45">
        <f t="shared" si="8"/>
        <v>5432.4840169004538</v>
      </c>
      <c r="K32" s="45">
        <f t="shared" si="8"/>
        <v>6661.2628997381826</v>
      </c>
      <c r="L32" s="45">
        <f t="shared" si="8"/>
        <v>8505.0242963406454</v>
      </c>
      <c r="M32" s="45">
        <f t="shared" si="8"/>
        <v>10022.156297007708</v>
      </c>
      <c r="N32" s="45">
        <f t="shared" si="8"/>
        <v>10823.721031863392</v>
      </c>
    </row>
    <row r="33" spans="2:14" x14ac:dyDescent="0.55000000000000004">
      <c r="B33" s="62" t="s">
        <v>64</v>
      </c>
      <c r="J33" s="45">
        <f t="shared" si="8"/>
        <v>1530.277187859283</v>
      </c>
      <c r="K33" s="45">
        <f t="shared" si="8"/>
        <v>1735.2869738813747</v>
      </c>
      <c r="L33" s="45">
        <f t="shared" si="8"/>
        <v>2037.4152910453879</v>
      </c>
      <c r="M33" s="45">
        <f t="shared" si="8"/>
        <v>2193.2142589019659</v>
      </c>
      <c r="N33" s="45">
        <f t="shared" si="8"/>
        <v>2146.8537583861266</v>
      </c>
    </row>
    <row r="34" spans="2:14" x14ac:dyDescent="0.55000000000000004">
      <c r="J34" s="45">
        <f>SUM(J31:J33)</f>
        <v>15302.77187859283</v>
      </c>
      <c r="K34" s="45">
        <f>SUM(K31:K33)</f>
        <v>18658.999719154574</v>
      </c>
      <c r="L34" s="45">
        <f>SUM(L31:L33)</f>
        <v>23690.875477271988</v>
      </c>
      <c r="M34" s="45">
        <f>SUM(M31:M33)</f>
        <v>27762.205808885621</v>
      </c>
      <c r="N34" s="45">
        <f>SUM(N31:N33)</f>
        <v>29817.413310918433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3C1E-1E5F-410F-A935-DC42FE2DF962}">
  <dimension ref="B3:L31"/>
  <sheetViews>
    <sheetView workbookViewId="0">
      <selection activeCell="M18" sqref="M18"/>
    </sheetView>
  </sheetViews>
  <sheetFormatPr defaultRowHeight="14.25" x14ac:dyDescent="0.45"/>
  <cols>
    <col min="2" max="2" width="16.73046875" bestFit="1" customWidth="1"/>
    <col min="5" max="5" width="11" bestFit="1" customWidth="1"/>
    <col min="6" max="6" width="11" customWidth="1"/>
    <col min="8" max="8" width="9" bestFit="1" customWidth="1"/>
    <col min="9" max="9" width="8" bestFit="1" customWidth="1"/>
    <col min="11" max="11" width="13.1328125" bestFit="1" customWidth="1"/>
    <col min="12" max="12" width="6.19921875" bestFit="1" customWidth="1"/>
  </cols>
  <sheetData>
    <row r="3" spans="2:12" x14ac:dyDescent="0.45">
      <c r="C3" t="s">
        <v>1299</v>
      </c>
      <c r="D3" t="s">
        <v>1291</v>
      </c>
      <c r="E3" t="s">
        <v>88</v>
      </c>
      <c r="F3" t="s">
        <v>1300</v>
      </c>
      <c r="K3" t="s">
        <v>1301</v>
      </c>
      <c r="L3" s="413">
        <f>-'Vestas_Valuation Summary'!M13</f>
        <v>37534.227056844</v>
      </c>
    </row>
    <row r="4" spans="2:12" x14ac:dyDescent="0.45">
      <c r="B4" t="s">
        <v>1302</v>
      </c>
      <c r="C4">
        <f>'Vestas_Valuation Summary'!L19</f>
        <v>10465</v>
      </c>
      <c r="D4">
        <f>'Vestas_Valuation Summary'!L22</f>
        <v>50636</v>
      </c>
      <c r="E4">
        <v>10748</v>
      </c>
      <c r="F4" s="417">
        <f>(D4)/E4</f>
        <v>4.7112020841086713</v>
      </c>
      <c r="H4" t="s">
        <v>1291</v>
      </c>
      <c r="I4" s="413">
        <f>-'Vestas_Valuation Summary'!M13-'Vestas_Valuation Summary'!M14</f>
        <v>37909.569327412442</v>
      </c>
      <c r="K4" t="s">
        <v>1303</v>
      </c>
      <c r="L4" s="413">
        <f>-'Vestas_Valuation Summary'!M14</f>
        <v>375.34227056844003</v>
      </c>
    </row>
    <row r="5" spans="2:12" x14ac:dyDescent="0.45">
      <c r="B5" t="s">
        <v>1304</v>
      </c>
      <c r="C5">
        <f>C4</f>
        <v>10465</v>
      </c>
      <c r="D5" s="413">
        <f>D4+(0.51*L5)</f>
        <v>69969.880356980342</v>
      </c>
      <c r="E5">
        <v>10748</v>
      </c>
      <c r="F5" s="417">
        <f>(D5)/E5</f>
        <v>6.5100372494399279</v>
      </c>
      <c r="I5" s="413">
        <f>SUM(I3:I4)</f>
        <v>37909.569327412442</v>
      </c>
      <c r="L5" s="413">
        <f>SUM(L3:L4)</f>
        <v>37909.569327412442</v>
      </c>
    </row>
    <row r="6" spans="2:12" x14ac:dyDescent="0.45">
      <c r="B6" t="s">
        <v>1305</v>
      </c>
      <c r="C6">
        <f>C4</f>
        <v>10465</v>
      </c>
      <c r="D6" s="413">
        <f>I5+D4</f>
        <v>88545.569327412435</v>
      </c>
      <c r="E6">
        <v>10748</v>
      </c>
      <c r="F6" s="417">
        <f>(D6)/E6</f>
        <v>8.2383298592679974</v>
      </c>
    </row>
    <row r="7" spans="2:12" x14ac:dyDescent="0.45">
      <c r="C7" s="41"/>
      <c r="D7" s="13">
        <f>D6/D4-1</f>
        <v>0.74866832544854334</v>
      </c>
    </row>
    <row r="9" spans="2:12" x14ac:dyDescent="0.45">
      <c r="B9" t="s">
        <v>664</v>
      </c>
    </row>
    <row r="10" spans="2:12" x14ac:dyDescent="0.45">
      <c r="B10" t="s">
        <v>271</v>
      </c>
      <c r="C10">
        <v>10626</v>
      </c>
    </row>
    <row r="11" spans="2:12" x14ac:dyDescent="0.45">
      <c r="B11" t="s">
        <v>1306</v>
      </c>
      <c r="C11">
        <v>16701</v>
      </c>
    </row>
    <row r="12" spans="2:12" x14ac:dyDescent="0.45">
      <c r="B12" t="s">
        <v>1307</v>
      </c>
      <c r="C12">
        <v>10317</v>
      </c>
    </row>
    <row r="13" spans="2:12" x14ac:dyDescent="0.45">
      <c r="B13" t="s">
        <v>1308</v>
      </c>
      <c r="C13">
        <f>C10+C11-C12</f>
        <v>17010</v>
      </c>
      <c r="I13" s="41"/>
    </row>
    <row r="17" spans="2:9" x14ac:dyDescent="0.45">
      <c r="C17">
        <f>D4</f>
        <v>50636</v>
      </c>
      <c r="D17" s="413">
        <f>D6</f>
        <v>88545.569327412435</v>
      </c>
    </row>
    <row r="18" spans="2:9" x14ac:dyDescent="0.45">
      <c r="B18" t="s">
        <v>1309</v>
      </c>
      <c r="C18">
        <v>1676</v>
      </c>
      <c r="D18" s="413">
        <f>D17*D19</f>
        <v>3010.549357132023</v>
      </c>
      <c r="E18" s="381">
        <f>D18/C18-1</f>
        <v>0.79627049948211392</v>
      </c>
    </row>
    <row r="19" spans="2:9" x14ac:dyDescent="0.45">
      <c r="C19" s="418">
        <v>3.4000000000000002E-2</v>
      </c>
      <c r="D19" s="418">
        <v>3.4000000000000002E-2</v>
      </c>
    </row>
    <row r="21" spans="2:9" x14ac:dyDescent="0.45">
      <c r="C21" t="s">
        <v>1310</v>
      </c>
      <c r="D21" t="s">
        <v>1311</v>
      </c>
      <c r="G21" t="s">
        <v>1310</v>
      </c>
      <c r="H21" t="s">
        <v>1312</v>
      </c>
      <c r="I21" t="s">
        <v>1312</v>
      </c>
    </row>
    <row r="22" spans="2:9" x14ac:dyDescent="0.45">
      <c r="B22" t="s">
        <v>302</v>
      </c>
      <c r="C22">
        <v>54804</v>
      </c>
      <c r="D22">
        <v>54804</v>
      </c>
      <c r="F22" t="s">
        <v>302</v>
      </c>
      <c r="G22">
        <v>54804</v>
      </c>
      <c r="H22">
        <f>G22+C27</f>
        <v>74137.880356980342</v>
      </c>
      <c r="I22" s="413">
        <f>G22+D27</f>
        <v>92713.569327412435</v>
      </c>
    </row>
    <row r="23" spans="2:9" x14ac:dyDescent="0.45">
      <c r="B23" t="s">
        <v>1291</v>
      </c>
      <c r="C23">
        <f>D4</f>
        <v>50636</v>
      </c>
      <c r="D23" s="413">
        <f>D6</f>
        <v>88545.569327412435</v>
      </c>
      <c r="F23" t="s">
        <v>1291</v>
      </c>
      <c r="G23">
        <f>D4</f>
        <v>50636</v>
      </c>
      <c r="H23" s="413">
        <f>G23</f>
        <v>50636</v>
      </c>
      <c r="I23" s="413">
        <f>H23</f>
        <v>50636</v>
      </c>
    </row>
    <row r="24" spans="2:9" x14ac:dyDescent="0.45">
      <c r="C24" s="417">
        <f>C23/C22</f>
        <v>0.92394715714181441</v>
      </c>
      <c r="D24" s="417">
        <f>D23/D22</f>
        <v>1.6156771280821187</v>
      </c>
      <c r="F24" t="s">
        <v>1313</v>
      </c>
      <c r="G24" s="417">
        <f>G23/G22</f>
        <v>0.92394715714181441</v>
      </c>
      <c r="H24" s="417">
        <f>H23/H22</f>
        <v>0.68299767617017448</v>
      </c>
      <c r="I24" s="417">
        <f>I23/I22</f>
        <v>0.54615522158554797</v>
      </c>
    </row>
    <row r="26" spans="2:9" x14ac:dyDescent="0.45">
      <c r="B26" t="s">
        <v>1314</v>
      </c>
      <c r="C26" s="41">
        <v>0.51</v>
      </c>
      <c r="D26" s="41">
        <v>1</v>
      </c>
    </row>
    <row r="27" spans="2:9" x14ac:dyDescent="0.45">
      <c r="B27" t="s">
        <v>103</v>
      </c>
      <c r="C27">
        <f>D27*C26</f>
        <v>19333.880356980346</v>
      </c>
      <c r="D27" s="413">
        <f>'Acq Feasibility'!L5</f>
        <v>37909.569327412442</v>
      </c>
    </row>
    <row r="28" spans="2:9" x14ac:dyDescent="0.45">
      <c r="B28" t="s">
        <v>1315</v>
      </c>
      <c r="C28">
        <v>147.08000000000001</v>
      </c>
      <c r="D28">
        <v>147.08000000000001</v>
      </c>
    </row>
    <row r="29" spans="2:9" x14ac:dyDescent="0.45">
      <c r="B29" t="s">
        <v>49</v>
      </c>
      <c r="C29">
        <f>C27/C28</f>
        <v>131.45145741759822</v>
      </c>
      <c r="D29">
        <f>D27/D28</f>
        <v>257.74795572078079</v>
      </c>
    </row>
    <row r="30" spans="2:9" x14ac:dyDescent="0.45">
      <c r="B30" t="s">
        <v>1316</v>
      </c>
      <c r="C30">
        <v>792.55</v>
      </c>
      <c r="D30">
        <v>792.55</v>
      </c>
    </row>
    <row r="31" spans="2:9" x14ac:dyDescent="0.45">
      <c r="B31" t="s">
        <v>1317</v>
      </c>
      <c r="C31" s="381">
        <f>C29/C30</f>
        <v>0.16585888261636267</v>
      </c>
      <c r="D31" s="381">
        <f>D29/D30</f>
        <v>0.32521349532620125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9E82-BC71-468B-ABF5-43D9CEC1E024}">
  <dimension ref="C1:I34"/>
  <sheetViews>
    <sheetView showGridLines="0" workbookViewId="0">
      <selection activeCell="D6" sqref="D6"/>
    </sheetView>
  </sheetViews>
  <sheetFormatPr defaultRowHeight="14.25" x14ac:dyDescent="0.45"/>
  <cols>
    <col min="3" max="3" width="25.59765625" bestFit="1" customWidth="1"/>
    <col min="4" max="4" width="10.265625" bestFit="1" customWidth="1"/>
  </cols>
  <sheetData>
    <row r="1" spans="3:6" ht="15.75" x14ac:dyDescent="0.55000000000000004">
      <c r="C1" s="42" t="s">
        <v>10</v>
      </c>
      <c r="D1" s="43">
        <v>44990</v>
      </c>
    </row>
    <row r="2" spans="3:6" ht="15.75" x14ac:dyDescent="0.55000000000000004">
      <c r="D2" s="414">
        <f>Vestas_Pitchbooksum!E30</f>
        <v>27.405520805849999</v>
      </c>
      <c r="E2" t="s">
        <v>597</v>
      </c>
    </row>
    <row r="5" spans="3:6" x14ac:dyDescent="0.45">
      <c r="C5" t="s">
        <v>1325</v>
      </c>
      <c r="D5" t="s">
        <v>69</v>
      </c>
      <c r="E5" t="s">
        <v>70</v>
      </c>
      <c r="F5" t="s">
        <v>71</v>
      </c>
    </row>
    <row r="6" spans="3:6" ht="28.5" x14ac:dyDescent="0.45">
      <c r="C6" s="415" t="s">
        <v>1252</v>
      </c>
      <c r="D6" s="18">
        <v>25.21259193124552</v>
      </c>
      <c r="E6" s="18">
        <f>F6-D6</f>
        <v>25.10328317748953</v>
      </c>
      <c r="F6" s="18">
        <v>50.31587510873505</v>
      </c>
    </row>
    <row r="7" spans="3:6" ht="28.5" x14ac:dyDescent="0.45">
      <c r="C7" s="415" t="s">
        <v>1253</v>
      </c>
      <c r="D7" s="18">
        <v>15.078329675873116</v>
      </c>
      <c r="E7" s="18">
        <f>F7-D7</f>
        <v>11.256083210641952</v>
      </c>
      <c r="F7" s="18">
        <v>26.334412886515068</v>
      </c>
    </row>
    <row r="8" spans="3:6" ht="28.5" x14ac:dyDescent="0.45">
      <c r="C8" s="415" t="s">
        <v>1254</v>
      </c>
      <c r="D8" s="18">
        <v>9.4279142013185311</v>
      </c>
      <c r="E8" s="18">
        <f>F8-D8</f>
        <v>6.045816344427573</v>
      </c>
      <c r="F8" s="18">
        <v>15.473730545746104</v>
      </c>
    </row>
    <row r="9" spans="3:6" ht="28.5" x14ac:dyDescent="0.45">
      <c r="C9" s="415" t="s">
        <v>1255</v>
      </c>
      <c r="D9" s="18">
        <f>'Trading Comps'!AK30</f>
        <v>7.1498315012110423</v>
      </c>
      <c r="E9" s="18">
        <f>F9-D9</f>
        <v>31.337701782956312</v>
      </c>
      <c r="F9" s="18">
        <f>'Trading Comps'!AO30</f>
        <v>38.487533284167355</v>
      </c>
    </row>
    <row r="10" spans="3:6" x14ac:dyDescent="0.45">
      <c r="C10" s="416" t="s">
        <v>74</v>
      </c>
      <c r="D10" s="18">
        <v>17.650821155500005</v>
      </c>
      <c r="E10" s="18">
        <f>F10-D10</f>
        <v>14.835219413399997</v>
      </c>
      <c r="F10" s="18">
        <v>32.486040568900002</v>
      </c>
    </row>
    <row r="34" spans="9:9" ht="15.75" x14ac:dyDescent="0.55000000000000004">
      <c r="I34" s="45"/>
    </row>
  </sheetData>
  <sortState xmlns:xlrd2="http://schemas.microsoft.com/office/spreadsheetml/2017/richdata2" ref="C6:F10">
    <sortCondition descending="1" ref="F6:F10"/>
  </sortState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80A3-8AA9-4860-BCF7-B0227FBCC753}">
  <dimension ref="B4:P83"/>
  <sheetViews>
    <sheetView topLeftCell="A2" zoomScale="80" zoomScaleNormal="80" workbookViewId="0">
      <selection activeCell="S33" sqref="S33"/>
    </sheetView>
  </sheetViews>
  <sheetFormatPr defaultRowHeight="14.25" x14ac:dyDescent="0.45"/>
  <sheetData>
    <row r="4" spans="2:16" x14ac:dyDescent="0.45">
      <c r="B4" t="s">
        <v>1091</v>
      </c>
    </row>
    <row r="6" spans="2:16" x14ac:dyDescent="0.45">
      <c r="B6" t="s">
        <v>1090</v>
      </c>
      <c r="F6" s="382">
        <v>30</v>
      </c>
      <c r="H6" t="s">
        <v>1089</v>
      </c>
    </row>
    <row r="7" spans="2:16" x14ac:dyDescent="0.45">
      <c r="B7" t="s">
        <v>1088</v>
      </c>
      <c r="F7" s="381">
        <f>1/3</f>
        <v>0.33333333333333331</v>
      </c>
      <c r="H7" t="s">
        <v>1087</v>
      </c>
    </row>
    <row r="8" spans="2:16" x14ac:dyDescent="0.45">
      <c r="B8" t="s">
        <v>1086</v>
      </c>
      <c r="F8" s="381">
        <f>1/3</f>
        <v>0.33333333333333331</v>
      </c>
      <c r="H8" t="s">
        <v>1085</v>
      </c>
    </row>
    <row r="9" spans="2:16" x14ac:dyDescent="0.45">
      <c r="B9" t="s">
        <v>1084</v>
      </c>
      <c r="F9" s="381">
        <f>1/3</f>
        <v>0.33333333333333331</v>
      </c>
      <c r="H9" t="s">
        <v>1083</v>
      </c>
    </row>
    <row r="10" spans="2:16" x14ac:dyDescent="0.45">
      <c r="B10" t="s">
        <v>1082</v>
      </c>
      <c r="F10" s="381">
        <v>0.01</v>
      </c>
      <c r="H10" t="s">
        <v>1081</v>
      </c>
    </row>
    <row r="12" spans="2:16" x14ac:dyDescent="0.45">
      <c r="B12" t="s">
        <v>1080</v>
      </c>
      <c r="F12" s="41">
        <v>0.05</v>
      </c>
      <c r="H12" t="s">
        <v>1079</v>
      </c>
      <c r="L12" s="41">
        <v>0.25</v>
      </c>
    </row>
    <row r="16" spans="2:16" x14ac:dyDescent="0.45">
      <c r="B16" t="s">
        <v>1078</v>
      </c>
      <c r="C16" s="16">
        <v>2022</v>
      </c>
      <c r="D16" s="16">
        <f>C16+1</f>
        <v>2023</v>
      </c>
      <c r="E16" s="16">
        <f>D16+1</f>
        <v>2024</v>
      </c>
      <c r="F16" s="16">
        <f>E16+1</f>
        <v>2025</v>
      </c>
      <c r="G16" s="16">
        <f>F16+1</f>
        <v>2026</v>
      </c>
      <c r="H16" s="16">
        <f>G16+1</f>
        <v>2027</v>
      </c>
      <c r="J16" t="s">
        <v>76</v>
      </c>
      <c r="K16" s="16">
        <v>2022</v>
      </c>
      <c r="L16" s="16">
        <f>K16+1</f>
        <v>2023</v>
      </c>
      <c r="M16" s="16">
        <f>L16+1</f>
        <v>2024</v>
      </c>
      <c r="N16" s="16">
        <f>M16+1</f>
        <v>2025</v>
      </c>
      <c r="O16" s="16">
        <f>N16+1</f>
        <v>2026</v>
      </c>
      <c r="P16" s="16">
        <f>O16+1</f>
        <v>2027</v>
      </c>
    </row>
    <row r="17" spans="2:16" x14ac:dyDescent="0.45">
      <c r="B17" t="s">
        <v>1</v>
      </c>
      <c r="C17" s="380">
        <v>71977</v>
      </c>
      <c r="D17" s="380">
        <v>76700.823726051385</v>
      </c>
      <c r="E17" s="380">
        <v>79265.323198717553</v>
      </c>
      <c r="F17" s="380">
        <v>83196.813663456254</v>
      </c>
      <c r="G17" s="380">
        <v>87447.794168391876</v>
      </c>
      <c r="H17" s="380">
        <v>91922.966339591832</v>
      </c>
      <c r="J17" t="s">
        <v>1</v>
      </c>
      <c r="K17">
        <v>14486</v>
      </c>
      <c r="L17" s="380">
        <v>15302.771878592828</v>
      </c>
      <c r="M17" s="380">
        <v>18812.027437940502</v>
      </c>
      <c r="N17" s="380">
        <v>24073.291302586356</v>
      </c>
      <c r="O17" s="380">
        <v>27998.48051102406</v>
      </c>
      <c r="P17" s="380">
        <v>30351.16399101261</v>
      </c>
    </row>
    <row r="18" spans="2:16" x14ac:dyDescent="0.45">
      <c r="D18" s="381">
        <f>D17/C17-1</f>
        <v>6.5629627881842678E-2</v>
      </c>
      <c r="E18" s="381">
        <f>E17/D17-1</f>
        <v>3.3435096887950877E-2</v>
      </c>
      <c r="F18" s="381">
        <f>F17/E17-1</f>
        <v>4.9599122366315029E-2</v>
      </c>
      <c r="G18" s="381">
        <f>G17/F17-1</f>
        <v>5.109547250368851E-2</v>
      </c>
      <c r="H18" s="381">
        <f>H17/G17-1</f>
        <v>5.1175357980813629E-2</v>
      </c>
      <c r="L18" s="381">
        <f>L17/K17-1</f>
        <v>5.6383534349912168E-2</v>
      </c>
      <c r="M18" s="381">
        <f>M17/L17-1</f>
        <v>0.22932156260244585</v>
      </c>
      <c r="N18" s="381">
        <f>N17/M17-1</f>
        <v>0.27967553640894782</v>
      </c>
      <c r="O18" s="381">
        <f>O17/N17-1</f>
        <v>0.16305162260949313</v>
      </c>
      <c r="P18" s="381">
        <f>P17/O17-1</f>
        <v>8.4028970038649398E-2</v>
      </c>
    </row>
    <row r="19" spans="2:16" x14ac:dyDescent="0.45">
      <c r="B19" t="s">
        <v>1076</v>
      </c>
      <c r="C19" s="380">
        <v>46130</v>
      </c>
      <c r="D19" s="380">
        <v>47776.87990712047</v>
      </c>
      <c r="E19" s="380">
        <v>49176.141207822249</v>
      </c>
      <c r="F19" s="380">
        <v>51615.234653092208</v>
      </c>
      <c r="G19" s="380">
        <v>54252.539456080711</v>
      </c>
      <c r="H19" s="380">
        <v>57028.932584113856</v>
      </c>
      <c r="J19" t="s">
        <v>1076</v>
      </c>
      <c r="K19" s="380">
        <v>13999</v>
      </c>
      <c r="L19" s="380">
        <v>14297.274719917214</v>
      </c>
      <c r="M19" s="380">
        <v>16483.642983432754</v>
      </c>
      <c r="N19" s="380">
        <v>20734.284816951145</v>
      </c>
      <c r="O19" s="380">
        <v>23902.715446963051</v>
      </c>
      <c r="P19" s="380">
        <v>25696.471774518875</v>
      </c>
    </row>
    <row r="20" spans="2:16" x14ac:dyDescent="0.45">
      <c r="B20" t="s">
        <v>203</v>
      </c>
      <c r="C20" s="380">
        <f t="shared" ref="C20:H20" si="0">C17-C19</f>
        <v>25847</v>
      </c>
      <c r="D20" s="380">
        <f t="shared" si="0"/>
        <v>28923.943818930915</v>
      </c>
      <c r="E20" s="380">
        <f t="shared" si="0"/>
        <v>30089.181990895304</v>
      </c>
      <c r="F20" s="380">
        <f t="shared" si="0"/>
        <v>31581.579010364047</v>
      </c>
      <c r="G20" s="380">
        <f t="shared" si="0"/>
        <v>33195.254712311165</v>
      </c>
      <c r="H20" s="380">
        <f t="shared" si="0"/>
        <v>34894.033755477976</v>
      </c>
      <c r="J20" t="s">
        <v>203</v>
      </c>
      <c r="K20" s="380">
        <f t="shared" ref="K20:P20" si="1">K17-K19</f>
        <v>487</v>
      </c>
      <c r="L20" s="380">
        <f t="shared" si="1"/>
        <v>1005.4971586756146</v>
      </c>
      <c r="M20" s="380">
        <f t="shared" si="1"/>
        <v>2328.3844545077482</v>
      </c>
      <c r="N20" s="380">
        <f t="shared" si="1"/>
        <v>3339.006485635211</v>
      </c>
      <c r="O20" s="380">
        <f t="shared" si="1"/>
        <v>4095.7650640610082</v>
      </c>
      <c r="P20" s="380">
        <f t="shared" si="1"/>
        <v>4654.692216493735</v>
      </c>
    </row>
    <row r="21" spans="2:16" x14ac:dyDescent="0.45">
      <c r="C21" s="8">
        <f t="shared" ref="C21:H21" si="2">C20/C$17</f>
        <v>0.35910082387429315</v>
      </c>
      <c r="D21" s="8">
        <f t="shared" si="2"/>
        <v>0.37710082387429322</v>
      </c>
      <c r="E21" s="8">
        <f t="shared" si="2"/>
        <v>0.37960082387429311</v>
      </c>
      <c r="F21" s="8">
        <f t="shared" si="2"/>
        <v>0.37960082387429317</v>
      </c>
      <c r="G21" s="8">
        <f t="shared" si="2"/>
        <v>0.37960082387429317</v>
      </c>
      <c r="H21" s="8">
        <f t="shared" si="2"/>
        <v>0.37960082387429317</v>
      </c>
      <c r="K21" s="8">
        <f t="shared" ref="K21:P21" si="3">K20/K$17</f>
        <v>3.3618666298495102E-2</v>
      </c>
      <c r="L21" s="8">
        <f t="shared" si="3"/>
        <v>6.5706864524473024E-2</v>
      </c>
      <c r="M21" s="8">
        <f t="shared" si="3"/>
        <v>0.12377105350228292</v>
      </c>
      <c r="N21" s="8">
        <f t="shared" si="3"/>
        <v>0.13870170238319174</v>
      </c>
      <c r="O21" s="8">
        <f t="shared" si="3"/>
        <v>0.14628526224658336</v>
      </c>
      <c r="P21" s="8">
        <f t="shared" si="3"/>
        <v>0.15336124235209075</v>
      </c>
    </row>
    <row r="23" spans="2:16" x14ac:dyDescent="0.45">
      <c r="B23" t="s">
        <v>1075</v>
      </c>
      <c r="C23" s="380">
        <v>9309</v>
      </c>
      <c r="D23" s="380">
        <v>9152.9379686915599</v>
      </c>
      <c r="E23" s="380">
        <v>9458.9673364841656</v>
      </c>
      <c r="F23" s="380">
        <v>9928.1238148654211</v>
      </c>
      <c r="G23" s="380">
        <v>10435.405992261092</v>
      </c>
      <c r="H23" s="380">
        <v>10969.441629590179</v>
      </c>
      <c r="J23" t="s">
        <v>1075</v>
      </c>
      <c r="K23" s="380">
        <v>642</v>
      </c>
      <c r="L23" s="380">
        <v>596.80810326512028</v>
      </c>
      <c r="M23" s="380">
        <v>658.42096032791756</v>
      </c>
      <c r="N23" s="380">
        <v>830.52854993922926</v>
      </c>
      <c r="O23" s="380">
        <v>965.94757763032999</v>
      </c>
      <c r="P23" s="380">
        <v>1031.9395756944286</v>
      </c>
    </row>
    <row r="24" spans="2:16" x14ac:dyDescent="0.45">
      <c r="B24" t="s">
        <v>1074</v>
      </c>
      <c r="C24" s="380">
        <v>5591</v>
      </c>
      <c r="D24" s="380">
        <v>5957.935249487382</v>
      </c>
      <c r="E24" s="380">
        <v>6341.2258558974045</v>
      </c>
      <c r="F24" s="380">
        <v>6655.7450930765008</v>
      </c>
      <c r="G24" s="380">
        <v>6995.8235334713499</v>
      </c>
      <c r="H24" s="380">
        <v>7353.8373071673468</v>
      </c>
      <c r="J24" t="s">
        <v>1074</v>
      </c>
      <c r="K24" s="380">
        <v>100</v>
      </c>
      <c r="L24" s="380">
        <v>105.63835343499122</v>
      </c>
      <c r="M24" s="380">
        <v>129.86350571545285</v>
      </c>
      <c r="N24" s="380">
        <v>147.88183343190289</v>
      </c>
      <c r="O24" s="380">
        <v>171.99420632744147</v>
      </c>
      <c r="P24" s="380">
        <v>186.4467023377513</v>
      </c>
    </row>
    <row r="26" spans="2:16" x14ac:dyDescent="0.45">
      <c r="B26" t="s">
        <v>88</v>
      </c>
      <c r="C26" s="380">
        <f t="shared" ref="C26:H26" si="4">C20-C23-C24</f>
        <v>10947</v>
      </c>
      <c r="D26" s="380">
        <f t="shared" si="4"/>
        <v>13813.070600751973</v>
      </c>
      <c r="E26" s="380">
        <f t="shared" si="4"/>
        <v>14288.988798513734</v>
      </c>
      <c r="F26" s="380">
        <f t="shared" si="4"/>
        <v>14997.710102422123</v>
      </c>
      <c r="G26" s="380">
        <f t="shared" si="4"/>
        <v>15764.025186578725</v>
      </c>
      <c r="H26" s="380">
        <f t="shared" si="4"/>
        <v>16570.754818720452</v>
      </c>
      <c r="J26" t="s">
        <v>88</v>
      </c>
      <c r="K26" s="380">
        <f t="shared" ref="K26:P26" si="5">K20-K23-K24</f>
        <v>-255</v>
      </c>
      <c r="L26" s="380">
        <f t="shared" si="5"/>
        <v>303.0507019755031</v>
      </c>
      <c r="M26" s="380">
        <f t="shared" si="5"/>
        <v>1540.0999884643777</v>
      </c>
      <c r="N26" s="380">
        <f t="shared" si="5"/>
        <v>2360.5961022640786</v>
      </c>
      <c r="O26" s="380">
        <f t="shared" si="5"/>
        <v>2957.8232801032368</v>
      </c>
      <c r="P26" s="380">
        <f t="shared" si="5"/>
        <v>3436.3059384615549</v>
      </c>
    </row>
    <row r="27" spans="2:16" x14ac:dyDescent="0.45">
      <c r="C27" s="8">
        <f t="shared" ref="C27:H27" si="6">C26/C$17</f>
        <v>0.15209025105241952</v>
      </c>
      <c r="D27" s="8">
        <f t="shared" si="6"/>
        <v>0.18009025105241958</v>
      </c>
      <c r="E27" s="8">
        <f t="shared" si="6"/>
        <v>0.18026784250524469</v>
      </c>
      <c r="F27" s="8">
        <f t="shared" si="6"/>
        <v>0.18026784250524472</v>
      </c>
      <c r="G27" s="8">
        <f t="shared" si="6"/>
        <v>0.18026784250524472</v>
      </c>
      <c r="H27" s="8">
        <f t="shared" si="6"/>
        <v>0.18026784250524472</v>
      </c>
      <c r="K27" s="8">
        <f t="shared" ref="K27:P27" si="7">K26/K$17</f>
        <v>-1.760320309264117E-2</v>
      </c>
      <c r="L27" s="8">
        <f t="shared" si="7"/>
        <v>1.980364762539806E-2</v>
      </c>
      <c r="M27" s="8">
        <f t="shared" si="7"/>
        <v>8.1867836603207955E-2</v>
      </c>
      <c r="N27" s="8">
        <f t="shared" si="7"/>
        <v>9.8058718793074373E-2</v>
      </c>
      <c r="O27" s="8">
        <f t="shared" si="7"/>
        <v>0.10564227865646601</v>
      </c>
      <c r="P27" s="8">
        <f t="shared" si="7"/>
        <v>0.11321825876197339</v>
      </c>
    </row>
    <row r="29" spans="2:16" x14ac:dyDescent="0.45">
      <c r="B29" t="s">
        <v>32</v>
      </c>
      <c r="C29" s="380">
        <v>3548</v>
      </c>
      <c r="D29" s="380">
        <v>3639.4555244011358</v>
      </c>
      <c r="E29" s="380">
        <v>3761.1410724788757</v>
      </c>
      <c r="F29" s="380">
        <v>3947.6903687697286</v>
      </c>
      <c r="G29" s="380">
        <v>4149.3994734602784</v>
      </c>
      <c r="H29" s="380">
        <v>4361.7464769200069</v>
      </c>
      <c r="J29" t="s">
        <v>32</v>
      </c>
      <c r="K29" s="380">
        <v>897</v>
      </c>
      <c r="L29" s="380">
        <v>937.11087514371309</v>
      </c>
      <c r="M29" s="380">
        <v>1077.4810975176199</v>
      </c>
      <c r="N29" s="380">
        <v>1287.9316521034541</v>
      </c>
      <c r="O29" s="380">
        <v>1304.9468178858419</v>
      </c>
      <c r="P29" s="380">
        <v>1387.2907396854412</v>
      </c>
    </row>
    <row r="30" spans="2:16" x14ac:dyDescent="0.45">
      <c r="B30" t="s">
        <v>1073</v>
      </c>
      <c r="C30" s="380">
        <v>-199</v>
      </c>
      <c r="D30" s="380">
        <v>69.677407506239007</v>
      </c>
      <c r="E30" s="380">
        <v>72.007078377111299</v>
      </c>
      <c r="F30" s="380">
        <v>75.578566268778502</v>
      </c>
      <c r="G30" s="380">
        <v>79.440288823433093</v>
      </c>
      <c r="H30" s="380">
        <v>83.505674042071504</v>
      </c>
      <c r="J30" t="s">
        <v>1073</v>
      </c>
      <c r="K30" s="380">
        <v>10</v>
      </c>
      <c r="L30" s="380">
        <v>161</v>
      </c>
      <c r="M30" s="380">
        <v>12.1</v>
      </c>
      <c r="N30" s="380">
        <v>12.705</v>
      </c>
      <c r="O30" s="380">
        <v>13.340249999999999</v>
      </c>
      <c r="P30" s="380">
        <v>14.0072625</v>
      </c>
    </row>
    <row r="32" spans="2:16" x14ac:dyDescent="0.45">
      <c r="B32" t="s">
        <v>19</v>
      </c>
      <c r="C32" s="380">
        <f t="shared" ref="C32:H32" si="8">C26-C29+C30</f>
        <v>7200</v>
      </c>
      <c r="D32" s="380">
        <f t="shared" si="8"/>
        <v>10243.292483857076</v>
      </c>
      <c r="E32" s="380">
        <f t="shared" si="8"/>
        <v>10599.854804411971</v>
      </c>
      <c r="F32" s="380">
        <f t="shared" si="8"/>
        <v>11125.598299921172</v>
      </c>
      <c r="G32" s="380">
        <f t="shared" si="8"/>
        <v>11694.066001941879</v>
      </c>
      <c r="H32" s="380">
        <f t="shared" si="8"/>
        <v>12292.514015842517</v>
      </c>
      <c r="J32" t="s">
        <v>19</v>
      </c>
      <c r="K32" s="380">
        <f t="shared" ref="K32:P32" si="9">K26-K29+K30</f>
        <v>-1142</v>
      </c>
      <c r="L32" s="380">
        <f t="shared" si="9"/>
        <v>-473.06017316820999</v>
      </c>
      <c r="M32" s="380">
        <f t="shared" si="9"/>
        <v>474.71889094675782</v>
      </c>
      <c r="N32" s="380">
        <f t="shared" si="9"/>
        <v>1085.3694501606244</v>
      </c>
      <c r="O32" s="380">
        <f t="shared" si="9"/>
        <v>1666.2167122173948</v>
      </c>
      <c r="P32" s="380">
        <f t="shared" si="9"/>
        <v>2063.0224612761135</v>
      </c>
    </row>
    <row r="33" spans="2:16" x14ac:dyDescent="0.45">
      <c r="C33" s="8">
        <f t="shared" ref="C33:H33" si="10">C32/C$17</f>
        <v>0.10003195465218055</v>
      </c>
      <c r="D33" s="8">
        <f t="shared" si="10"/>
        <v>0.13354866331608833</v>
      </c>
      <c r="E33" s="8">
        <f t="shared" si="10"/>
        <v>0.13372625476891348</v>
      </c>
      <c r="F33" s="8">
        <f t="shared" si="10"/>
        <v>0.13372625476891348</v>
      </c>
      <c r="G33" s="8">
        <f t="shared" si="10"/>
        <v>0.13372625476891348</v>
      </c>
      <c r="H33" s="8">
        <f t="shared" si="10"/>
        <v>0.13372625476891348</v>
      </c>
      <c r="K33" s="8">
        <f t="shared" ref="K33:P33" si="11">K32/K$17</f>
        <v>-7.8834736987436149E-2</v>
      </c>
      <c r="L33" s="8">
        <f t="shared" si="11"/>
        <v>-3.0913365037479105E-2</v>
      </c>
      <c r="M33" s="8">
        <f t="shared" si="11"/>
        <v>2.5234860650337695E-2</v>
      </c>
      <c r="N33" s="8">
        <f t="shared" si="11"/>
        <v>4.5086043138771632E-2</v>
      </c>
      <c r="O33" s="8">
        <f t="shared" si="11"/>
        <v>5.9510969231396052E-2</v>
      </c>
      <c r="P33" s="8">
        <f t="shared" si="11"/>
        <v>6.7971774060691784E-2</v>
      </c>
    </row>
    <row r="34" spans="2:16" x14ac:dyDescent="0.45">
      <c r="B34" t="s">
        <v>1072</v>
      </c>
      <c r="C34" s="380">
        <v>2</v>
      </c>
      <c r="D34" s="380">
        <v>0</v>
      </c>
      <c r="E34" s="380">
        <v>0</v>
      </c>
      <c r="F34" s="380">
        <v>0</v>
      </c>
      <c r="G34" s="380">
        <v>0</v>
      </c>
      <c r="H34" s="380">
        <v>0</v>
      </c>
      <c r="J34" t="s">
        <v>1072</v>
      </c>
      <c r="K34" s="380">
        <v>444</v>
      </c>
      <c r="L34" s="380">
        <v>0</v>
      </c>
      <c r="M34" s="380">
        <v>0</v>
      </c>
      <c r="N34" s="380">
        <v>0</v>
      </c>
      <c r="O34" s="380">
        <v>0</v>
      </c>
      <c r="P34" s="380">
        <v>0</v>
      </c>
    </row>
    <row r="36" spans="2:16" x14ac:dyDescent="0.45">
      <c r="B36" t="s">
        <v>1071</v>
      </c>
      <c r="C36" s="380">
        <f t="shared" ref="C36:H36" si="12">C32-C34</f>
        <v>7198</v>
      </c>
      <c r="D36" s="380">
        <f t="shared" si="12"/>
        <v>10243.292483857076</v>
      </c>
      <c r="E36" s="380">
        <f t="shared" si="12"/>
        <v>10599.854804411971</v>
      </c>
      <c r="F36" s="380">
        <f t="shared" si="12"/>
        <v>11125.598299921172</v>
      </c>
      <c r="G36" s="380">
        <f t="shared" si="12"/>
        <v>11694.066001941879</v>
      </c>
      <c r="H36" s="380">
        <f t="shared" si="12"/>
        <v>12292.514015842517</v>
      </c>
      <c r="J36" t="s">
        <v>1071</v>
      </c>
      <c r="K36" s="380">
        <f t="shared" ref="K36:P36" si="13">K32-K34</f>
        <v>-1586</v>
      </c>
      <c r="L36" s="380">
        <f t="shared" si="13"/>
        <v>-473.06017316820999</v>
      </c>
      <c r="M36" s="380">
        <f t="shared" si="13"/>
        <v>474.71889094675782</v>
      </c>
      <c r="N36" s="380">
        <f t="shared" si="13"/>
        <v>1085.3694501606244</v>
      </c>
      <c r="O36" s="380">
        <f t="shared" si="13"/>
        <v>1666.2167122173948</v>
      </c>
      <c r="P36" s="380">
        <f t="shared" si="13"/>
        <v>2063.0224612761135</v>
      </c>
    </row>
    <row r="37" spans="2:16" x14ac:dyDescent="0.45">
      <c r="C37" s="8">
        <f t="shared" ref="C37:H37" si="14">C36/C$17</f>
        <v>0.1000041679981105</v>
      </c>
      <c r="D37" s="8">
        <f t="shared" si="14"/>
        <v>0.13354866331608833</v>
      </c>
      <c r="E37" s="8">
        <f t="shared" si="14"/>
        <v>0.13372625476891348</v>
      </c>
      <c r="F37" s="8">
        <f t="shared" si="14"/>
        <v>0.13372625476891348</v>
      </c>
      <c r="G37" s="8">
        <f t="shared" si="14"/>
        <v>0.13372625476891348</v>
      </c>
      <c r="H37" s="8">
        <f t="shared" si="14"/>
        <v>0.13372625476891348</v>
      </c>
      <c r="K37" s="8">
        <f t="shared" ref="K37:P37" si="15">K36/K$17</f>
        <v>-0.10948502001932901</v>
      </c>
      <c r="L37" s="8">
        <f t="shared" si="15"/>
        <v>-3.0913365037479105E-2</v>
      </c>
      <c r="M37" s="8">
        <f t="shared" si="15"/>
        <v>2.5234860650337695E-2</v>
      </c>
      <c r="N37" s="8">
        <f t="shared" si="15"/>
        <v>4.5086043138771632E-2</v>
      </c>
      <c r="O37" s="8">
        <f t="shared" si="15"/>
        <v>5.9510969231396052E-2</v>
      </c>
      <c r="P37" s="8">
        <f t="shared" si="15"/>
        <v>6.7971774060691784E-2</v>
      </c>
    </row>
    <row r="38" spans="2:16" x14ac:dyDescent="0.45">
      <c r="C38" s="8"/>
      <c r="D38" s="8"/>
      <c r="E38" s="8"/>
      <c r="F38" s="8"/>
      <c r="G38" s="8"/>
      <c r="H38" s="8"/>
      <c r="K38" s="8"/>
      <c r="L38" s="8"/>
      <c r="M38" s="8"/>
      <c r="N38" s="8"/>
      <c r="O38" s="8"/>
      <c r="P38" s="8"/>
    </row>
    <row r="39" spans="2:16" x14ac:dyDescent="0.45">
      <c r="B39" t="s">
        <v>662</v>
      </c>
      <c r="C39" s="380">
        <v>44</v>
      </c>
      <c r="D39" s="380">
        <v>392.60648385707691</v>
      </c>
      <c r="E39" s="380">
        <v>516.92001405167196</v>
      </c>
      <c r="F39" s="380">
        <v>267.48513575379229</v>
      </c>
      <c r="G39" s="380">
        <v>-108.95138143417398</v>
      </c>
      <c r="H39" s="380">
        <v>-555.51359986636953</v>
      </c>
      <c r="J39" t="s">
        <v>662</v>
      </c>
      <c r="K39" s="380">
        <v>110</v>
      </c>
      <c r="L39" s="380">
        <v>110</v>
      </c>
      <c r="M39" s="380">
        <v>110</v>
      </c>
      <c r="N39" s="380">
        <v>110</v>
      </c>
      <c r="O39" s="380">
        <v>110</v>
      </c>
      <c r="P39" s="380">
        <v>110</v>
      </c>
    </row>
    <row r="41" spans="2:16" x14ac:dyDescent="0.45">
      <c r="B41" t="s">
        <v>1070</v>
      </c>
      <c r="C41" s="380">
        <f t="shared" ref="C41:H41" si="16">C36-C39</f>
        <v>7154</v>
      </c>
      <c r="D41" s="380">
        <f t="shared" si="16"/>
        <v>9850.6859999999997</v>
      </c>
      <c r="E41" s="380">
        <f t="shared" si="16"/>
        <v>10082.934790360299</v>
      </c>
      <c r="F41" s="380">
        <f t="shared" si="16"/>
        <v>10858.11316416738</v>
      </c>
      <c r="G41" s="380">
        <f t="shared" si="16"/>
        <v>11803.017383376053</v>
      </c>
      <c r="H41" s="380">
        <f t="shared" si="16"/>
        <v>12848.027615708887</v>
      </c>
      <c r="J41" t="s">
        <v>1070</v>
      </c>
      <c r="K41" s="380">
        <f t="shared" ref="K41:P41" si="17">K36-K39</f>
        <v>-1696</v>
      </c>
      <c r="L41" s="380">
        <f t="shared" si="17"/>
        <v>-583.06017316820999</v>
      </c>
      <c r="M41" s="380">
        <f t="shared" si="17"/>
        <v>364.71889094675782</v>
      </c>
      <c r="N41" s="380">
        <f t="shared" si="17"/>
        <v>975.36945016062441</v>
      </c>
      <c r="O41" s="380">
        <f t="shared" si="17"/>
        <v>1556.2167122173948</v>
      </c>
      <c r="P41" s="380">
        <f t="shared" si="17"/>
        <v>1953.0224612761135</v>
      </c>
    </row>
    <row r="42" spans="2:16" x14ac:dyDescent="0.45">
      <c r="C42" s="8">
        <f t="shared" ref="C42:H42" si="18">C41/C$17</f>
        <v>9.9392861608569402E-2</v>
      </c>
      <c r="D42" s="8">
        <f t="shared" si="18"/>
        <v>0.12842998968542005</v>
      </c>
      <c r="E42" s="8">
        <f t="shared" si="18"/>
        <v>0.12720486567729572</v>
      </c>
      <c r="F42" s="8">
        <f t="shared" si="18"/>
        <v>0.13051116606568727</v>
      </c>
      <c r="G42" s="8">
        <f t="shared" si="18"/>
        <v>0.13497215676644556</v>
      </c>
      <c r="H42" s="8">
        <f t="shared" si="18"/>
        <v>0.13976950622159323</v>
      </c>
      <c r="K42" s="8">
        <f t="shared" ref="K42:P42" si="19">K41/K$17</f>
        <v>-0.11707855860831147</v>
      </c>
      <c r="L42" s="8">
        <f t="shared" si="19"/>
        <v>-3.8101605238189402E-2</v>
      </c>
      <c r="M42" s="8">
        <f t="shared" si="19"/>
        <v>1.9387537688318746E-2</v>
      </c>
      <c r="N42" s="8">
        <f t="shared" si="19"/>
        <v>4.0516663795607949E-2</v>
      </c>
      <c r="O42" s="8">
        <f t="shared" si="19"/>
        <v>5.5582184597648202E-2</v>
      </c>
      <c r="P42" s="8">
        <f t="shared" si="19"/>
        <v>6.4347530851022045E-2</v>
      </c>
    </row>
    <row r="43" spans="2:16" x14ac:dyDescent="0.45">
      <c r="B43" t="s">
        <v>1069</v>
      </c>
      <c r="C43" s="380">
        <v>2741</v>
      </c>
      <c r="D43" s="380">
        <v>2758.1920800000003</v>
      </c>
      <c r="E43" s="380">
        <v>2823.2217413008839</v>
      </c>
      <c r="F43" s="380">
        <v>3040.2716859668667</v>
      </c>
      <c r="G43" s="380">
        <v>3304.8448673452949</v>
      </c>
      <c r="H43" s="380">
        <v>3597.4477323984893</v>
      </c>
      <c r="J43" t="s">
        <v>1069</v>
      </c>
      <c r="K43" s="380">
        <v>-124</v>
      </c>
      <c r="L43" s="380">
        <v>-56.773238097006988</v>
      </c>
      <c r="M43" s="380">
        <v>151.7381560082865</v>
      </c>
      <c r="N43" s="380">
        <v>286.08127903533682</v>
      </c>
      <c r="O43" s="380">
        <v>413.86767668782608</v>
      </c>
      <c r="P43" s="380">
        <v>501.16494148074327</v>
      </c>
    </row>
    <row r="44" spans="2:16" x14ac:dyDescent="0.45">
      <c r="B44" t="s">
        <v>1068</v>
      </c>
      <c r="C44" s="8">
        <f t="shared" ref="C44:H44" si="20">C43/C36</f>
        <v>0.38080022228396776</v>
      </c>
      <c r="D44" s="8">
        <f t="shared" si="20"/>
        <v>0.26926811709680015</v>
      </c>
      <c r="E44" s="8">
        <f t="shared" si="20"/>
        <v>0.26634532202514472</v>
      </c>
      <c r="F44" s="8">
        <f t="shared" si="20"/>
        <v>0.27326815187893383</v>
      </c>
      <c r="G44" s="8">
        <f t="shared" si="20"/>
        <v>0.28260870656934062</v>
      </c>
      <c r="H44" s="8">
        <f t="shared" si="20"/>
        <v>0.29265353919972115</v>
      </c>
      <c r="J44" t="s">
        <v>1068</v>
      </c>
      <c r="K44" s="8">
        <f t="shared" ref="K44:P44" si="21">K43/K36</f>
        <v>7.8184110970996215E-2</v>
      </c>
      <c r="L44" s="8">
        <f t="shared" si="21"/>
        <v>0.12001271998186085</v>
      </c>
      <c r="M44" s="8">
        <f t="shared" si="21"/>
        <v>0.31963791393611241</v>
      </c>
      <c r="N44" s="8">
        <f t="shared" si="21"/>
        <v>0.26357963087407654</v>
      </c>
      <c r="O44" s="8">
        <f t="shared" si="21"/>
        <v>0.2483876638934035</v>
      </c>
      <c r="P44" s="8">
        <f t="shared" si="21"/>
        <v>0.24292752545735258</v>
      </c>
    </row>
    <row r="45" spans="2:16" x14ac:dyDescent="0.45">
      <c r="B45" t="s">
        <v>1067</v>
      </c>
      <c r="C45" s="380">
        <v>21</v>
      </c>
      <c r="D45" s="8"/>
      <c r="E45" s="8"/>
      <c r="F45" s="8"/>
      <c r="G45" s="8"/>
      <c r="H45" s="8"/>
      <c r="K45" s="8"/>
      <c r="L45" s="8"/>
      <c r="M45" s="8"/>
      <c r="N45" s="8"/>
      <c r="O45" s="8"/>
      <c r="P45" s="8"/>
    </row>
    <row r="46" spans="2:16" x14ac:dyDescent="0.45">
      <c r="B46" t="s">
        <v>1066</v>
      </c>
      <c r="C46" s="380">
        <v>669</v>
      </c>
      <c r="D46" s="380">
        <v>512.20440888744781</v>
      </c>
      <c r="E46" s="380">
        <v>530.03252491519254</v>
      </c>
      <c r="F46" s="380">
        <v>556.31969969065267</v>
      </c>
      <c r="G46" s="380">
        <v>584.74308479168803</v>
      </c>
      <c r="H46" s="380">
        <v>614.66548548671994</v>
      </c>
      <c r="K46" s="8"/>
      <c r="L46" s="8"/>
      <c r="M46" s="8"/>
      <c r="N46" s="8"/>
      <c r="O46" s="8"/>
      <c r="P46" s="8"/>
    </row>
    <row r="47" spans="2:16" x14ac:dyDescent="0.45">
      <c r="B47" t="s">
        <v>1065</v>
      </c>
      <c r="C47" s="380">
        <f t="shared" ref="C47:H47" si="22">C41-C43-C45-C46</f>
        <v>3723</v>
      </c>
      <c r="D47" s="380">
        <f t="shared" si="22"/>
        <v>6580.2895111125508</v>
      </c>
      <c r="E47" s="380">
        <f t="shared" si="22"/>
        <v>6729.6805241442225</v>
      </c>
      <c r="F47" s="380">
        <f t="shared" si="22"/>
        <v>7261.5217785098603</v>
      </c>
      <c r="G47" s="380">
        <f t="shared" si="22"/>
        <v>7913.4294312390703</v>
      </c>
      <c r="H47" s="380">
        <f t="shared" si="22"/>
        <v>8635.9143978236789</v>
      </c>
      <c r="J47" t="s">
        <v>1065</v>
      </c>
      <c r="K47" s="380">
        <f t="shared" ref="K47:P47" si="23">K41-K43</f>
        <v>-1572</v>
      </c>
      <c r="L47" s="380">
        <f t="shared" si="23"/>
        <v>-526.28693507120295</v>
      </c>
      <c r="M47" s="380">
        <f t="shared" si="23"/>
        <v>212.98073493847133</v>
      </c>
      <c r="N47" s="380">
        <f t="shared" si="23"/>
        <v>689.28817112528759</v>
      </c>
      <c r="O47" s="380">
        <f t="shared" si="23"/>
        <v>1142.3490355295687</v>
      </c>
      <c r="P47" s="380">
        <f t="shared" si="23"/>
        <v>1451.8575197953703</v>
      </c>
    </row>
    <row r="48" spans="2:16" x14ac:dyDescent="0.45">
      <c r="C48" s="8">
        <f t="shared" ref="C48:H48" si="24">C47/C$17</f>
        <v>5.1724856551398364E-2</v>
      </c>
      <c r="D48" s="8">
        <f t="shared" si="24"/>
        <v>8.5791640707993597E-2</v>
      </c>
      <c r="E48" s="8">
        <f t="shared" si="24"/>
        <v>8.4900688631180693E-2</v>
      </c>
      <c r="F48" s="8">
        <f t="shared" si="24"/>
        <v>8.7281248629109992E-2</v>
      </c>
      <c r="G48" s="8">
        <f t="shared" si="24"/>
        <v>9.0493185179728527E-2</v>
      </c>
      <c r="H48" s="8">
        <f t="shared" si="24"/>
        <v>9.3947298936371826E-2</v>
      </c>
      <c r="K48" s="8">
        <f t="shared" ref="K48:P48" si="25">K47/K$17</f>
        <v>-0.1085185696534585</v>
      </c>
      <c r="L48" s="8">
        <f t="shared" si="25"/>
        <v>-3.439160821624937E-2</v>
      </c>
      <c r="M48" s="8">
        <f t="shared" si="25"/>
        <v>1.1321519471576317E-2</v>
      </c>
      <c r="N48" s="8">
        <f t="shared" si="25"/>
        <v>2.8632901187517833E-2</v>
      </c>
      <c r="O48" s="8">
        <f t="shared" si="25"/>
        <v>4.0800393974229521E-2</v>
      </c>
      <c r="P48" s="8">
        <f t="shared" si="25"/>
        <v>4.7835315977511929E-2</v>
      </c>
    </row>
    <row r="51" spans="2:8" x14ac:dyDescent="0.45">
      <c r="B51" t="s">
        <v>1077</v>
      </c>
      <c r="C51" s="16">
        <v>2022</v>
      </c>
      <c r="D51" s="16">
        <f>C51+1</f>
        <v>2023</v>
      </c>
      <c r="E51" s="16">
        <f>D51+1</f>
        <v>2024</v>
      </c>
      <c r="F51" s="16">
        <f>E51+1</f>
        <v>2025</v>
      </c>
      <c r="G51" s="16">
        <f>F51+1</f>
        <v>2026</v>
      </c>
      <c r="H51" s="16">
        <f>G51+1</f>
        <v>2027</v>
      </c>
    </row>
    <row r="52" spans="2:8" x14ac:dyDescent="0.45">
      <c r="B52" t="s">
        <v>1</v>
      </c>
      <c r="C52" s="380">
        <f t="shared" ref="C52:H52" si="26">C17+K17</f>
        <v>86463</v>
      </c>
      <c r="D52" s="380">
        <f t="shared" si="26"/>
        <v>92003.595604644215</v>
      </c>
      <c r="E52" s="380">
        <f t="shared" si="26"/>
        <v>98077.350636658055</v>
      </c>
      <c r="F52" s="380">
        <f t="shared" si="26"/>
        <v>107270.10496604261</v>
      </c>
      <c r="G52" s="380">
        <f t="shared" si="26"/>
        <v>115446.27467941593</v>
      </c>
      <c r="H52" s="380">
        <f t="shared" si="26"/>
        <v>122274.13033060444</v>
      </c>
    </row>
    <row r="53" spans="2:8" x14ac:dyDescent="0.45">
      <c r="B53" t="s">
        <v>429</v>
      </c>
      <c r="D53" s="381">
        <f>D52/C52-1</f>
        <v>6.4080538549948773E-2</v>
      </c>
      <c r="E53" s="381">
        <f>E52/D52-1</f>
        <v>6.6016496334706742E-2</v>
      </c>
      <c r="F53" s="381">
        <f>F52/E52-1</f>
        <v>9.3729635534716582E-2</v>
      </c>
      <c r="G53" s="381">
        <f>G52/F52-1</f>
        <v>7.6220394451572249E-2</v>
      </c>
      <c r="H53" s="381">
        <f>H52/G52-1</f>
        <v>5.9143144030839201E-2</v>
      </c>
    </row>
    <row r="54" spans="2:8" x14ac:dyDescent="0.45">
      <c r="B54" t="s">
        <v>1076</v>
      </c>
      <c r="C54" s="380">
        <f t="shared" ref="C54:H54" si="27">C19+K19</f>
        <v>60129</v>
      </c>
      <c r="D54" s="380">
        <f t="shared" si="27"/>
        <v>62074.154627037686</v>
      </c>
      <c r="E54" s="380">
        <f t="shared" si="27"/>
        <v>65659.784191255007</v>
      </c>
      <c r="F54" s="380">
        <f t="shared" si="27"/>
        <v>72349.519470043349</v>
      </c>
      <c r="G54" s="380">
        <f t="shared" si="27"/>
        <v>78155.254903043766</v>
      </c>
      <c r="H54" s="380">
        <f t="shared" si="27"/>
        <v>82725.404358632732</v>
      </c>
    </row>
    <row r="55" spans="2:8" x14ac:dyDescent="0.45">
      <c r="B55" t="s">
        <v>203</v>
      </c>
      <c r="C55" s="380">
        <f t="shared" ref="C55:H55" si="28">C52-C54</f>
        <v>26334</v>
      </c>
      <c r="D55" s="380">
        <f t="shared" si="28"/>
        <v>29929.440977606529</v>
      </c>
      <c r="E55" s="380">
        <f t="shared" si="28"/>
        <v>32417.566445403048</v>
      </c>
      <c r="F55" s="380">
        <f t="shared" si="28"/>
        <v>34920.585495999258</v>
      </c>
      <c r="G55" s="380">
        <f t="shared" si="28"/>
        <v>37291.019776372166</v>
      </c>
      <c r="H55" s="380">
        <f t="shared" si="28"/>
        <v>39548.725971971711</v>
      </c>
    </row>
    <row r="56" spans="2:8" x14ac:dyDescent="0.45">
      <c r="C56" s="8">
        <f t="shared" ref="C56:H56" si="29">C55/C$17</f>
        <v>0.36586687414035041</v>
      </c>
      <c r="D56" s="8">
        <f t="shared" si="29"/>
        <v>0.39021016364184125</v>
      </c>
      <c r="E56" s="8">
        <f t="shared" si="29"/>
        <v>0.40897538970644781</v>
      </c>
      <c r="F56" s="8">
        <f t="shared" si="29"/>
        <v>0.41973465038286595</v>
      </c>
      <c r="G56" s="8">
        <f t="shared" si="29"/>
        <v>0.42643751201503782</v>
      </c>
      <c r="H56" s="8">
        <f t="shared" si="29"/>
        <v>0.43023770388203642</v>
      </c>
    </row>
    <row r="58" spans="2:8" x14ac:dyDescent="0.45">
      <c r="B58" t="s">
        <v>1075</v>
      </c>
      <c r="C58" s="380">
        <f t="shared" ref="C58:H59" si="30">C23+K23</f>
        <v>9951</v>
      </c>
      <c r="D58" s="380">
        <f t="shared" si="30"/>
        <v>9749.7460719566807</v>
      </c>
      <c r="E58" s="380">
        <f t="shared" si="30"/>
        <v>10117.388296812083</v>
      </c>
      <c r="F58" s="380">
        <f t="shared" si="30"/>
        <v>10758.65236480465</v>
      </c>
      <c r="G58" s="380">
        <f t="shared" si="30"/>
        <v>11401.353569891422</v>
      </c>
      <c r="H58" s="380">
        <f t="shared" si="30"/>
        <v>12001.381205284608</v>
      </c>
    </row>
    <row r="59" spans="2:8" x14ac:dyDescent="0.45">
      <c r="B59" t="s">
        <v>1074</v>
      </c>
      <c r="C59" s="380">
        <f t="shared" si="30"/>
        <v>5691</v>
      </c>
      <c r="D59" s="380">
        <f t="shared" si="30"/>
        <v>6063.5736029223735</v>
      </c>
      <c r="E59" s="380">
        <f t="shared" si="30"/>
        <v>6471.0893616128569</v>
      </c>
      <c r="F59" s="380">
        <f t="shared" si="30"/>
        <v>6803.6269265084038</v>
      </c>
      <c r="G59" s="380">
        <f t="shared" si="30"/>
        <v>7167.8177397987911</v>
      </c>
      <c r="H59" s="380">
        <f t="shared" si="30"/>
        <v>7540.2840095050979</v>
      </c>
    </row>
    <row r="61" spans="2:8" x14ac:dyDescent="0.45">
      <c r="B61" t="s">
        <v>88</v>
      </c>
      <c r="C61" s="380">
        <f t="shared" ref="C61:H61" si="31">C55-C58-C59</f>
        <v>10692</v>
      </c>
      <c r="D61" s="380">
        <f t="shared" si="31"/>
        <v>14116.121302727475</v>
      </c>
      <c r="E61" s="380">
        <f t="shared" si="31"/>
        <v>15829.088786978111</v>
      </c>
      <c r="F61" s="380">
        <f t="shared" si="31"/>
        <v>17358.306204686203</v>
      </c>
      <c r="G61" s="380">
        <f t="shared" si="31"/>
        <v>18721.848466681957</v>
      </c>
      <c r="H61" s="380">
        <f t="shared" si="31"/>
        <v>20007.060757182007</v>
      </c>
    </row>
    <row r="62" spans="2:8" x14ac:dyDescent="0.45">
      <c r="C62" s="8">
        <f t="shared" ref="C62:H62" si="32">C61/C$17</f>
        <v>0.14854745265848812</v>
      </c>
      <c r="D62" s="8">
        <f t="shared" si="32"/>
        <v>0.18404132598556361</v>
      </c>
      <c r="E62" s="8">
        <f t="shared" si="32"/>
        <v>0.19969752406477556</v>
      </c>
      <c r="F62" s="8">
        <f t="shared" si="32"/>
        <v>0.20864147844535474</v>
      </c>
      <c r="G62" s="8">
        <f t="shared" si="32"/>
        <v>0.21409171774682675</v>
      </c>
      <c r="H62" s="8">
        <f t="shared" si="32"/>
        <v>0.21765029517508983</v>
      </c>
    </row>
    <row r="64" spans="2:8" x14ac:dyDescent="0.45">
      <c r="B64" t="s">
        <v>32</v>
      </c>
      <c r="C64" s="380">
        <f t="shared" ref="C64:H65" si="33">C29+K29</f>
        <v>4445</v>
      </c>
      <c r="D64" s="380">
        <f t="shared" si="33"/>
        <v>4576.5663995448485</v>
      </c>
      <c r="E64" s="380">
        <f t="shared" si="33"/>
        <v>4838.6221699964954</v>
      </c>
      <c r="F64" s="380">
        <f t="shared" si="33"/>
        <v>5235.6220208731829</v>
      </c>
      <c r="G64" s="380">
        <f t="shared" si="33"/>
        <v>5454.3462913461208</v>
      </c>
      <c r="H64" s="380">
        <f t="shared" si="33"/>
        <v>5749.0372166054476</v>
      </c>
    </row>
    <row r="65" spans="2:8" x14ac:dyDescent="0.45">
      <c r="B65" t="s">
        <v>1073</v>
      </c>
      <c r="C65" s="380">
        <f t="shared" si="33"/>
        <v>-189</v>
      </c>
      <c r="D65" s="380">
        <f t="shared" si="33"/>
        <v>230.67740750623901</v>
      </c>
      <c r="E65" s="380">
        <f t="shared" si="33"/>
        <v>84.107078377111293</v>
      </c>
      <c r="F65" s="380">
        <f t="shared" si="33"/>
        <v>88.2835662687785</v>
      </c>
      <c r="G65" s="380">
        <f t="shared" si="33"/>
        <v>92.780538823433091</v>
      </c>
      <c r="H65" s="380">
        <f t="shared" si="33"/>
        <v>97.5129365420715</v>
      </c>
    </row>
    <row r="67" spans="2:8" x14ac:dyDescent="0.45">
      <c r="B67" t="s">
        <v>19</v>
      </c>
      <c r="C67" s="380">
        <f t="shared" ref="C67:H67" si="34">C61-C64+C65</f>
        <v>6058</v>
      </c>
      <c r="D67" s="380">
        <f t="shared" si="34"/>
        <v>9770.2323106888653</v>
      </c>
      <c r="E67" s="380">
        <f t="shared" si="34"/>
        <v>11074.573695358727</v>
      </c>
      <c r="F67" s="380">
        <f t="shared" si="34"/>
        <v>12210.9677500818</v>
      </c>
      <c r="G67" s="380">
        <f t="shared" si="34"/>
        <v>13360.28271415927</v>
      </c>
      <c r="H67" s="380">
        <f t="shared" si="34"/>
        <v>14355.536477118631</v>
      </c>
    </row>
    <row r="68" spans="2:8" x14ac:dyDescent="0.45">
      <c r="C68" s="8">
        <f t="shared" ref="C68:H68" si="35">C67/C$17</f>
        <v>8.4165775178181926E-2</v>
      </c>
      <c r="D68" s="8">
        <f t="shared" si="35"/>
        <v>0.12738106106376029</v>
      </c>
      <c r="E68" s="8">
        <f t="shared" si="35"/>
        <v>0.13971524051690115</v>
      </c>
      <c r="F68" s="8">
        <f t="shared" si="35"/>
        <v>0.14677206027958017</v>
      </c>
      <c r="G68" s="8">
        <f t="shared" si="35"/>
        <v>0.15278009972935785</v>
      </c>
      <c r="H68" s="8">
        <f t="shared" si="35"/>
        <v>0.15616920394066533</v>
      </c>
    </row>
    <row r="69" spans="2:8" x14ac:dyDescent="0.45">
      <c r="B69" t="s">
        <v>1072</v>
      </c>
      <c r="C69" s="380">
        <f t="shared" ref="C69:H69" si="36">C34+K34</f>
        <v>446</v>
      </c>
      <c r="D69" s="380">
        <f t="shared" si="36"/>
        <v>0</v>
      </c>
      <c r="E69" s="380">
        <f t="shared" si="36"/>
        <v>0</v>
      </c>
      <c r="F69" s="380">
        <f t="shared" si="36"/>
        <v>0</v>
      </c>
      <c r="G69" s="380">
        <f t="shared" si="36"/>
        <v>0</v>
      </c>
      <c r="H69" s="380">
        <f t="shared" si="36"/>
        <v>0</v>
      </c>
    </row>
    <row r="71" spans="2:8" x14ac:dyDescent="0.45">
      <c r="B71" t="s">
        <v>1071</v>
      </c>
      <c r="C71" s="380">
        <f t="shared" ref="C71:H71" si="37">C67-C69</f>
        <v>5612</v>
      </c>
      <c r="D71" s="380">
        <f t="shared" si="37"/>
        <v>9770.2323106888653</v>
      </c>
      <c r="E71" s="380">
        <f t="shared" si="37"/>
        <v>11074.573695358727</v>
      </c>
      <c r="F71" s="380">
        <f t="shared" si="37"/>
        <v>12210.9677500818</v>
      </c>
      <c r="G71" s="380">
        <f t="shared" si="37"/>
        <v>13360.28271415927</v>
      </c>
      <c r="H71" s="380">
        <f t="shared" si="37"/>
        <v>14355.536477118631</v>
      </c>
    </row>
    <row r="72" spans="2:8" x14ac:dyDescent="0.45">
      <c r="C72" s="8">
        <f t="shared" ref="C72:H72" si="38">C71/C$17</f>
        <v>7.7969351320560737E-2</v>
      </c>
      <c r="D72" s="8">
        <f t="shared" si="38"/>
        <v>0.12738106106376029</v>
      </c>
      <c r="E72" s="8">
        <f t="shared" si="38"/>
        <v>0.13971524051690115</v>
      </c>
      <c r="F72" s="8">
        <f t="shared" si="38"/>
        <v>0.14677206027958017</v>
      </c>
      <c r="G72" s="8">
        <f t="shared" si="38"/>
        <v>0.15278009972935785</v>
      </c>
      <c r="H72" s="8">
        <f t="shared" si="38"/>
        <v>0.15616920394066533</v>
      </c>
    </row>
    <row r="73" spans="2:8" x14ac:dyDescent="0.45">
      <c r="C73" s="8"/>
      <c r="D73" s="8"/>
      <c r="E73" s="8"/>
      <c r="F73" s="8"/>
      <c r="G73" s="8"/>
      <c r="H73" s="8"/>
    </row>
    <row r="74" spans="2:8" x14ac:dyDescent="0.45">
      <c r="B74" t="s">
        <v>662</v>
      </c>
      <c r="C74" s="380">
        <f t="shared" ref="C74:H74" si="39">C39+K39</f>
        <v>154</v>
      </c>
      <c r="D74" s="380">
        <f t="shared" si="39"/>
        <v>502.60648385707691</v>
      </c>
      <c r="E74" s="380">
        <f t="shared" si="39"/>
        <v>626.92001405167196</v>
      </c>
      <c r="F74" s="380">
        <f t="shared" si="39"/>
        <v>377.48513575379229</v>
      </c>
      <c r="G74" s="380">
        <f t="shared" si="39"/>
        <v>1.0486185658260183</v>
      </c>
      <c r="H74" s="380">
        <f t="shared" si="39"/>
        <v>-445.51359986636953</v>
      </c>
    </row>
    <row r="76" spans="2:8" x14ac:dyDescent="0.45">
      <c r="B76" t="s">
        <v>1070</v>
      </c>
      <c r="C76" s="380">
        <f t="shared" ref="C76:H76" si="40">C71-C74</f>
        <v>5458</v>
      </c>
      <c r="D76" s="380">
        <f t="shared" si="40"/>
        <v>9267.6258268317888</v>
      </c>
      <c r="E76" s="380">
        <f t="shared" si="40"/>
        <v>10447.653681307056</v>
      </c>
      <c r="F76" s="380">
        <f t="shared" si="40"/>
        <v>11833.482614328008</v>
      </c>
      <c r="G76" s="380">
        <f t="shared" si="40"/>
        <v>13359.234095593443</v>
      </c>
      <c r="H76" s="380">
        <f t="shared" si="40"/>
        <v>14801.050076985</v>
      </c>
    </row>
    <row r="77" spans="2:8" x14ac:dyDescent="0.45">
      <c r="C77" s="8">
        <f t="shared" ref="C77:H77" si="41">C76/C$17</f>
        <v>7.5829778957166874E-2</v>
      </c>
      <c r="D77" s="8">
        <f t="shared" si="41"/>
        <v>0.12082824377391981</v>
      </c>
      <c r="E77" s="8">
        <f t="shared" si="41"/>
        <v>0.13180610713104479</v>
      </c>
      <c r="F77" s="8">
        <f t="shared" si="41"/>
        <v>0.14223480555633106</v>
      </c>
      <c r="G77" s="8">
        <f t="shared" si="41"/>
        <v>0.15276810836267105</v>
      </c>
      <c r="H77" s="8">
        <f t="shared" si="41"/>
        <v>0.16101580123410453</v>
      </c>
    </row>
    <row r="78" spans="2:8" x14ac:dyDescent="0.45">
      <c r="B78" t="s">
        <v>1069</v>
      </c>
      <c r="C78" s="380">
        <f t="shared" ref="C78:H78" si="42">C43+K43</f>
        <v>2617</v>
      </c>
      <c r="D78" s="380">
        <f t="shared" si="42"/>
        <v>2701.4188419029933</v>
      </c>
      <c r="E78" s="380">
        <f t="shared" si="42"/>
        <v>2974.9598973091702</v>
      </c>
      <c r="F78" s="380">
        <f t="shared" si="42"/>
        <v>3326.3529650022037</v>
      </c>
      <c r="G78" s="380">
        <f t="shared" si="42"/>
        <v>3718.712544033121</v>
      </c>
      <c r="H78" s="380">
        <f t="shared" si="42"/>
        <v>4098.6126738792327</v>
      </c>
    </row>
    <row r="79" spans="2:8" x14ac:dyDescent="0.45">
      <c r="B79" t="s">
        <v>1068</v>
      </c>
      <c r="C79" s="8">
        <f t="shared" ref="C79:H79" si="43">C78/C71</f>
        <v>0.46632216678545974</v>
      </c>
      <c r="D79" s="8">
        <f t="shared" si="43"/>
        <v>0.27649484229229404</v>
      </c>
      <c r="E79" s="8">
        <f t="shared" si="43"/>
        <v>0.26862974405560675</v>
      </c>
      <c r="F79" s="8">
        <f t="shared" si="43"/>
        <v>0.27240698960816773</v>
      </c>
      <c r="G79" s="8">
        <f t="shared" si="43"/>
        <v>0.27834085727033436</v>
      </c>
      <c r="H79" s="8">
        <f t="shared" si="43"/>
        <v>0.28550745424331819</v>
      </c>
    </row>
    <row r="80" spans="2:8" x14ac:dyDescent="0.45">
      <c r="B80" t="s">
        <v>1067</v>
      </c>
      <c r="C80" s="380">
        <f t="shared" ref="C80:H81" si="44">C45+K45</f>
        <v>21</v>
      </c>
      <c r="D80" s="380">
        <f t="shared" si="44"/>
        <v>0</v>
      </c>
      <c r="E80" s="380">
        <f t="shared" si="44"/>
        <v>0</v>
      </c>
      <c r="F80" s="380">
        <f t="shared" si="44"/>
        <v>0</v>
      </c>
      <c r="G80" s="380">
        <f t="shared" si="44"/>
        <v>0</v>
      </c>
      <c r="H80" s="380">
        <f t="shared" si="44"/>
        <v>0</v>
      </c>
    </row>
    <row r="81" spans="2:8" x14ac:dyDescent="0.45">
      <c r="B81" t="s">
        <v>1066</v>
      </c>
      <c r="C81" s="380">
        <f t="shared" si="44"/>
        <v>669</v>
      </c>
      <c r="D81" s="380">
        <f t="shared" si="44"/>
        <v>512.20440888744781</v>
      </c>
      <c r="E81" s="380">
        <f t="shared" si="44"/>
        <v>530.03252491519254</v>
      </c>
      <c r="F81" s="380">
        <f t="shared" si="44"/>
        <v>556.31969969065267</v>
      </c>
      <c r="G81" s="380">
        <f t="shared" si="44"/>
        <v>584.74308479168803</v>
      </c>
      <c r="H81" s="380">
        <f t="shared" si="44"/>
        <v>614.66548548671994</v>
      </c>
    </row>
    <row r="82" spans="2:8" x14ac:dyDescent="0.45">
      <c r="B82" t="s">
        <v>1065</v>
      </c>
      <c r="C82" s="380">
        <f t="shared" ref="C82:H82" si="45">C76-C78-C80-C81</f>
        <v>2151</v>
      </c>
      <c r="D82" s="380">
        <f t="shared" si="45"/>
        <v>6054.0025760413473</v>
      </c>
      <c r="E82" s="380">
        <f t="shared" si="45"/>
        <v>6942.6612590826926</v>
      </c>
      <c r="F82" s="380">
        <f t="shared" si="45"/>
        <v>7950.8099496351524</v>
      </c>
      <c r="G82" s="380">
        <f t="shared" si="45"/>
        <v>9055.7784667686356</v>
      </c>
      <c r="H82" s="380">
        <f t="shared" si="45"/>
        <v>10087.771917619048</v>
      </c>
    </row>
    <row r="83" spans="2:8" x14ac:dyDescent="0.45">
      <c r="C83" s="8">
        <f t="shared" ref="C83:H83" si="46">C82/C$17</f>
        <v>2.9884546452338942E-2</v>
      </c>
      <c r="D83" s="8">
        <f t="shared" si="46"/>
        <v>7.893008551856151E-2</v>
      </c>
      <c r="E83" s="8">
        <f t="shared" si="46"/>
        <v>8.7587623173849868E-2</v>
      </c>
      <c r="F83" s="8">
        <f t="shared" si="46"/>
        <v>9.5566279518797273E-2</v>
      </c>
      <c r="G83" s="8">
        <f t="shared" si="46"/>
        <v>0.10355639673804212</v>
      </c>
      <c r="H83" s="8">
        <f t="shared" si="46"/>
        <v>0.10974158384262429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F4AA-CADB-4CBC-8577-55D30B283AA4}">
  <dimension ref="B4:W92"/>
  <sheetViews>
    <sheetView zoomScale="80" zoomScaleNormal="80" workbookViewId="0">
      <selection activeCell="K21" sqref="K21:P21"/>
    </sheetView>
  </sheetViews>
  <sheetFormatPr defaultRowHeight="14.25" x14ac:dyDescent="0.45"/>
  <cols>
    <col min="2" max="2" width="23.53125" bestFit="1" customWidth="1"/>
    <col min="3" max="5" width="6.796875" bestFit="1" customWidth="1"/>
    <col min="6" max="7" width="7.796875" bestFit="1" customWidth="1"/>
    <col min="8" max="8" width="21" bestFit="1" customWidth="1"/>
    <col min="10" max="10" width="17.1328125" bestFit="1" customWidth="1"/>
    <col min="11" max="11" width="6.86328125" bestFit="1" customWidth="1"/>
    <col min="12" max="16" width="6.796875" bestFit="1" customWidth="1"/>
    <col min="18" max="18" width="10.53125" bestFit="1" customWidth="1"/>
  </cols>
  <sheetData>
    <row r="4" spans="2:16" x14ac:dyDescent="0.45">
      <c r="B4" t="s">
        <v>1091</v>
      </c>
    </row>
    <row r="5" spans="2:16" x14ac:dyDescent="0.45">
      <c r="J5" t="s">
        <v>1092</v>
      </c>
    </row>
    <row r="6" spans="2:16" x14ac:dyDescent="0.45">
      <c r="B6" t="s">
        <v>1090</v>
      </c>
      <c r="F6" s="382">
        <v>30</v>
      </c>
      <c r="H6" t="s">
        <v>1089</v>
      </c>
      <c r="J6" t="s">
        <v>1093</v>
      </c>
    </row>
    <row r="7" spans="2:16" x14ac:dyDescent="0.45">
      <c r="B7" t="s">
        <v>1088</v>
      </c>
      <c r="F7" s="381">
        <f>1/3</f>
        <v>0.33333333333333331</v>
      </c>
      <c r="H7" t="s">
        <v>1087</v>
      </c>
      <c r="J7" t="s">
        <v>1094</v>
      </c>
    </row>
    <row r="8" spans="2:16" x14ac:dyDescent="0.45">
      <c r="B8" t="s">
        <v>1086</v>
      </c>
      <c r="F8" s="381">
        <f>1/3</f>
        <v>0.33333333333333331</v>
      </c>
      <c r="H8" t="s">
        <v>1085</v>
      </c>
      <c r="J8" t="s">
        <v>1095</v>
      </c>
    </row>
    <row r="9" spans="2:16" x14ac:dyDescent="0.45">
      <c r="B9" t="s">
        <v>1084</v>
      </c>
      <c r="F9" s="381">
        <f>1/3</f>
        <v>0.33333333333333331</v>
      </c>
      <c r="H9" t="s">
        <v>1083</v>
      </c>
      <c r="J9" t="s">
        <v>1096</v>
      </c>
    </row>
    <row r="10" spans="2:16" x14ac:dyDescent="0.45">
      <c r="B10" t="s">
        <v>1082</v>
      </c>
      <c r="F10" s="381">
        <v>0.01</v>
      </c>
      <c r="H10" t="s">
        <v>1081</v>
      </c>
    </row>
    <row r="12" spans="2:16" x14ac:dyDescent="0.45">
      <c r="B12" t="s">
        <v>1080</v>
      </c>
      <c r="F12" s="41">
        <v>0.05</v>
      </c>
      <c r="H12" t="s">
        <v>1079</v>
      </c>
      <c r="L12" s="41">
        <v>0.85</v>
      </c>
    </row>
    <row r="13" spans="2:16" x14ac:dyDescent="0.45">
      <c r="B13" t="s">
        <v>1097</v>
      </c>
      <c r="F13" s="41">
        <v>0.1</v>
      </c>
      <c r="H13" t="s">
        <v>1098</v>
      </c>
      <c r="L13" s="41">
        <v>0.1</v>
      </c>
    </row>
    <row r="16" spans="2:16" x14ac:dyDescent="0.45">
      <c r="B16" s="16" t="s">
        <v>1078</v>
      </c>
      <c r="C16" s="16">
        <v>2022</v>
      </c>
      <c r="D16" s="16">
        <f>C16+1</f>
        <v>2023</v>
      </c>
      <c r="E16" s="16">
        <f>D16+1</f>
        <v>2024</v>
      </c>
      <c r="F16" s="16">
        <f>E16+1</f>
        <v>2025</v>
      </c>
      <c r="G16" s="16">
        <f>F16+1</f>
        <v>2026</v>
      </c>
      <c r="H16" s="16">
        <f>G16+1</f>
        <v>2027</v>
      </c>
      <c r="J16" s="16" t="s">
        <v>76</v>
      </c>
      <c r="K16" s="16">
        <v>2022</v>
      </c>
      <c r="L16" s="16">
        <f>K16+1</f>
        <v>2023</v>
      </c>
      <c r="M16" s="16">
        <f>L16+1</f>
        <v>2024</v>
      </c>
      <c r="N16" s="16">
        <f>M16+1</f>
        <v>2025</v>
      </c>
      <c r="O16" s="16">
        <f>N16+1</f>
        <v>2026</v>
      </c>
      <c r="P16" s="16">
        <f>O16+1</f>
        <v>2027</v>
      </c>
    </row>
    <row r="17" spans="2:23" x14ac:dyDescent="0.45">
      <c r="B17" t="s">
        <v>1</v>
      </c>
      <c r="C17" s="380">
        <v>71977</v>
      </c>
      <c r="D17" s="380">
        <v>76700.823726051385</v>
      </c>
      <c r="E17" s="380">
        <v>79265.323198717553</v>
      </c>
      <c r="F17" s="380">
        <v>83196.813663456254</v>
      </c>
      <c r="G17" s="380">
        <v>87447.794168391876</v>
      </c>
      <c r="H17" s="380">
        <v>91922.966339591832</v>
      </c>
      <c r="J17" t="s">
        <v>1</v>
      </c>
      <c r="K17">
        <v>14486</v>
      </c>
      <c r="L17" s="380">
        <v>15302.771878592828</v>
      </c>
      <c r="M17" s="380">
        <v>18812.027437940502</v>
      </c>
      <c r="N17" s="380">
        <v>24073.291302586356</v>
      </c>
      <c r="O17" s="380">
        <v>27998.48051102406</v>
      </c>
      <c r="P17" s="380">
        <v>30351.16399101261</v>
      </c>
    </row>
    <row r="18" spans="2:23" x14ac:dyDescent="0.45">
      <c r="D18" s="381">
        <f>D17/C17-1</f>
        <v>6.5629627881842678E-2</v>
      </c>
      <c r="E18" s="381">
        <f>E17/D17-1</f>
        <v>3.3435096887950877E-2</v>
      </c>
      <c r="F18" s="381">
        <f>F17/E17-1</f>
        <v>4.9599122366315029E-2</v>
      </c>
      <c r="G18" s="381">
        <f>G17/F17-1</f>
        <v>5.109547250368851E-2</v>
      </c>
      <c r="H18" s="381">
        <f>H17/G17-1</f>
        <v>5.1175357980813629E-2</v>
      </c>
      <c r="L18" s="381">
        <f>L17/K17-1</f>
        <v>5.6383534349912168E-2</v>
      </c>
      <c r="M18" s="381">
        <f>M17/L17-1</f>
        <v>0.22932156260244585</v>
      </c>
      <c r="N18" s="381">
        <f>N17/M17-1</f>
        <v>0.27967553640894782</v>
      </c>
      <c r="O18" s="381">
        <f>O17/N17-1</f>
        <v>0.16305162260949313</v>
      </c>
      <c r="P18" s="381">
        <f>P17/O17-1</f>
        <v>8.4028970038649398E-2</v>
      </c>
    </row>
    <row r="19" spans="2:23" x14ac:dyDescent="0.45">
      <c r="B19" t="s">
        <v>1076</v>
      </c>
      <c r="C19" s="380">
        <v>46130</v>
      </c>
      <c r="D19" s="380">
        <v>47776.87990712047</v>
      </c>
      <c r="E19" s="380">
        <v>49176.141207822249</v>
      </c>
      <c r="F19" s="380">
        <v>51615.234653092208</v>
      </c>
      <c r="G19" s="380">
        <v>54252.539456080711</v>
      </c>
      <c r="H19" s="380">
        <v>57028.932584113856</v>
      </c>
      <c r="J19" t="s">
        <v>1076</v>
      </c>
      <c r="K19" s="380">
        <v>13999</v>
      </c>
      <c r="L19" s="380">
        <v>14297.274719917214</v>
      </c>
      <c r="M19" s="380">
        <v>16483.642983432754</v>
      </c>
      <c r="N19" s="380">
        <v>20734.284816951145</v>
      </c>
      <c r="O19" s="380">
        <v>23902.715446963051</v>
      </c>
      <c r="P19" s="380">
        <v>25696.471774518875</v>
      </c>
      <c r="R19">
        <f>K19/K17</f>
        <v>0.96638133370150492</v>
      </c>
      <c r="S19">
        <f>L19/L17</f>
        <v>0.93429313547552695</v>
      </c>
      <c r="T19">
        <f>M19/M17</f>
        <v>0.8762289464977171</v>
      </c>
      <c r="U19">
        <f>N19/N17</f>
        <v>0.86129829761680821</v>
      </c>
      <c r="V19">
        <f>O19/O17</f>
        <v>0.85371473775341666</v>
      </c>
      <c r="W19">
        <f>AVERAGE(R19:V19)</f>
        <v>0.89838329020899477</v>
      </c>
    </row>
    <row r="20" spans="2:23" x14ac:dyDescent="0.45">
      <c r="B20" t="s">
        <v>203</v>
      </c>
      <c r="C20" s="380">
        <f t="shared" ref="C20:H20" si="0">C17-C19</f>
        <v>25847</v>
      </c>
      <c r="D20" s="380">
        <f t="shared" si="0"/>
        <v>28923.943818930915</v>
      </c>
      <c r="E20" s="380">
        <f t="shared" si="0"/>
        <v>30089.181990895304</v>
      </c>
      <c r="F20" s="380">
        <f t="shared" si="0"/>
        <v>31581.579010364047</v>
      </c>
      <c r="G20" s="380">
        <f t="shared" si="0"/>
        <v>33195.254712311165</v>
      </c>
      <c r="H20" s="380">
        <f t="shared" si="0"/>
        <v>34894.033755477976</v>
      </c>
      <c r="J20" t="s">
        <v>203</v>
      </c>
      <c r="K20" s="380">
        <f>K17*K21</f>
        <v>487.00000000000006</v>
      </c>
      <c r="L20" s="380">
        <f>L17-L19</f>
        <v>1005.4971586756146</v>
      </c>
      <c r="M20" s="380">
        <f>M17-M19</f>
        <v>2328.3844545077482</v>
      </c>
      <c r="N20" s="380">
        <f>N17-N19</f>
        <v>3339.006485635211</v>
      </c>
      <c r="O20" s="380">
        <f>O17-O19</f>
        <v>4095.7650640610082</v>
      </c>
      <c r="P20" s="380">
        <f>P17-P19</f>
        <v>4654.692216493735</v>
      </c>
    </row>
    <row r="21" spans="2:23" x14ac:dyDescent="0.45">
      <c r="C21" s="8">
        <f t="shared" ref="C21:H21" si="1">C20/C$17</f>
        <v>0.35910082387429315</v>
      </c>
      <c r="D21" s="8">
        <f t="shared" si="1"/>
        <v>0.37710082387429322</v>
      </c>
      <c r="E21" s="8">
        <f t="shared" si="1"/>
        <v>0.37960082387429311</v>
      </c>
      <c r="F21" s="8">
        <f t="shared" si="1"/>
        <v>0.37960082387429317</v>
      </c>
      <c r="G21" s="8">
        <f t="shared" si="1"/>
        <v>0.37960082387429317</v>
      </c>
      <c r="H21" s="8">
        <f t="shared" si="1"/>
        <v>0.37960082387429317</v>
      </c>
      <c r="K21" s="8">
        <v>3.3618666298495102E-2</v>
      </c>
      <c r="L21" s="8">
        <v>6.5706864524473024E-2</v>
      </c>
      <c r="M21" s="8">
        <v>0.12377105350228292</v>
      </c>
      <c r="N21" s="8">
        <v>0.13870170238319174</v>
      </c>
      <c r="O21" s="8">
        <v>0.14628526224658336</v>
      </c>
      <c r="P21" s="8">
        <v>0.15336124235209075</v>
      </c>
    </row>
    <row r="23" spans="2:23" x14ac:dyDescent="0.45">
      <c r="B23" t="s">
        <v>1075</v>
      </c>
      <c r="C23" s="380">
        <v>9309</v>
      </c>
      <c r="D23" s="380">
        <v>9152.9379686915599</v>
      </c>
      <c r="E23" s="380">
        <v>9458.9673364841656</v>
      </c>
      <c r="F23" s="380">
        <v>9928.1238148654211</v>
      </c>
      <c r="G23" s="380">
        <v>10435.405992261092</v>
      </c>
      <c r="H23" s="380">
        <v>10969.441629590179</v>
      </c>
      <c r="J23" t="s">
        <v>1075</v>
      </c>
      <c r="K23" s="380">
        <v>642</v>
      </c>
      <c r="L23" s="380">
        <v>596.80810326512028</v>
      </c>
      <c r="M23" s="380">
        <v>658.42096032791756</v>
      </c>
      <c r="N23" s="380">
        <v>830.52854993922926</v>
      </c>
      <c r="O23" s="380">
        <v>965.94757763032999</v>
      </c>
      <c r="P23" s="380">
        <v>1031.9395756944286</v>
      </c>
    </row>
    <row r="24" spans="2:23" x14ac:dyDescent="0.45">
      <c r="B24" t="s">
        <v>1074</v>
      </c>
      <c r="C24" s="380">
        <v>5591</v>
      </c>
      <c r="D24" s="380">
        <v>5957.935249487382</v>
      </c>
      <c r="E24" s="380">
        <v>6341.2258558974045</v>
      </c>
      <c r="F24" s="380">
        <v>6655.7450930765008</v>
      </c>
      <c r="G24" s="380">
        <v>6995.8235334713499</v>
      </c>
      <c r="H24" s="380">
        <v>7353.8373071673468</v>
      </c>
      <c r="J24" t="s">
        <v>1074</v>
      </c>
      <c r="K24" s="380">
        <v>100</v>
      </c>
      <c r="L24" s="380">
        <v>105.63835343499122</v>
      </c>
      <c r="M24" s="380">
        <v>129.86350571545285</v>
      </c>
      <c r="N24" s="380">
        <v>147.88183343190289</v>
      </c>
      <c r="O24" s="380">
        <v>171.99420632744147</v>
      </c>
      <c r="P24" s="380">
        <v>186.4467023377513</v>
      </c>
    </row>
    <row r="25" spans="2:23" x14ac:dyDescent="0.45">
      <c r="B25" t="s">
        <v>1099</v>
      </c>
      <c r="C25" s="380">
        <f t="shared" ref="C25:H25" si="2">C23+C24</f>
        <v>14900</v>
      </c>
      <c r="D25" s="380">
        <f t="shared" si="2"/>
        <v>15110.873218178942</v>
      </c>
      <c r="E25" s="380">
        <f t="shared" si="2"/>
        <v>15800.19319238157</v>
      </c>
      <c r="F25" s="380">
        <f t="shared" si="2"/>
        <v>16583.86890794192</v>
      </c>
      <c r="G25" s="380">
        <f t="shared" si="2"/>
        <v>17431.229525732444</v>
      </c>
      <c r="H25" s="380">
        <f t="shared" si="2"/>
        <v>18323.278936757524</v>
      </c>
      <c r="J25" t="s">
        <v>1099</v>
      </c>
      <c r="K25" s="380">
        <f t="shared" ref="K25:P25" si="3">K23+K24</f>
        <v>742</v>
      </c>
      <c r="L25" s="380">
        <f t="shared" si="3"/>
        <v>702.44645670011153</v>
      </c>
      <c r="M25" s="380">
        <f t="shared" si="3"/>
        <v>788.28446604337046</v>
      </c>
      <c r="N25" s="380">
        <f t="shared" si="3"/>
        <v>978.41038337113218</v>
      </c>
      <c r="O25" s="380">
        <f t="shared" si="3"/>
        <v>1137.9417839577713</v>
      </c>
      <c r="P25" s="380">
        <f t="shared" si="3"/>
        <v>1218.3862780321799</v>
      </c>
    </row>
    <row r="27" spans="2:23" x14ac:dyDescent="0.45">
      <c r="B27" t="s">
        <v>88</v>
      </c>
      <c r="C27" s="380">
        <f t="shared" ref="C27:H27" si="4">C20-C23-C24</f>
        <v>10947</v>
      </c>
      <c r="D27" s="380">
        <f t="shared" si="4"/>
        <v>13813.070600751973</v>
      </c>
      <c r="E27" s="380">
        <f t="shared" si="4"/>
        <v>14288.988798513734</v>
      </c>
      <c r="F27" s="380">
        <f t="shared" si="4"/>
        <v>14997.710102422123</v>
      </c>
      <c r="G27" s="380">
        <f t="shared" si="4"/>
        <v>15764.025186578725</v>
      </c>
      <c r="H27" s="380">
        <f t="shared" si="4"/>
        <v>16570.754818720452</v>
      </c>
      <c r="J27" t="s">
        <v>88</v>
      </c>
      <c r="K27" s="380">
        <f t="shared" ref="K27:P27" si="5">K20-K23-K24</f>
        <v>-254.99999999999994</v>
      </c>
      <c r="L27" s="380">
        <f t="shared" si="5"/>
        <v>303.0507019755031</v>
      </c>
      <c r="M27" s="380">
        <f t="shared" si="5"/>
        <v>1540.0999884643777</v>
      </c>
      <c r="N27" s="380">
        <f t="shared" si="5"/>
        <v>2360.5961022640786</v>
      </c>
      <c r="O27" s="380">
        <f t="shared" si="5"/>
        <v>2957.8232801032368</v>
      </c>
      <c r="P27" s="380">
        <f t="shared" si="5"/>
        <v>3436.3059384615549</v>
      </c>
    </row>
    <row r="28" spans="2:23" x14ac:dyDescent="0.45">
      <c r="C28" s="8">
        <f t="shared" ref="C28:H28" si="6">C27/C$17</f>
        <v>0.15209025105241952</v>
      </c>
      <c r="D28" s="8">
        <f t="shared" si="6"/>
        <v>0.18009025105241958</v>
      </c>
      <c r="E28" s="8">
        <f t="shared" si="6"/>
        <v>0.18026784250524469</v>
      </c>
      <c r="F28" s="8">
        <f t="shared" si="6"/>
        <v>0.18026784250524472</v>
      </c>
      <c r="G28" s="8">
        <f t="shared" si="6"/>
        <v>0.18026784250524472</v>
      </c>
      <c r="H28" s="8">
        <f t="shared" si="6"/>
        <v>0.18026784250524472</v>
      </c>
      <c r="K28" s="8">
        <f t="shared" ref="K28:P28" si="7">K27/K$17</f>
        <v>-1.7603203092641167E-2</v>
      </c>
      <c r="L28" s="8">
        <f t="shared" si="7"/>
        <v>1.980364762539806E-2</v>
      </c>
      <c r="M28" s="8">
        <f t="shared" si="7"/>
        <v>8.1867836603207955E-2</v>
      </c>
      <c r="N28" s="8">
        <f t="shared" si="7"/>
        <v>9.8058718793074373E-2</v>
      </c>
      <c r="O28" s="8">
        <f t="shared" si="7"/>
        <v>0.10564227865646601</v>
      </c>
      <c r="P28" s="8">
        <f t="shared" si="7"/>
        <v>0.11321825876197339</v>
      </c>
    </row>
    <row r="30" spans="2:23" x14ac:dyDescent="0.45">
      <c r="B30" t="s">
        <v>32</v>
      </c>
      <c r="C30" s="380">
        <v>3548</v>
      </c>
      <c r="D30" s="380">
        <v>3639.4555244011358</v>
      </c>
      <c r="E30" s="380">
        <v>3761.1410724788757</v>
      </c>
      <c r="F30" s="380">
        <v>3947.6903687697286</v>
      </c>
      <c r="G30" s="380">
        <v>4149.3994734602784</v>
      </c>
      <c r="H30" s="380">
        <v>4361.7464769200069</v>
      </c>
      <c r="J30" t="s">
        <v>32</v>
      </c>
      <c r="K30" s="380">
        <v>897</v>
      </c>
      <c r="L30" s="380">
        <v>937.11087514371309</v>
      </c>
      <c r="M30" s="380">
        <v>1077.4810975176199</v>
      </c>
      <c r="N30" s="380">
        <v>1287.9316521034541</v>
      </c>
      <c r="O30" s="380">
        <v>1304.9468178858419</v>
      </c>
      <c r="P30" s="380">
        <v>1387.2907396854412</v>
      </c>
    </row>
    <row r="31" spans="2:23" x14ac:dyDescent="0.45">
      <c r="B31" t="s">
        <v>1073</v>
      </c>
      <c r="C31" s="380">
        <v>-199</v>
      </c>
      <c r="D31" s="380">
        <v>69.677407506239007</v>
      </c>
      <c r="E31" s="380">
        <v>72.007078377111299</v>
      </c>
      <c r="F31" s="380">
        <v>75.578566268778502</v>
      </c>
      <c r="G31" s="380">
        <v>79.440288823433093</v>
      </c>
      <c r="H31" s="380">
        <v>83.505674042071504</v>
      </c>
      <c r="J31" t="s">
        <v>1073</v>
      </c>
      <c r="K31" s="380">
        <v>10</v>
      </c>
      <c r="L31" s="380">
        <v>161</v>
      </c>
      <c r="M31" s="380">
        <v>12.1</v>
      </c>
      <c r="N31" s="380">
        <v>12.705</v>
      </c>
      <c r="O31" s="380">
        <v>13.340249999999999</v>
      </c>
      <c r="P31" s="380">
        <v>14.0072625</v>
      </c>
    </row>
    <row r="33" spans="2:16" x14ac:dyDescent="0.45">
      <c r="B33" t="s">
        <v>19</v>
      </c>
      <c r="C33" s="380">
        <f t="shared" ref="C33:H33" si="8">C27-C30+C31</f>
        <v>7200</v>
      </c>
      <c r="D33" s="380">
        <f t="shared" si="8"/>
        <v>10243.292483857076</v>
      </c>
      <c r="E33" s="380">
        <f t="shared" si="8"/>
        <v>10599.854804411971</v>
      </c>
      <c r="F33" s="380">
        <f t="shared" si="8"/>
        <v>11125.598299921172</v>
      </c>
      <c r="G33" s="380">
        <f t="shared" si="8"/>
        <v>11694.066001941879</v>
      </c>
      <c r="H33" s="380">
        <f t="shared" si="8"/>
        <v>12292.514015842517</v>
      </c>
      <c r="J33" t="s">
        <v>19</v>
      </c>
      <c r="K33" s="380">
        <f t="shared" ref="K33:P33" si="9">K27-K30+K31</f>
        <v>-1142</v>
      </c>
      <c r="L33" s="380">
        <f t="shared" si="9"/>
        <v>-473.06017316820999</v>
      </c>
      <c r="M33" s="380">
        <f t="shared" si="9"/>
        <v>474.71889094675782</v>
      </c>
      <c r="N33" s="380">
        <f t="shared" si="9"/>
        <v>1085.3694501606244</v>
      </c>
      <c r="O33" s="380">
        <f t="shared" si="9"/>
        <v>1666.2167122173948</v>
      </c>
      <c r="P33" s="380">
        <f t="shared" si="9"/>
        <v>2063.0224612761135</v>
      </c>
    </row>
    <row r="34" spans="2:16" x14ac:dyDescent="0.45">
      <c r="C34" s="8">
        <f t="shared" ref="C34:H34" si="10">C33/C$17</f>
        <v>0.10003195465218055</v>
      </c>
      <c r="D34" s="8">
        <f t="shared" si="10"/>
        <v>0.13354866331608833</v>
      </c>
      <c r="E34" s="8">
        <f t="shared" si="10"/>
        <v>0.13372625476891348</v>
      </c>
      <c r="F34" s="8">
        <f t="shared" si="10"/>
        <v>0.13372625476891348</v>
      </c>
      <c r="G34" s="8">
        <f t="shared" si="10"/>
        <v>0.13372625476891348</v>
      </c>
      <c r="H34" s="8">
        <f t="shared" si="10"/>
        <v>0.13372625476891348</v>
      </c>
      <c r="K34" s="8">
        <f t="shared" ref="K34:P34" si="11">K33/K$17</f>
        <v>-7.8834736987436149E-2</v>
      </c>
      <c r="L34" s="8">
        <f t="shared" si="11"/>
        <v>-3.0913365037479105E-2</v>
      </c>
      <c r="M34" s="8">
        <f t="shared" si="11"/>
        <v>2.5234860650337695E-2</v>
      </c>
      <c r="N34" s="8">
        <f t="shared" si="11"/>
        <v>4.5086043138771632E-2</v>
      </c>
      <c r="O34" s="8">
        <f t="shared" si="11"/>
        <v>5.9510969231396052E-2</v>
      </c>
      <c r="P34" s="8">
        <f t="shared" si="11"/>
        <v>6.7971774060691784E-2</v>
      </c>
    </row>
    <row r="35" spans="2:16" x14ac:dyDescent="0.45">
      <c r="B35" t="s">
        <v>1072</v>
      </c>
      <c r="C35" s="380">
        <v>2</v>
      </c>
      <c r="D35" s="380">
        <v>0</v>
      </c>
      <c r="E35" s="380">
        <v>0</v>
      </c>
      <c r="F35" s="380">
        <v>0</v>
      </c>
      <c r="G35" s="380">
        <v>0</v>
      </c>
      <c r="H35" s="380">
        <v>0</v>
      </c>
      <c r="J35" t="s">
        <v>1072</v>
      </c>
      <c r="K35" s="380">
        <v>444</v>
      </c>
      <c r="L35" s="380">
        <v>0</v>
      </c>
      <c r="M35" s="380">
        <v>0</v>
      </c>
      <c r="N35" s="380">
        <v>0</v>
      </c>
      <c r="O35" s="380">
        <v>0</v>
      </c>
      <c r="P35" s="380">
        <v>0</v>
      </c>
    </row>
    <row r="37" spans="2:16" x14ac:dyDescent="0.45">
      <c r="B37" t="s">
        <v>1071</v>
      </c>
      <c r="C37" s="380">
        <f t="shared" ref="C37:H37" si="12">C33-C35</f>
        <v>7198</v>
      </c>
      <c r="D37" s="380">
        <f t="shared" si="12"/>
        <v>10243.292483857076</v>
      </c>
      <c r="E37" s="380">
        <f t="shared" si="12"/>
        <v>10599.854804411971</v>
      </c>
      <c r="F37" s="380">
        <f t="shared" si="12"/>
        <v>11125.598299921172</v>
      </c>
      <c r="G37" s="380">
        <f t="shared" si="12"/>
        <v>11694.066001941879</v>
      </c>
      <c r="H37" s="380">
        <f t="shared" si="12"/>
        <v>12292.514015842517</v>
      </c>
      <c r="J37" t="s">
        <v>1071</v>
      </c>
      <c r="K37" s="380">
        <f t="shared" ref="K37:P37" si="13">K33-K35</f>
        <v>-1586</v>
      </c>
      <c r="L37" s="380">
        <f t="shared" si="13"/>
        <v>-473.06017316820999</v>
      </c>
      <c r="M37" s="380">
        <f t="shared" si="13"/>
        <v>474.71889094675782</v>
      </c>
      <c r="N37" s="380">
        <f t="shared" si="13"/>
        <v>1085.3694501606244</v>
      </c>
      <c r="O37" s="380">
        <f t="shared" si="13"/>
        <v>1666.2167122173948</v>
      </c>
      <c r="P37" s="380">
        <f t="shared" si="13"/>
        <v>2063.0224612761135</v>
      </c>
    </row>
    <row r="38" spans="2:16" x14ac:dyDescent="0.45">
      <c r="C38" s="8">
        <f t="shared" ref="C38:H38" si="14">C37/C$17</f>
        <v>0.1000041679981105</v>
      </c>
      <c r="D38" s="8">
        <f t="shared" si="14"/>
        <v>0.13354866331608833</v>
      </c>
      <c r="E38" s="8">
        <f t="shared" si="14"/>
        <v>0.13372625476891348</v>
      </c>
      <c r="F38" s="8">
        <f t="shared" si="14"/>
        <v>0.13372625476891348</v>
      </c>
      <c r="G38" s="8">
        <f t="shared" si="14"/>
        <v>0.13372625476891348</v>
      </c>
      <c r="H38" s="8">
        <f t="shared" si="14"/>
        <v>0.13372625476891348</v>
      </c>
      <c r="K38" s="8">
        <f t="shared" ref="K38:P38" si="15">K37/K$17</f>
        <v>-0.10948502001932901</v>
      </c>
      <c r="L38" s="8">
        <f t="shared" si="15"/>
        <v>-3.0913365037479105E-2</v>
      </c>
      <c r="M38" s="8">
        <f t="shared" si="15"/>
        <v>2.5234860650337695E-2</v>
      </c>
      <c r="N38" s="8">
        <f t="shared" si="15"/>
        <v>4.5086043138771632E-2</v>
      </c>
      <c r="O38" s="8">
        <f t="shared" si="15"/>
        <v>5.9510969231396052E-2</v>
      </c>
      <c r="P38" s="8">
        <f t="shared" si="15"/>
        <v>6.7971774060691784E-2</v>
      </c>
    </row>
    <row r="39" spans="2:16" x14ac:dyDescent="0.45">
      <c r="C39" s="8"/>
      <c r="D39" s="8"/>
      <c r="E39" s="8"/>
      <c r="F39" s="8"/>
      <c r="G39" s="8"/>
      <c r="H39" s="8"/>
      <c r="K39" s="8"/>
      <c r="L39" s="8"/>
      <c r="M39" s="8"/>
      <c r="N39" s="8"/>
      <c r="O39" s="8"/>
      <c r="P39" s="8"/>
    </row>
    <row r="40" spans="2:16" x14ac:dyDescent="0.45">
      <c r="B40" t="s">
        <v>662</v>
      </c>
      <c r="C40" s="380">
        <v>44</v>
      </c>
      <c r="D40" s="380">
        <v>392.60648385707691</v>
      </c>
      <c r="E40" s="380">
        <v>516.92001405167196</v>
      </c>
      <c r="F40" s="380">
        <v>267.48513575379229</v>
      </c>
      <c r="G40" s="380">
        <v>-108.95138143417398</v>
      </c>
      <c r="H40" s="380">
        <v>-555.51359986636953</v>
      </c>
      <c r="J40" t="s">
        <v>662</v>
      </c>
      <c r="K40" s="380">
        <v>110</v>
      </c>
      <c r="L40" s="380">
        <v>110</v>
      </c>
      <c r="M40" s="380">
        <v>110</v>
      </c>
      <c r="N40" s="380">
        <v>110</v>
      </c>
      <c r="O40" s="380">
        <v>110</v>
      </c>
      <c r="P40" s="380">
        <v>110</v>
      </c>
    </row>
    <row r="42" spans="2:16" x14ac:dyDescent="0.45">
      <c r="B42" t="s">
        <v>1070</v>
      </c>
      <c r="C42" s="380">
        <f t="shared" ref="C42:H42" si="16">C37-C40</f>
        <v>7154</v>
      </c>
      <c r="D42" s="380">
        <f t="shared" si="16"/>
        <v>9850.6859999999997</v>
      </c>
      <c r="E42" s="380">
        <f t="shared" si="16"/>
        <v>10082.934790360299</v>
      </c>
      <c r="F42" s="380">
        <f t="shared" si="16"/>
        <v>10858.11316416738</v>
      </c>
      <c r="G42" s="380">
        <f t="shared" si="16"/>
        <v>11803.017383376053</v>
      </c>
      <c r="H42" s="380">
        <f t="shared" si="16"/>
        <v>12848.027615708887</v>
      </c>
      <c r="J42" t="s">
        <v>1070</v>
      </c>
      <c r="K42" s="380">
        <f t="shared" ref="K42:P42" si="17">K37-K40</f>
        <v>-1696</v>
      </c>
      <c r="L42" s="380">
        <f t="shared" si="17"/>
        <v>-583.06017316820999</v>
      </c>
      <c r="M42" s="380">
        <f t="shared" si="17"/>
        <v>364.71889094675782</v>
      </c>
      <c r="N42" s="380">
        <f t="shared" si="17"/>
        <v>975.36945016062441</v>
      </c>
      <c r="O42" s="380">
        <f t="shared" si="17"/>
        <v>1556.2167122173948</v>
      </c>
      <c r="P42" s="380">
        <f t="shared" si="17"/>
        <v>1953.0224612761135</v>
      </c>
    </row>
    <row r="43" spans="2:16" x14ac:dyDescent="0.45">
      <c r="C43" s="8">
        <f t="shared" ref="C43:H43" si="18">C42/C$17</f>
        <v>9.9392861608569402E-2</v>
      </c>
      <c r="D43" s="8">
        <f t="shared" si="18"/>
        <v>0.12842998968542005</v>
      </c>
      <c r="E43" s="8">
        <f t="shared" si="18"/>
        <v>0.12720486567729572</v>
      </c>
      <c r="F43" s="8">
        <f t="shared" si="18"/>
        <v>0.13051116606568727</v>
      </c>
      <c r="G43" s="8">
        <f t="shared" si="18"/>
        <v>0.13497215676644556</v>
      </c>
      <c r="H43" s="8">
        <f t="shared" si="18"/>
        <v>0.13976950622159323</v>
      </c>
      <c r="K43" s="8">
        <f t="shared" ref="K43:P43" si="19">K42/K$17</f>
        <v>-0.11707855860831147</v>
      </c>
      <c r="L43" s="8">
        <f t="shared" si="19"/>
        <v>-3.8101605238189402E-2</v>
      </c>
      <c r="M43" s="8">
        <f t="shared" si="19"/>
        <v>1.9387537688318746E-2</v>
      </c>
      <c r="N43" s="8">
        <f t="shared" si="19"/>
        <v>4.0516663795607949E-2</v>
      </c>
      <c r="O43" s="8">
        <f t="shared" si="19"/>
        <v>5.5582184597648202E-2</v>
      </c>
      <c r="P43" s="8">
        <f t="shared" si="19"/>
        <v>6.4347530851022045E-2</v>
      </c>
    </row>
    <row r="44" spans="2:16" x14ac:dyDescent="0.45">
      <c r="B44" t="s">
        <v>1069</v>
      </c>
      <c r="C44" s="380">
        <v>2741</v>
      </c>
      <c r="D44" s="380">
        <v>2758.1920800000003</v>
      </c>
      <c r="E44" s="380">
        <v>2823.2217413008839</v>
      </c>
      <c r="F44" s="380">
        <v>3040.2716859668667</v>
      </c>
      <c r="G44" s="380">
        <v>3304.8448673452949</v>
      </c>
      <c r="H44" s="380">
        <v>3597.4477323984893</v>
      </c>
      <c r="J44" t="s">
        <v>1069</v>
      </c>
      <c r="K44" s="380">
        <v>-124</v>
      </c>
      <c r="L44" s="380">
        <v>-56.773238097006988</v>
      </c>
      <c r="M44" s="380">
        <v>151.7381560082865</v>
      </c>
      <c r="N44" s="380">
        <v>286.08127903533682</v>
      </c>
      <c r="O44" s="380">
        <v>413.86767668782608</v>
      </c>
      <c r="P44" s="380">
        <v>501.16494148074327</v>
      </c>
    </row>
    <row r="45" spans="2:16" x14ac:dyDescent="0.45">
      <c r="B45" t="s">
        <v>1068</v>
      </c>
      <c r="C45" s="8">
        <f t="shared" ref="C45:H45" si="20">C44/C37</f>
        <v>0.38080022228396776</v>
      </c>
      <c r="D45" s="8">
        <f t="shared" si="20"/>
        <v>0.26926811709680015</v>
      </c>
      <c r="E45" s="8">
        <f t="shared" si="20"/>
        <v>0.26634532202514472</v>
      </c>
      <c r="F45" s="8">
        <f t="shared" si="20"/>
        <v>0.27326815187893383</v>
      </c>
      <c r="G45" s="8">
        <f t="shared" si="20"/>
        <v>0.28260870656934062</v>
      </c>
      <c r="H45" s="8">
        <f t="shared" si="20"/>
        <v>0.29265353919972115</v>
      </c>
      <c r="J45" t="s">
        <v>1068</v>
      </c>
      <c r="K45" s="8">
        <f t="shared" ref="K45:P45" si="21">K44/K37</f>
        <v>7.8184110970996215E-2</v>
      </c>
      <c r="L45" s="8">
        <f t="shared" si="21"/>
        <v>0.12001271998186085</v>
      </c>
      <c r="M45" s="8">
        <f t="shared" si="21"/>
        <v>0.31963791393611241</v>
      </c>
      <c r="N45" s="8">
        <f t="shared" si="21"/>
        <v>0.26357963087407654</v>
      </c>
      <c r="O45" s="8">
        <f t="shared" si="21"/>
        <v>0.2483876638934035</v>
      </c>
      <c r="P45" s="8">
        <f t="shared" si="21"/>
        <v>0.24292752545735258</v>
      </c>
    </row>
    <row r="46" spans="2:16" x14ac:dyDescent="0.45">
      <c r="B46" t="s">
        <v>1067</v>
      </c>
      <c r="C46" s="380">
        <v>21</v>
      </c>
      <c r="D46" s="8"/>
      <c r="E46" s="8"/>
      <c r="F46" s="8"/>
      <c r="G46" s="8"/>
      <c r="H46" s="8"/>
      <c r="K46" s="8"/>
      <c r="L46" s="8"/>
      <c r="M46" s="8"/>
      <c r="N46" s="8"/>
      <c r="O46" s="8"/>
      <c r="P46" s="8"/>
    </row>
    <row r="47" spans="2:16" x14ac:dyDescent="0.45">
      <c r="B47" t="s">
        <v>1066</v>
      </c>
      <c r="C47" s="380">
        <v>669</v>
      </c>
      <c r="D47" s="380">
        <v>512.20440888744781</v>
      </c>
      <c r="E47" s="380">
        <v>530.03252491519254</v>
      </c>
      <c r="F47" s="380">
        <v>556.31969969065267</v>
      </c>
      <c r="G47" s="380">
        <v>584.74308479168803</v>
      </c>
      <c r="H47" s="380">
        <v>614.66548548671994</v>
      </c>
      <c r="K47" s="8"/>
      <c r="L47" s="8"/>
      <c r="M47" s="8"/>
      <c r="N47" s="8"/>
      <c r="O47" s="8"/>
      <c r="P47" s="8"/>
    </row>
    <row r="48" spans="2:16" x14ac:dyDescent="0.45">
      <c r="B48" t="s">
        <v>1065</v>
      </c>
      <c r="C48" s="380">
        <f t="shared" ref="C48:H48" si="22">C42-C44-C46-C47</f>
        <v>3723</v>
      </c>
      <c r="D48" s="380">
        <f t="shared" si="22"/>
        <v>6580.2895111125508</v>
      </c>
      <c r="E48" s="380">
        <f t="shared" si="22"/>
        <v>6729.6805241442225</v>
      </c>
      <c r="F48" s="380">
        <f t="shared" si="22"/>
        <v>7261.5217785098603</v>
      </c>
      <c r="G48" s="380">
        <f t="shared" si="22"/>
        <v>7913.4294312390703</v>
      </c>
      <c r="H48" s="380">
        <f t="shared" si="22"/>
        <v>8635.9143978236789</v>
      </c>
      <c r="J48" t="s">
        <v>1065</v>
      </c>
      <c r="K48" s="380">
        <f t="shared" ref="K48:P48" si="23">K42-K44</f>
        <v>-1572</v>
      </c>
      <c r="L48" s="380">
        <f t="shared" si="23"/>
        <v>-526.28693507120295</v>
      </c>
      <c r="M48" s="380">
        <f t="shared" si="23"/>
        <v>212.98073493847133</v>
      </c>
      <c r="N48" s="380">
        <f t="shared" si="23"/>
        <v>689.28817112528759</v>
      </c>
      <c r="O48" s="380">
        <f t="shared" si="23"/>
        <v>1142.3490355295687</v>
      </c>
      <c r="P48" s="380">
        <f t="shared" si="23"/>
        <v>1451.8575197953703</v>
      </c>
    </row>
    <row r="49" spans="2:18" x14ac:dyDescent="0.45">
      <c r="C49" s="8">
        <f t="shared" ref="C49:H49" si="24">C48/C$17</f>
        <v>5.1724856551398364E-2</v>
      </c>
      <c r="D49" s="8">
        <f t="shared" si="24"/>
        <v>8.5791640707993597E-2</v>
      </c>
      <c r="E49" s="8">
        <f t="shared" si="24"/>
        <v>8.4900688631180693E-2</v>
      </c>
      <c r="F49" s="8">
        <f t="shared" si="24"/>
        <v>8.7281248629109992E-2</v>
      </c>
      <c r="G49" s="8">
        <f t="shared" si="24"/>
        <v>9.0493185179728527E-2</v>
      </c>
      <c r="H49" s="8">
        <f t="shared" si="24"/>
        <v>9.3947298936371826E-2</v>
      </c>
      <c r="K49" s="8">
        <f t="shared" ref="K49:P49" si="25">K48/K$17</f>
        <v>-0.1085185696534585</v>
      </c>
      <c r="L49" s="8">
        <f t="shared" si="25"/>
        <v>-3.439160821624937E-2</v>
      </c>
      <c r="M49" s="8">
        <f t="shared" si="25"/>
        <v>1.1321519471576317E-2</v>
      </c>
      <c r="N49" s="8">
        <f t="shared" si="25"/>
        <v>2.8632901187517833E-2</v>
      </c>
      <c r="O49" s="8">
        <f t="shared" si="25"/>
        <v>4.0800393974229521E-2</v>
      </c>
      <c r="P49" s="8">
        <f t="shared" si="25"/>
        <v>4.7835315977511929E-2</v>
      </c>
    </row>
    <row r="52" spans="2:18" x14ac:dyDescent="0.45">
      <c r="B52" t="s">
        <v>1077</v>
      </c>
      <c r="C52" s="16">
        <v>2022</v>
      </c>
      <c r="D52" s="16">
        <f>C52+1</f>
        <v>2023</v>
      </c>
      <c r="E52" s="16">
        <f>D52+1</f>
        <v>2024</v>
      </c>
      <c r="F52" s="16">
        <f>E52+1</f>
        <v>2025</v>
      </c>
      <c r="G52" s="16">
        <f>F52+1</f>
        <v>2026</v>
      </c>
      <c r="H52" s="16">
        <f>G52+1</f>
        <v>2027</v>
      </c>
      <c r="R52" t="s">
        <v>1261</v>
      </c>
    </row>
    <row r="53" spans="2:18" x14ac:dyDescent="0.45">
      <c r="B53" t="s">
        <v>1</v>
      </c>
      <c r="C53" s="380">
        <f t="shared" ref="C53:H53" si="26">C17+K17</f>
        <v>86463</v>
      </c>
      <c r="D53" s="380">
        <f t="shared" si="26"/>
        <v>92003.595604644215</v>
      </c>
      <c r="E53" s="380">
        <f t="shared" si="26"/>
        <v>98077.350636658055</v>
      </c>
      <c r="F53" s="380">
        <f t="shared" si="26"/>
        <v>107270.10496604261</v>
      </c>
      <c r="G53" s="380">
        <f t="shared" si="26"/>
        <v>115446.27467941593</v>
      </c>
      <c r="H53" s="380">
        <f t="shared" si="26"/>
        <v>122274.13033060444</v>
      </c>
    </row>
    <row r="54" spans="2:18" x14ac:dyDescent="0.45">
      <c r="B54" t="s">
        <v>429</v>
      </c>
      <c r="D54" s="381">
        <f>D53/C53-1</f>
        <v>6.4080538549948773E-2</v>
      </c>
      <c r="E54" s="381">
        <f>E53/D53-1</f>
        <v>6.6016496334706742E-2</v>
      </c>
      <c r="F54" s="381">
        <f>F53/E53-1</f>
        <v>9.3729635534716582E-2</v>
      </c>
      <c r="G54" s="381">
        <f>G53/F53-1</f>
        <v>7.6220394451572249E-2</v>
      </c>
      <c r="H54" s="381">
        <f>H53/G53-1</f>
        <v>5.9143144030839201E-2</v>
      </c>
      <c r="J54" s="41">
        <v>0.08</v>
      </c>
    </row>
    <row r="55" spans="2:18" x14ac:dyDescent="0.45">
      <c r="B55" t="s">
        <v>1100</v>
      </c>
      <c r="D55" s="380">
        <f>L17*$F$12</f>
        <v>765.1385939296415</v>
      </c>
      <c r="E55" s="380">
        <f>M17*$F$12</f>
        <v>940.60137189702516</v>
      </c>
      <c r="F55" s="380">
        <f>N17*$F$12</f>
        <v>1203.6645651293179</v>
      </c>
      <c r="G55" s="380">
        <f>O17*$F$12</f>
        <v>1399.9240255512032</v>
      </c>
      <c r="H55" s="380">
        <f>P17*$F$12</f>
        <v>1517.5581995506307</v>
      </c>
      <c r="J55">
        <v>1</v>
      </c>
      <c r="K55">
        <v>2</v>
      </c>
      <c r="L55">
        <v>3</v>
      </c>
      <c r="M55">
        <v>4</v>
      </c>
      <c r="N55">
        <v>5</v>
      </c>
    </row>
    <row r="56" spans="2:18" x14ac:dyDescent="0.45">
      <c r="B56" t="s">
        <v>1076</v>
      </c>
      <c r="C56" s="380">
        <f t="shared" ref="C56:H56" si="27">C19+K19</f>
        <v>60129</v>
      </c>
      <c r="D56" s="380">
        <f t="shared" si="27"/>
        <v>62074.154627037686</v>
      </c>
      <c r="E56" s="380">
        <f t="shared" si="27"/>
        <v>65659.784191255007</v>
      </c>
      <c r="F56" s="380">
        <f t="shared" si="27"/>
        <v>72349.519470043349</v>
      </c>
      <c r="G56" s="380">
        <f t="shared" si="27"/>
        <v>78155.254903043766</v>
      </c>
      <c r="H56" s="380">
        <f t="shared" si="27"/>
        <v>82725.404358632732</v>
      </c>
      <c r="J56" s="380">
        <f>D55</f>
        <v>765.1385939296415</v>
      </c>
      <c r="K56" s="380">
        <f>E55</f>
        <v>940.60137189702516</v>
      </c>
      <c r="L56" s="380">
        <f>F55</f>
        <v>1203.6645651293179</v>
      </c>
      <c r="M56" s="380">
        <f>G55</f>
        <v>1399.9240255512032</v>
      </c>
      <c r="N56" s="380">
        <f>H55</f>
        <v>1517.5581995506307</v>
      </c>
    </row>
    <row r="57" spans="2:18" x14ac:dyDescent="0.45">
      <c r="B57" t="s">
        <v>1101</v>
      </c>
      <c r="C57" s="380"/>
      <c r="D57" s="380">
        <f>D55*$L$12</f>
        <v>650.36780484019528</v>
      </c>
      <c r="E57" s="380">
        <f>E55*$L$12</f>
        <v>799.51116611247141</v>
      </c>
      <c r="F57" s="380">
        <f>F55*$L$12</f>
        <v>1023.1148803599202</v>
      </c>
      <c r="G57" s="380">
        <f>G55*$L$12</f>
        <v>1189.9354217185225</v>
      </c>
      <c r="H57" s="380">
        <f>H55*$L$12</f>
        <v>1289.924469618036</v>
      </c>
      <c r="J57" s="380">
        <f>J56/(1+$J$54)^J55</f>
        <v>708.46166104596432</v>
      </c>
      <c r="K57" s="380">
        <f>K56/(1+$J$54)^K55</f>
        <v>806.41407055643435</v>
      </c>
      <c r="L57" s="380">
        <f>L56/(1+$J$54)^L55</f>
        <v>955.50773917317429</v>
      </c>
      <c r="M57" s="380">
        <f>M56/(1+$J$54)^M55</f>
        <v>1028.9859504271192</v>
      </c>
      <c r="N57" s="380">
        <f>N56/(1+$J$54)^N55</f>
        <v>1032.8246111349542</v>
      </c>
    </row>
    <row r="58" spans="2:18" x14ac:dyDescent="0.45">
      <c r="B58" t="s">
        <v>203</v>
      </c>
      <c r="C58" s="380">
        <f>C53-C56</f>
        <v>26334</v>
      </c>
      <c r="D58" s="380">
        <f>D53+D55-D56-D57</f>
        <v>30044.211766695978</v>
      </c>
      <c r="E58" s="380">
        <f>E53+E55-E56-E57</f>
        <v>32558.656651187597</v>
      </c>
      <c r="F58" s="380">
        <f>F53+F55-F56-F57</f>
        <v>35101.135180768659</v>
      </c>
      <c r="G58" s="380">
        <f>G53+G55-G56-G57</f>
        <v>37501.008380204839</v>
      </c>
      <c r="H58" s="380">
        <f>H53+H55-H56-H57</f>
        <v>39776.359701904308</v>
      </c>
      <c r="J58" s="380">
        <f>SUM(J57:N57)</f>
        <v>4532.1940323376466</v>
      </c>
    </row>
    <row r="59" spans="2:18" x14ac:dyDescent="0.45">
      <c r="C59" s="8">
        <f t="shared" ref="C59:H59" si="28">C58/C$17</f>
        <v>0.36586687414035041</v>
      </c>
      <c r="D59" s="8">
        <f t="shared" si="28"/>
        <v>0.39170650727303052</v>
      </c>
      <c r="E59" s="8">
        <f t="shared" si="28"/>
        <v>0.41075536359781561</v>
      </c>
      <c r="F59" s="8">
        <f t="shared" si="28"/>
        <v>0.42190480182039281</v>
      </c>
      <c r="G59" s="8">
        <f t="shared" si="28"/>
        <v>0.42883881448160793</v>
      </c>
      <c r="H59" s="8">
        <f t="shared" si="28"/>
        <v>0.43271405706119348</v>
      </c>
    </row>
    <row r="60" spans="2:18" x14ac:dyDescent="0.45">
      <c r="J60" s="41">
        <v>0.08</v>
      </c>
    </row>
    <row r="61" spans="2:18" x14ac:dyDescent="0.45">
      <c r="B61" t="s">
        <v>1075</v>
      </c>
      <c r="C61" s="380">
        <f t="shared" ref="C61:H62" si="29">C23+K23</f>
        <v>9951</v>
      </c>
      <c r="D61" s="380">
        <f t="shared" si="29"/>
        <v>9749.7460719566807</v>
      </c>
      <c r="E61" s="380">
        <f t="shared" si="29"/>
        <v>10117.388296812083</v>
      </c>
      <c r="F61" s="380">
        <f t="shared" si="29"/>
        <v>10758.65236480465</v>
      </c>
      <c r="G61" s="380">
        <f t="shared" si="29"/>
        <v>11401.353569891422</v>
      </c>
      <c r="H61" s="380">
        <f t="shared" si="29"/>
        <v>12001.381205284608</v>
      </c>
      <c r="J61">
        <v>1</v>
      </c>
      <c r="K61">
        <v>2</v>
      </c>
      <c r="L61">
        <v>3</v>
      </c>
      <c r="M61">
        <v>4</v>
      </c>
      <c r="N61">
        <v>5</v>
      </c>
    </row>
    <row r="62" spans="2:18" x14ac:dyDescent="0.45">
      <c r="B62" t="s">
        <v>1074</v>
      </c>
      <c r="C62" s="380">
        <f t="shared" si="29"/>
        <v>5691</v>
      </c>
      <c r="D62" s="380">
        <f t="shared" si="29"/>
        <v>6063.5736029223735</v>
      </c>
      <c r="E62" s="380">
        <f t="shared" si="29"/>
        <v>6471.0893616128569</v>
      </c>
      <c r="F62" s="380">
        <f t="shared" si="29"/>
        <v>6803.6269265084038</v>
      </c>
      <c r="G62" s="380">
        <f t="shared" si="29"/>
        <v>7167.8177397987911</v>
      </c>
      <c r="H62" s="380">
        <f t="shared" si="29"/>
        <v>7540.2840095050979</v>
      </c>
      <c r="J62" s="380">
        <f>D57</f>
        <v>650.36780484019528</v>
      </c>
      <c r="K62" s="380">
        <f>E57</f>
        <v>799.51116611247141</v>
      </c>
      <c r="L62" s="380">
        <f>F57</f>
        <v>1023.1148803599202</v>
      </c>
      <c r="M62" s="380">
        <f>G57</f>
        <v>1189.9354217185225</v>
      </c>
      <c r="N62" s="380">
        <f>H57</f>
        <v>1289.924469618036</v>
      </c>
    </row>
    <row r="63" spans="2:18" x14ac:dyDescent="0.45">
      <c r="B63" t="s">
        <v>1099</v>
      </c>
      <c r="C63" s="380">
        <f t="shared" ref="C63:H63" si="30">C61+C62</f>
        <v>15642</v>
      </c>
      <c r="D63" s="380">
        <f t="shared" si="30"/>
        <v>15813.319674879054</v>
      </c>
      <c r="E63" s="380">
        <f t="shared" si="30"/>
        <v>16588.477658424941</v>
      </c>
      <c r="F63" s="380">
        <f t="shared" si="30"/>
        <v>17562.279291313054</v>
      </c>
      <c r="G63" s="380">
        <f t="shared" si="30"/>
        <v>18569.171309690213</v>
      </c>
      <c r="H63" s="380">
        <f t="shared" si="30"/>
        <v>19541.665214789704</v>
      </c>
      <c r="J63" s="380">
        <f>J62/(1+$J$54)^J61</f>
        <v>602.19241188906972</v>
      </c>
      <c r="K63" s="380">
        <f>K62/(1+$J$54)^K61</f>
        <v>685.45195997296923</v>
      </c>
      <c r="L63" s="380">
        <f>L62/(1+$J$54)^L61</f>
        <v>812.18157829719814</v>
      </c>
      <c r="M63" s="380">
        <f>M62/(1+$J$54)^M61</f>
        <v>874.63805786305113</v>
      </c>
      <c r="N63" s="380">
        <f>N62/(1+$J$54)^N61</f>
        <v>877.90091946471114</v>
      </c>
    </row>
    <row r="64" spans="2:18" x14ac:dyDescent="0.45">
      <c r="B64" t="s">
        <v>1102</v>
      </c>
      <c r="D64" s="380">
        <f>L25*$F$13</f>
        <v>70.244645670011153</v>
      </c>
      <c r="E64" s="380">
        <f>M25*$F$13</f>
        <v>78.828446604337046</v>
      </c>
      <c r="F64" s="380">
        <f>N25*$F$13</f>
        <v>97.841038337113218</v>
      </c>
      <c r="G64" s="380">
        <f>O25*$F$13</f>
        <v>113.79417839577714</v>
      </c>
      <c r="H64" s="380">
        <f>P25*$F$13</f>
        <v>121.838627803218</v>
      </c>
      <c r="J64" s="380">
        <f>SUM(J63:N63)</f>
        <v>3852.364927486999</v>
      </c>
    </row>
    <row r="66" spans="2:14" x14ac:dyDescent="0.45">
      <c r="B66" t="s">
        <v>88</v>
      </c>
      <c r="C66" s="380">
        <f>C58-C61-C62</f>
        <v>10692</v>
      </c>
      <c r="D66" s="380">
        <f>D58-D63-D64</f>
        <v>14160.647446146913</v>
      </c>
      <c r="E66" s="380">
        <f>E58-E63-E64</f>
        <v>15891.350546158319</v>
      </c>
      <c r="F66" s="380">
        <f>F58-F63-F64</f>
        <v>17441.014851118493</v>
      </c>
      <c r="G66" s="380">
        <f>G58-G63-G64</f>
        <v>18818.04289211885</v>
      </c>
      <c r="H66" s="380">
        <f>H58-H63-H64</f>
        <v>20112.855859311385</v>
      </c>
      <c r="J66" s="41">
        <v>0.08</v>
      </c>
    </row>
    <row r="67" spans="2:14" x14ac:dyDescent="0.45">
      <c r="C67" s="8">
        <f t="shared" ref="C67:H67" si="31">C66/C$17</f>
        <v>0.14854745265848812</v>
      </c>
      <c r="D67" s="8">
        <f t="shared" si="31"/>
        <v>0.18462184313331251</v>
      </c>
      <c r="E67" s="8">
        <f t="shared" si="31"/>
        <v>0.20048300952888096</v>
      </c>
      <c r="F67" s="8">
        <f t="shared" si="31"/>
        <v>0.20963561082603532</v>
      </c>
      <c r="G67" s="8">
        <f t="shared" si="31"/>
        <v>0.21519173892348056</v>
      </c>
      <c r="H67" s="8">
        <f t="shared" si="31"/>
        <v>0.21880120562045705</v>
      </c>
      <c r="J67">
        <v>1</v>
      </c>
      <c r="K67">
        <v>2</v>
      </c>
      <c r="L67">
        <v>3</v>
      </c>
      <c r="M67">
        <v>4</v>
      </c>
      <c r="N67">
        <v>5</v>
      </c>
    </row>
    <row r="68" spans="2:14" x14ac:dyDescent="0.45">
      <c r="J68" s="380">
        <f>D64</f>
        <v>70.244645670011153</v>
      </c>
      <c r="K68" s="380">
        <f>E64</f>
        <v>78.828446604337046</v>
      </c>
      <c r="L68" s="380">
        <f>F64</f>
        <v>97.841038337113218</v>
      </c>
      <c r="M68" s="380">
        <f>G64</f>
        <v>113.79417839577714</v>
      </c>
      <c r="N68" s="380">
        <f>H64</f>
        <v>121.838627803218</v>
      </c>
    </row>
    <row r="69" spans="2:14" x14ac:dyDescent="0.45">
      <c r="B69" t="s">
        <v>32</v>
      </c>
      <c r="C69" s="380">
        <f t="shared" ref="C69:H70" si="32">C30+K30</f>
        <v>4445</v>
      </c>
      <c r="D69" s="380">
        <f t="shared" si="32"/>
        <v>4576.5663995448485</v>
      </c>
      <c r="E69" s="380">
        <f t="shared" si="32"/>
        <v>4838.6221699964954</v>
      </c>
      <c r="F69" s="380">
        <f t="shared" si="32"/>
        <v>5235.6220208731829</v>
      </c>
      <c r="G69" s="380">
        <f t="shared" si="32"/>
        <v>5454.3462913461208</v>
      </c>
      <c r="H69" s="380">
        <f t="shared" si="32"/>
        <v>5749.0372166054476</v>
      </c>
      <c r="J69" s="380">
        <f>J68/(1+$J$54)^J67</f>
        <v>65.041338583343659</v>
      </c>
      <c r="K69" s="380">
        <f>K68/(1+$J$54)^K67</f>
        <v>67.582687417984431</v>
      </c>
      <c r="L69" s="380">
        <f>L68/(1+$J$54)^L67</f>
        <v>77.669370726890918</v>
      </c>
      <c r="M69" s="380">
        <f>M68/(1+$J$54)^M67</f>
        <v>83.642118195341411</v>
      </c>
      <c r="N69" s="380">
        <f>N68/(1+$J$54)^N67</f>
        <v>82.921322832519621</v>
      </c>
    </row>
    <row r="70" spans="2:14" x14ac:dyDescent="0.45">
      <c r="B70" t="s">
        <v>1073</v>
      </c>
      <c r="C70" s="380">
        <f t="shared" si="32"/>
        <v>-189</v>
      </c>
      <c r="D70" s="380">
        <f t="shared" si="32"/>
        <v>230.67740750623901</v>
      </c>
      <c r="E70" s="380">
        <f t="shared" si="32"/>
        <v>84.107078377111293</v>
      </c>
      <c r="F70" s="380">
        <f t="shared" si="32"/>
        <v>88.2835662687785</v>
      </c>
      <c r="G70" s="380">
        <f t="shared" si="32"/>
        <v>92.780538823433091</v>
      </c>
      <c r="H70" s="380">
        <f t="shared" si="32"/>
        <v>97.5129365420715</v>
      </c>
      <c r="J70" s="380">
        <f>SUM(J69:N69)</f>
        <v>376.85683775608004</v>
      </c>
    </row>
    <row r="72" spans="2:14" x14ac:dyDescent="0.45">
      <c r="B72" t="s">
        <v>19</v>
      </c>
      <c r="C72" s="380">
        <f t="shared" ref="C72:H72" si="33">C66-C69+C70</f>
        <v>6058</v>
      </c>
      <c r="D72" s="380">
        <f t="shared" si="33"/>
        <v>9814.7584541083033</v>
      </c>
      <c r="E72" s="380">
        <f t="shared" si="33"/>
        <v>11136.835454538936</v>
      </c>
      <c r="F72" s="380">
        <f t="shared" si="33"/>
        <v>12293.676396514089</v>
      </c>
      <c r="G72" s="380">
        <f t="shared" si="33"/>
        <v>13456.477139596163</v>
      </c>
      <c r="H72" s="380">
        <f t="shared" si="33"/>
        <v>14461.331579248008</v>
      </c>
      <c r="J72" s="380">
        <f>J70+J64+J58</f>
        <v>8761.4157975807248</v>
      </c>
    </row>
    <row r="73" spans="2:14" x14ac:dyDescent="0.45">
      <c r="C73" s="8">
        <f t="shared" ref="C73:H73" si="34">C72/C$17</f>
        <v>8.4165775178181926E-2</v>
      </c>
      <c r="D73" s="8">
        <f t="shared" si="34"/>
        <v>0.12796157821150919</v>
      </c>
      <c r="E73" s="8">
        <f t="shared" si="34"/>
        <v>0.14050072598100655</v>
      </c>
      <c r="F73" s="8">
        <f t="shared" si="34"/>
        <v>0.14776619266026073</v>
      </c>
      <c r="G73" s="8">
        <f t="shared" si="34"/>
        <v>0.15388012090601166</v>
      </c>
      <c r="H73" s="8">
        <f t="shared" si="34"/>
        <v>0.15732011438603255</v>
      </c>
    </row>
    <row r="74" spans="2:14" x14ac:dyDescent="0.45">
      <c r="B74" t="s">
        <v>1072</v>
      </c>
      <c r="C74" s="380">
        <f t="shared" ref="C74:H74" si="35">C35+K35</f>
        <v>446</v>
      </c>
      <c r="D74" s="380">
        <f t="shared" si="35"/>
        <v>0</v>
      </c>
      <c r="E74" s="380">
        <f t="shared" si="35"/>
        <v>0</v>
      </c>
      <c r="F74" s="380">
        <f t="shared" si="35"/>
        <v>0</v>
      </c>
      <c r="G74" s="380">
        <f t="shared" si="35"/>
        <v>0</v>
      </c>
      <c r="H74" s="380">
        <f t="shared" si="35"/>
        <v>0</v>
      </c>
    </row>
    <row r="76" spans="2:14" x14ac:dyDescent="0.45">
      <c r="B76" t="s">
        <v>1071</v>
      </c>
      <c r="C76" s="380">
        <f t="shared" ref="C76:H76" si="36">C72-C74</f>
        <v>5612</v>
      </c>
      <c r="D76" s="380">
        <f t="shared" si="36"/>
        <v>9814.7584541083033</v>
      </c>
      <c r="E76" s="380">
        <f t="shared" si="36"/>
        <v>11136.835454538936</v>
      </c>
      <c r="F76" s="380">
        <f t="shared" si="36"/>
        <v>12293.676396514089</v>
      </c>
      <c r="G76" s="380">
        <f t="shared" si="36"/>
        <v>13456.477139596163</v>
      </c>
      <c r="H76" s="380">
        <f t="shared" si="36"/>
        <v>14461.331579248008</v>
      </c>
    </row>
    <row r="77" spans="2:14" x14ac:dyDescent="0.45">
      <c r="C77" s="8">
        <f t="shared" ref="C77:H77" si="37">C76/C$17</f>
        <v>7.7969351320560737E-2</v>
      </c>
      <c r="D77" s="8">
        <f t="shared" si="37"/>
        <v>0.12796157821150919</v>
      </c>
      <c r="E77" s="8">
        <f t="shared" si="37"/>
        <v>0.14050072598100655</v>
      </c>
      <c r="F77" s="8">
        <f t="shared" si="37"/>
        <v>0.14776619266026073</v>
      </c>
      <c r="G77" s="8">
        <f t="shared" si="37"/>
        <v>0.15388012090601166</v>
      </c>
      <c r="H77" s="8">
        <f t="shared" si="37"/>
        <v>0.15732011438603255</v>
      </c>
    </row>
    <row r="78" spans="2:14" x14ac:dyDescent="0.45">
      <c r="C78" s="8"/>
      <c r="D78" s="8"/>
      <c r="E78" s="8"/>
      <c r="F78" s="8"/>
      <c r="G78" s="8"/>
      <c r="H78" s="8"/>
    </row>
    <row r="79" spans="2:14" x14ac:dyDescent="0.45">
      <c r="B79" t="s">
        <v>662</v>
      </c>
      <c r="C79" s="380">
        <f t="shared" ref="C79:H79" si="38">C40+K40</f>
        <v>154</v>
      </c>
      <c r="D79" s="380">
        <f t="shared" si="38"/>
        <v>502.60648385707691</v>
      </c>
      <c r="E79" s="380">
        <f t="shared" si="38"/>
        <v>626.92001405167196</v>
      </c>
      <c r="F79" s="380">
        <f t="shared" si="38"/>
        <v>377.48513575379229</v>
      </c>
      <c r="G79" s="380">
        <f t="shared" si="38"/>
        <v>1.0486185658260183</v>
      </c>
      <c r="H79" s="380">
        <f t="shared" si="38"/>
        <v>-445.51359986636953</v>
      </c>
    </row>
    <row r="81" spans="2:8" x14ac:dyDescent="0.45">
      <c r="B81" t="s">
        <v>1070</v>
      </c>
      <c r="C81" s="380">
        <f t="shared" ref="C81:H81" si="39">C76-C79</f>
        <v>5458</v>
      </c>
      <c r="D81" s="380">
        <f t="shared" si="39"/>
        <v>9312.1519702512269</v>
      </c>
      <c r="E81" s="380">
        <f t="shared" si="39"/>
        <v>10509.915440487264</v>
      </c>
      <c r="F81" s="380">
        <f t="shared" si="39"/>
        <v>11916.191260760297</v>
      </c>
      <c r="G81" s="380">
        <f t="shared" si="39"/>
        <v>13455.428521030337</v>
      </c>
      <c r="H81" s="380">
        <f t="shared" si="39"/>
        <v>14906.845179114378</v>
      </c>
    </row>
    <row r="82" spans="2:8" x14ac:dyDescent="0.45">
      <c r="C82" s="8">
        <f t="shared" ref="C82:H82" si="40">C81/C$17</f>
        <v>7.5829778957166874E-2</v>
      </c>
      <c r="D82" s="8">
        <f t="shared" si="40"/>
        <v>0.1214087609216687</v>
      </c>
      <c r="E82" s="8">
        <f t="shared" si="40"/>
        <v>0.13259159259515019</v>
      </c>
      <c r="F82" s="8">
        <f t="shared" si="40"/>
        <v>0.14322893793701164</v>
      </c>
      <c r="G82" s="8">
        <f t="shared" si="40"/>
        <v>0.15386812953932485</v>
      </c>
      <c r="H82" s="8">
        <f t="shared" si="40"/>
        <v>0.16216671167947178</v>
      </c>
    </row>
    <row r="83" spans="2:8" x14ac:dyDescent="0.45">
      <c r="B83" t="s">
        <v>1069</v>
      </c>
      <c r="C83" s="380">
        <f t="shared" ref="C83:H83" si="41">C44+K44</f>
        <v>2617</v>
      </c>
      <c r="D83" s="380">
        <f t="shared" si="41"/>
        <v>2701.4188419029933</v>
      </c>
      <c r="E83" s="380">
        <f t="shared" si="41"/>
        <v>2974.9598973091702</v>
      </c>
      <c r="F83" s="380">
        <f t="shared" si="41"/>
        <v>3326.3529650022037</v>
      </c>
      <c r="G83" s="380">
        <f t="shared" si="41"/>
        <v>3718.712544033121</v>
      </c>
      <c r="H83" s="380">
        <f t="shared" si="41"/>
        <v>4098.6126738792327</v>
      </c>
    </row>
    <row r="84" spans="2:8" x14ac:dyDescent="0.45">
      <c r="B84" t="s">
        <v>1068</v>
      </c>
      <c r="C84" s="8">
        <f t="shared" ref="C84:H84" si="42">C83/C76</f>
        <v>0.46632216678545974</v>
      </c>
      <c r="D84" s="8">
        <f t="shared" si="42"/>
        <v>0.27524048141727031</v>
      </c>
      <c r="E84" s="8">
        <f t="shared" si="42"/>
        <v>0.26712793858301048</v>
      </c>
      <c r="F84" s="8">
        <f t="shared" si="42"/>
        <v>0.27057430647396913</v>
      </c>
      <c r="G84" s="8">
        <f t="shared" si="42"/>
        <v>0.27635112113338173</v>
      </c>
      <c r="H84" s="8">
        <f t="shared" si="42"/>
        <v>0.28341876067351479</v>
      </c>
    </row>
    <row r="85" spans="2:8" x14ac:dyDescent="0.45">
      <c r="B85" t="s">
        <v>1067</v>
      </c>
      <c r="C85" s="380">
        <f t="shared" ref="C85:H86" si="43">C46+K46</f>
        <v>21</v>
      </c>
      <c r="D85" s="380">
        <f t="shared" si="43"/>
        <v>0</v>
      </c>
      <c r="E85" s="380">
        <f t="shared" si="43"/>
        <v>0</v>
      </c>
      <c r="F85" s="380">
        <f t="shared" si="43"/>
        <v>0</v>
      </c>
      <c r="G85" s="380">
        <f t="shared" si="43"/>
        <v>0</v>
      </c>
      <c r="H85" s="380">
        <f t="shared" si="43"/>
        <v>0</v>
      </c>
    </row>
    <row r="86" spans="2:8" x14ac:dyDescent="0.45">
      <c r="B86" t="s">
        <v>1066</v>
      </c>
      <c r="C86" s="380">
        <f t="shared" si="43"/>
        <v>669</v>
      </c>
      <c r="D86" s="380">
        <f t="shared" si="43"/>
        <v>512.20440888744781</v>
      </c>
      <c r="E86" s="380">
        <f t="shared" si="43"/>
        <v>530.03252491519254</v>
      </c>
      <c r="F86" s="380">
        <f t="shared" si="43"/>
        <v>556.31969969065267</v>
      </c>
      <c r="G86" s="380">
        <f t="shared" si="43"/>
        <v>584.74308479168803</v>
      </c>
      <c r="H86" s="380">
        <f t="shared" si="43"/>
        <v>614.66548548671994</v>
      </c>
    </row>
    <row r="87" spans="2:8" x14ac:dyDescent="0.45">
      <c r="B87" t="s">
        <v>1065</v>
      </c>
      <c r="C87" s="380">
        <f t="shared" ref="C87:H87" si="44">C81-C83-C85-C86</f>
        <v>2151</v>
      </c>
      <c r="D87" s="380">
        <f t="shared" si="44"/>
        <v>6098.5287194607854</v>
      </c>
      <c r="E87" s="380">
        <f t="shared" si="44"/>
        <v>7004.9230182629008</v>
      </c>
      <c r="F87" s="380">
        <f t="shared" si="44"/>
        <v>8033.5185960674416</v>
      </c>
      <c r="G87" s="380">
        <f t="shared" si="44"/>
        <v>9151.9728922055292</v>
      </c>
      <c r="H87" s="380">
        <f t="shared" si="44"/>
        <v>10193.567019748425</v>
      </c>
    </row>
    <row r="88" spans="2:8" x14ac:dyDescent="0.45">
      <c r="C88" s="8">
        <f t="shared" ref="C88:H88" si="45">C87/C$17</f>
        <v>2.9884546452338942E-2</v>
      </c>
      <c r="D88" s="8">
        <f t="shared" si="45"/>
        <v>7.9510602666310395E-2</v>
      </c>
      <c r="E88" s="8">
        <f t="shared" si="45"/>
        <v>8.837310863795525E-2</v>
      </c>
      <c r="F88" s="8">
        <f t="shared" si="45"/>
        <v>9.6560411899477838E-2</v>
      </c>
      <c r="G88" s="8">
        <f t="shared" si="45"/>
        <v>0.10465641791469592</v>
      </c>
      <c r="H88" s="8">
        <f t="shared" si="45"/>
        <v>0.11089249428799153</v>
      </c>
    </row>
    <row r="92" spans="2:8" x14ac:dyDescent="0.45">
      <c r="B92" t="s">
        <v>135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3914-4353-4185-8C0D-A8DDD8155F1D}">
  <dimension ref="B2:W61"/>
  <sheetViews>
    <sheetView showGridLines="0" topLeftCell="A8" zoomScale="70" zoomScaleNormal="70" workbookViewId="0">
      <selection activeCell="I39" sqref="I39"/>
    </sheetView>
  </sheetViews>
  <sheetFormatPr defaultRowHeight="15.75" x14ac:dyDescent="0.55000000000000004"/>
  <cols>
    <col min="1" max="1" width="9.06640625" style="45"/>
    <col min="2" max="2" width="15.3984375" style="45" bestFit="1" customWidth="1"/>
    <col min="3" max="3" width="15.3984375" style="45" customWidth="1"/>
    <col min="4" max="8" width="9.06640625" style="45"/>
    <col min="9" max="9" width="9.06640625" style="644"/>
    <col min="10" max="11" width="9.06640625" style="45"/>
    <col min="12" max="12" width="13.6640625" style="45" customWidth="1"/>
    <col min="13" max="14" width="9.06640625" style="45"/>
    <col min="15" max="15" width="33.9296875" style="45" bestFit="1" customWidth="1"/>
    <col min="16" max="16384" width="9.06640625" style="45"/>
  </cols>
  <sheetData>
    <row r="2" spans="2:16" x14ac:dyDescent="0.55000000000000004">
      <c r="C2" s="45" t="s">
        <v>1262</v>
      </c>
      <c r="D2" s="49">
        <f>'DCF-Vestas'!J114</f>
        <v>2023</v>
      </c>
      <c r="E2" s="49">
        <f>'DCF-Vestas'!K114</f>
        <v>2024</v>
      </c>
      <c r="F2" s="49">
        <f>'DCF-Vestas'!L114</f>
        <v>2025</v>
      </c>
      <c r="G2" s="49">
        <f>'DCF-Vestas'!M114</f>
        <v>2026</v>
      </c>
      <c r="H2" s="49">
        <f>'DCF-Vestas'!N114</f>
        <v>2027</v>
      </c>
      <c r="I2" s="685"/>
    </row>
    <row r="3" spans="2:16" x14ac:dyDescent="0.55000000000000004">
      <c r="B3" s="45" t="s">
        <v>1100</v>
      </c>
      <c r="D3" s="54">
        <f>'DCF-Vestas'!J115</f>
        <v>15302.771878592828</v>
      </c>
      <c r="E3" s="54">
        <f>'DCF-Vestas'!K115</f>
        <v>18658.999719154574</v>
      </c>
      <c r="F3" s="54">
        <f>'DCF-Vestas'!L115</f>
        <v>23690.875477271991</v>
      </c>
      <c r="G3" s="54">
        <f>'DCF-Vestas'!M115</f>
        <v>27762.205808885621</v>
      </c>
      <c r="H3" s="54">
        <f>'DCF-Vestas'!N115</f>
        <v>29817.413310918433</v>
      </c>
      <c r="I3" s="686"/>
    </row>
    <row r="4" spans="2:16" x14ac:dyDescent="0.55000000000000004">
      <c r="C4" s="643"/>
      <c r="D4" s="104">
        <v>0.05</v>
      </c>
      <c r="E4" s="735">
        <f>D4-((D4-$H$4)/($H$2-E2))</f>
        <v>4.3333333333333335E-2</v>
      </c>
      <c r="F4" s="735">
        <f>E4-((E4-$H$4)/($H$2-F2))</f>
        <v>3.6666666666666667E-2</v>
      </c>
      <c r="G4" s="735">
        <f>F4-((F4-$H$4)/($H$2-G2))</f>
        <v>0.03</v>
      </c>
      <c r="H4" s="735">
        <v>0.03</v>
      </c>
      <c r="I4" s="687"/>
      <c r="L4" s="45" t="s">
        <v>1269</v>
      </c>
    </row>
    <row r="5" spans="2:16" x14ac:dyDescent="0.55000000000000004">
      <c r="B5" s="671"/>
      <c r="C5" s="671"/>
      <c r="D5" s="672">
        <f>D3*D4</f>
        <v>765.1385939296415</v>
      </c>
      <c r="E5" s="672">
        <f>E3*E4</f>
        <v>808.55665449669823</v>
      </c>
      <c r="F5" s="672">
        <f>F3*F4</f>
        <v>868.66543416663967</v>
      </c>
      <c r="G5" s="672">
        <f>G3*G4</f>
        <v>832.86617426656858</v>
      </c>
      <c r="H5" s="672">
        <f>H3*H4</f>
        <v>894.52239932755299</v>
      </c>
      <c r="I5" s="688"/>
    </row>
    <row r="6" spans="2:16" x14ac:dyDescent="0.55000000000000004">
      <c r="B6" s="45" t="s">
        <v>1076</v>
      </c>
      <c r="D6" s="102">
        <f>D3-D9</f>
        <v>14297.274719917214</v>
      </c>
      <c r="E6" s="102">
        <f>E3-E9</f>
        <v>16349.555666616012</v>
      </c>
      <c r="F6" s="102">
        <f>F3-F9</f>
        <v>20404.910717626157</v>
      </c>
      <c r="G6" s="102">
        <f>G3-G9</f>
        <v>23701.004251589169</v>
      </c>
      <c r="H6" s="102">
        <f>H3-H9</f>
        <v>25244.577761830216</v>
      </c>
      <c r="I6" s="652"/>
    </row>
    <row r="7" spans="2:16" x14ac:dyDescent="0.55000000000000004">
      <c r="B7" s="671" t="s">
        <v>1265</v>
      </c>
      <c r="C7" s="673">
        <v>0.85</v>
      </c>
      <c r="D7" s="674">
        <f>D5*$C$7</f>
        <v>650.36780484019528</v>
      </c>
      <c r="E7" s="674">
        <f>E5*$C$7</f>
        <v>687.27315632219347</v>
      </c>
      <c r="F7" s="674">
        <f>F5*$C$7</f>
        <v>738.36561904164375</v>
      </c>
      <c r="G7" s="674">
        <f>G5*$C$7</f>
        <v>707.93624812658322</v>
      </c>
      <c r="H7" s="674">
        <f>H5*$C$7</f>
        <v>760.34403942842005</v>
      </c>
      <c r="I7" s="689"/>
      <c r="L7" s="379">
        <f>D7/D6</f>
        <v>4.5488935309760989E-2</v>
      </c>
      <c r="M7" s="379">
        <f>E7/E6</f>
        <v>4.2036197823132858E-2</v>
      </c>
      <c r="N7" s="379">
        <f>F7/F6</f>
        <v>3.6185682420253336E-2</v>
      </c>
      <c r="O7" s="379">
        <f>G7/G6</f>
        <v>2.9869462095856787E-2</v>
      </c>
      <c r="P7" s="379">
        <f>H7/H6</f>
        <v>3.0119103064502814E-2</v>
      </c>
    </row>
    <row r="8" spans="2:16" x14ac:dyDescent="0.55000000000000004">
      <c r="C8" s="643"/>
      <c r="D8" s="102"/>
      <c r="E8" s="102"/>
      <c r="F8" s="102"/>
      <c r="G8" s="102"/>
      <c r="H8" s="102"/>
      <c r="I8" s="652"/>
    </row>
    <row r="9" spans="2:16" x14ac:dyDescent="0.55000000000000004">
      <c r="B9" s="45" t="s">
        <v>203</v>
      </c>
      <c r="D9" s="102">
        <f>D10*D3</f>
        <v>1005.4971586756145</v>
      </c>
      <c r="E9" s="102">
        <f>E10*E3</f>
        <v>2309.4440525385626</v>
      </c>
      <c r="F9" s="102">
        <f>F10*F3</f>
        <v>3285.9647596458353</v>
      </c>
      <c r="G9" s="102">
        <f>G10*G3</f>
        <v>4061.2015572964533</v>
      </c>
      <c r="H9" s="102">
        <f>H10*H3</f>
        <v>4572.8355490882186</v>
      </c>
      <c r="I9" s="652"/>
      <c r="L9" s="45" t="s">
        <v>1095</v>
      </c>
    </row>
    <row r="10" spans="2:16" x14ac:dyDescent="0.55000000000000004">
      <c r="B10" s="45" t="s">
        <v>1264</v>
      </c>
      <c r="D10" s="46">
        <f>SIEVES_Synergies!L21</f>
        <v>6.5706864524473024E-2</v>
      </c>
      <c r="E10" s="46">
        <f>SIEVES_Synergies!M21</f>
        <v>0.12377105350228292</v>
      </c>
      <c r="F10" s="46">
        <f>SIEVES_Synergies!N21</f>
        <v>0.13870170238319174</v>
      </c>
      <c r="G10" s="46">
        <f>SIEVES_Synergies!O21</f>
        <v>0.14628526224658336</v>
      </c>
      <c r="H10" s="46">
        <f>SIEVES_Synergies!P21</f>
        <v>0.15336124235209075</v>
      </c>
      <c r="I10" s="690"/>
    </row>
    <row r="12" spans="2:16" x14ac:dyDescent="0.55000000000000004">
      <c r="B12" s="45" t="s">
        <v>1266</v>
      </c>
      <c r="D12" s="102">
        <f>D3+D5-D6-D7</f>
        <v>1120.2679477650609</v>
      </c>
      <c r="E12" s="102">
        <f>E3+E5-E6-E7</f>
        <v>2430.7275507130653</v>
      </c>
      <c r="F12" s="102">
        <f>F3+F5-F6-F7</f>
        <v>3416.2645747708307</v>
      </c>
      <c r="G12" s="102">
        <f>G3+G5-G6-G7</f>
        <v>4186.1314834364366</v>
      </c>
      <c r="H12" s="102">
        <f>H3+H5-H6-H7</f>
        <v>4707.013908987351</v>
      </c>
      <c r="I12" s="652"/>
    </row>
    <row r="13" spans="2:16" x14ac:dyDescent="0.55000000000000004">
      <c r="D13" s="46">
        <f>D12/(D3+D5)</f>
        <v>6.9720823356640982E-2</v>
      </c>
      <c r="E13" s="46">
        <f>E12/(E3+E5)</f>
        <v>0.12486043466672474</v>
      </c>
      <c r="F13" s="46">
        <f>F12/(F3+F5)</f>
        <v>0.13910132062687303</v>
      </c>
      <c r="G13" s="46">
        <f>G12/(G3+G5)</f>
        <v>0.14639345849182844</v>
      </c>
      <c r="H13" s="46">
        <f>H12/(H3+H5)</f>
        <v>0.15326334208940848</v>
      </c>
      <c r="I13" s="690"/>
    </row>
    <row r="14" spans="2:16" x14ac:dyDescent="0.55000000000000004">
      <c r="D14" s="46"/>
      <c r="E14" s="46"/>
      <c r="F14" s="46"/>
      <c r="G14" s="46"/>
      <c r="H14" s="46"/>
      <c r="I14" s="690"/>
    </row>
    <row r="15" spans="2:16" x14ac:dyDescent="0.55000000000000004">
      <c r="B15" s="45" t="s">
        <v>1099</v>
      </c>
      <c r="D15" s="46">
        <v>4.5903216899074971E-2</v>
      </c>
      <c r="E15" s="46">
        <v>4.1903216899074967E-2</v>
      </c>
      <c r="F15" s="46">
        <v>4.0642983590117358E-2</v>
      </c>
      <c r="G15" s="46">
        <v>4.0642983590117351E-2</v>
      </c>
      <c r="H15" s="46">
        <v>4.0142983590117351E-2</v>
      </c>
      <c r="I15" s="690"/>
    </row>
    <row r="16" spans="2:16" x14ac:dyDescent="0.55000000000000004">
      <c r="B16" s="45" t="s">
        <v>1099</v>
      </c>
      <c r="D16" s="54">
        <f>D15*D3</f>
        <v>702.44645670011153</v>
      </c>
      <c r="E16" s="54">
        <f>E15*E3</f>
        <v>781.87211235151301</v>
      </c>
      <c r="F16" s="54">
        <f>F15*F3</f>
        <v>962.86786325827927</v>
      </c>
      <c r="G16" s="54">
        <f>G15*G3</f>
        <v>1128.3388751159989</v>
      </c>
      <c r="H16" s="54">
        <f>H15*H3</f>
        <v>1196.9599332399453</v>
      </c>
      <c r="I16" s="686"/>
    </row>
    <row r="17" spans="2:23" x14ac:dyDescent="0.55000000000000004">
      <c r="B17" s="671" t="s">
        <v>1263</v>
      </c>
      <c r="C17" s="673">
        <v>0.15</v>
      </c>
      <c r="D17" s="672">
        <f>D16*$C$17</f>
        <v>105.36696850501673</v>
      </c>
      <c r="E17" s="672">
        <f>E16*$C$17</f>
        <v>117.28081685272694</v>
      </c>
      <c r="F17" s="672">
        <f>F16*$C$17</f>
        <v>144.43017948874189</v>
      </c>
      <c r="G17" s="672">
        <f>G16*$C$17</f>
        <v>169.25083126739983</v>
      </c>
      <c r="H17" s="672">
        <f>H16*$C$17</f>
        <v>179.54398998599177</v>
      </c>
      <c r="I17" s="688"/>
      <c r="L17" s="45" t="s">
        <v>1092</v>
      </c>
    </row>
    <row r="18" spans="2:23" x14ac:dyDescent="0.55000000000000004">
      <c r="L18" s="45" t="s">
        <v>1093</v>
      </c>
    </row>
    <row r="19" spans="2:23" x14ac:dyDescent="0.55000000000000004">
      <c r="B19" s="45" t="s">
        <v>1267</v>
      </c>
      <c r="D19" s="102">
        <f>D16-D17</f>
        <v>597.07948819509477</v>
      </c>
      <c r="E19" s="102">
        <f>E16-E17</f>
        <v>664.59129549878605</v>
      </c>
      <c r="F19" s="102">
        <f>F16-F17</f>
        <v>818.43768376953744</v>
      </c>
      <c r="G19" s="102">
        <f>G16-G17</f>
        <v>959.08804384859911</v>
      </c>
      <c r="H19" s="102">
        <f>H16-H17</f>
        <v>1017.4159432539535</v>
      </c>
      <c r="I19" s="652"/>
      <c r="L19" s="45" t="s">
        <v>1094</v>
      </c>
    </row>
    <row r="20" spans="2:23" x14ac:dyDescent="0.55000000000000004">
      <c r="L20" s="45" t="s">
        <v>1268</v>
      </c>
    </row>
    <row r="21" spans="2:23" x14ac:dyDescent="0.55000000000000004">
      <c r="B21" s="45" t="s">
        <v>88</v>
      </c>
      <c r="D21" s="102">
        <f>D12-D19</f>
        <v>523.18845956996608</v>
      </c>
      <c r="E21" s="102">
        <f>E12-E19</f>
        <v>1766.1362552142791</v>
      </c>
      <c r="F21" s="102">
        <f>F12-F19</f>
        <v>2597.826891001293</v>
      </c>
      <c r="G21" s="102">
        <f>G12-G19</f>
        <v>3227.0434395878374</v>
      </c>
      <c r="H21" s="102">
        <f>H12-H19</f>
        <v>3689.5979657333974</v>
      </c>
      <c r="I21" s="652"/>
    </row>
    <row r="23" spans="2:23" x14ac:dyDescent="0.55000000000000004">
      <c r="B23" s="45" t="s">
        <v>32</v>
      </c>
      <c r="D23" s="102">
        <v>937.11087514371309</v>
      </c>
      <c r="E23" s="102">
        <v>1077.4810975176199</v>
      </c>
      <c r="F23" s="102">
        <v>1287.9316521034541</v>
      </c>
      <c r="G23" s="102">
        <v>1309.8769204355535</v>
      </c>
      <c r="H23" s="102">
        <v>1192.6965324367372</v>
      </c>
      <c r="I23" s="652"/>
      <c r="L23" s="379">
        <f>SIEVES_Synergies!L30/(SIEVES_Synergies!L30+SIEVES_Synergies!L31)</f>
        <v>0.8533845683124397</v>
      </c>
      <c r="M23" s="379">
        <f>SIEVES_Synergies!M30/(SIEVES_Synergies!M30+SIEVES_Synergies!M31)</f>
        <v>0.98889481468835394</v>
      </c>
      <c r="N23" s="379">
        <f>SIEVES_Synergies!N30/(SIEVES_Synergies!N30+SIEVES_Synergies!N31)</f>
        <v>0.9902317069264096</v>
      </c>
      <c r="O23" s="379">
        <f>SIEVES_Synergies!O30/(SIEVES_Synergies!O30+SIEVES_Synergies!O31)</f>
        <v>0.9898806183228408</v>
      </c>
      <c r="P23" s="379">
        <f>SIEVES_Synergies!P30/(SIEVES_Synergies!P30+SIEVES_Synergies!P31)</f>
        <v>0.99000408016128294</v>
      </c>
    </row>
    <row r="24" spans="2:23" x14ac:dyDescent="0.55000000000000004">
      <c r="D24" s="102"/>
      <c r="E24" s="102"/>
      <c r="F24" s="102"/>
      <c r="G24" s="102"/>
      <c r="H24" s="102"/>
      <c r="I24" s="652"/>
      <c r="L24" s="379"/>
      <c r="M24" s="379"/>
      <c r="N24" s="379"/>
      <c r="O24" s="379"/>
      <c r="P24" s="379"/>
    </row>
    <row r="25" spans="2:23" x14ac:dyDescent="0.55000000000000004">
      <c r="B25" s="45" t="s">
        <v>1073</v>
      </c>
      <c r="D25" s="102">
        <f>D26-D23</f>
        <v>59.137757594462983</v>
      </c>
      <c r="E25" s="102">
        <f>E26-E23</f>
        <v>311.0928985048763</v>
      </c>
      <c r="F25" s="102">
        <f>F26-F23</f>
        <v>241.76740513428695</v>
      </c>
      <c r="G25" s="102">
        <f>G26-G23</f>
        <v>-96.787775655433961</v>
      </c>
      <c r="H25" s="102">
        <f>H26-H23</f>
        <v>-484.83989779518356</v>
      </c>
      <c r="I25" s="652"/>
      <c r="L25" s="379">
        <f>1-L23</f>
        <v>0.1466154316875603</v>
      </c>
      <c r="M25" s="379">
        <f>1-M23</f>
        <v>1.110518531164606E-2</v>
      </c>
      <c r="N25" s="379">
        <f>1-N23</f>
        <v>9.768293073590395E-3</v>
      </c>
      <c r="O25" s="379">
        <f>1-O23</f>
        <v>1.01193816771592E-2</v>
      </c>
      <c r="P25" s="379">
        <f>1-P23</f>
        <v>9.99591983871706E-3</v>
      </c>
    </row>
    <row r="26" spans="2:23" x14ac:dyDescent="0.55000000000000004">
      <c r="B26" s="45" t="s">
        <v>85</v>
      </c>
      <c r="D26" s="102">
        <f>D21-D28</f>
        <v>996.24863273817607</v>
      </c>
      <c r="E26" s="102">
        <f>E21-E28</f>
        <v>1388.5739960224962</v>
      </c>
      <c r="F26" s="102">
        <f>F21-F28</f>
        <v>1529.699057237741</v>
      </c>
      <c r="G26" s="102">
        <f>G21-G28</f>
        <v>1213.0891447801196</v>
      </c>
      <c r="H26" s="102">
        <f>H21-H28</f>
        <v>707.85663464155368</v>
      </c>
      <c r="I26" s="652"/>
    </row>
    <row r="28" spans="2:23" x14ac:dyDescent="0.55000000000000004">
      <c r="B28" s="45" t="s">
        <v>19</v>
      </c>
      <c r="D28" s="102" cm="1">
        <f t="array" ref="D28:H28">'DCF-Vestas'!J118:N118</f>
        <v>-473.06017316820999</v>
      </c>
      <c r="E28" s="102">
        <v>377.56225919178286</v>
      </c>
      <c r="F28" s="102">
        <v>1068.127833763552</v>
      </c>
      <c r="G28" s="102">
        <v>2013.9542948077178</v>
      </c>
      <c r="H28" s="102">
        <v>2981.7413310918437</v>
      </c>
      <c r="I28" s="652"/>
    </row>
    <row r="29" spans="2:23" x14ac:dyDescent="0.55000000000000004">
      <c r="L29" s="49" t="s">
        <v>21</v>
      </c>
      <c r="M29" s="50"/>
      <c r="N29" s="675" t="s">
        <v>68</v>
      </c>
      <c r="O29" s="49" t="s">
        <v>1246</v>
      </c>
      <c r="S29" s="45" t="s">
        <v>1276</v>
      </c>
      <c r="T29" s="45" t="s">
        <v>597</v>
      </c>
    </row>
    <row r="30" spans="2:23" x14ac:dyDescent="0.55000000000000004">
      <c r="L30" s="45" t="s">
        <v>66</v>
      </c>
      <c r="N30" s="102">
        <f>'DCF-Vestas'!T76</f>
        <v>2427</v>
      </c>
      <c r="R30" s="45" t="s">
        <v>1271</v>
      </c>
      <c r="W30" s="45" t="s">
        <v>1275</v>
      </c>
    </row>
    <row r="31" spans="2:23" x14ac:dyDescent="0.55000000000000004">
      <c r="L31" s="45" t="s">
        <v>50</v>
      </c>
      <c r="N31" s="676">
        <f>N30/N42</f>
        <v>8.085658419375423E-2</v>
      </c>
      <c r="R31" s="45" t="s">
        <v>100</v>
      </c>
      <c r="S31" s="45">
        <f>T31/T34</f>
        <v>52386.170212765959</v>
      </c>
      <c r="T31" s="45">
        <f>7106+42137</f>
        <v>49243</v>
      </c>
      <c r="W31" s="45" t="s">
        <v>1274</v>
      </c>
    </row>
    <row r="32" spans="2:23" x14ac:dyDescent="0.55000000000000004">
      <c r="B32" s="45" t="s">
        <v>1</v>
      </c>
      <c r="D32" s="102" cm="1">
        <f t="array" ref="D32:H32">D5:H5</f>
        <v>765.1385939296415</v>
      </c>
      <c r="E32" s="102">
        <v>808.55665449669823</v>
      </c>
      <c r="F32" s="102">
        <v>868.66543416663967</v>
      </c>
      <c r="G32" s="102">
        <v>832.86617426656858</v>
      </c>
      <c r="H32" s="102">
        <v>894.52239932755299</v>
      </c>
      <c r="I32" s="652"/>
      <c r="L32" s="45" t="s">
        <v>51</v>
      </c>
      <c r="N32" s="677">
        <f>'DCF-Vestas'!T78</f>
        <v>3.1828000000000002E-2</v>
      </c>
      <c r="O32" s="45" t="s">
        <v>1247</v>
      </c>
      <c r="R32" s="45" t="s">
        <v>168</v>
      </c>
      <c r="S32" s="45">
        <v>122140</v>
      </c>
      <c r="T32" s="45">
        <f>S32*T34</f>
        <v>114811.59999999999</v>
      </c>
      <c r="U32" s="45" t="s">
        <v>1273</v>
      </c>
    </row>
    <row r="33" spans="2:21" x14ac:dyDescent="0.55000000000000004">
      <c r="B33" s="45" t="s">
        <v>1076</v>
      </c>
      <c r="D33" s="102" cm="1">
        <f t="array" ref="D33:H33">D7:H7</f>
        <v>650.36780484019528</v>
      </c>
      <c r="E33" s="102">
        <v>687.27315632219347</v>
      </c>
      <c r="F33" s="102">
        <v>738.36561904164375</v>
      </c>
      <c r="G33" s="102">
        <v>707.93624812658322</v>
      </c>
      <c r="H33" s="102">
        <v>760.34403942842005</v>
      </c>
      <c r="I33" s="652"/>
      <c r="L33" s="45" t="s">
        <v>52</v>
      </c>
      <c r="N33" s="677">
        <f>'DCF-Vestas'!T79</f>
        <v>0.22</v>
      </c>
      <c r="O33" s="45" t="s">
        <v>1247</v>
      </c>
      <c r="S33" s="45">
        <f>SUM(S31:S32)</f>
        <v>174526.17021276595</v>
      </c>
      <c r="T33" s="45">
        <f>SUM(T31:T32)</f>
        <v>164054.59999999998</v>
      </c>
    </row>
    <row r="34" spans="2:21" x14ac:dyDescent="0.55000000000000004">
      <c r="B34" s="45" t="s">
        <v>1270</v>
      </c>
      <c r="D34" s="102">
        <f>D17</f>
        <v>105.36696850501673</v>
      </c>
      <c r="E34" s="102">
        <f>E17</f>
        <v>117.28081685272694</v>
      </c>
      <c r="F34" s="102">
        <f>F17</f>
        <v>144.43017948874189</v>
      </c>
      <c r="G34" s="102">
        <f>G17</f>
        <v>169.25083126739983</v>
      </c>
      <c r="H34" s="102">
        <f>H17</f>
        <v>179.54398998599177</v>
      </c>
      <c r="I34" s="652"/>
      <c r="S34" s="45">
        <v>1</v>
      </c>
      <c r="T34" s="45">
        <v>0.94</v>
      </c>
      <c r="U34" s="45" t="s">
        <v>1277</v>
      </c>
    </row>
    <row r="35" spans="2:21" x14ac:dyDescent="0.55000000000000004">
      <c r="B35" s="693" t="s">
        <v>1429</v>
      </c>
      <c r="D35" s="45">
        <v>1</v>
      </c>
      <c r="E35" s="45">
        <v>2</v>
      </c>
      <c r="F35" s="45">
        <v>3</v>
      </c>
      <c r="G35" s="45">
        <v>4</v>
      </c>
      <c r="H35" s="45">
        <v>5</v>
      </c>
      <c r="I35" s="646" t="s">
        <v>85</v>
      </c>
      <c r="L35" s="45" t="s">
        <v>67</v>
      </c>
      <c r="N35" s="102">
        <f>'DCF-Vestas'!T81</f>
        <v>27589.10844930392</v>
      </c>
      <c r="O35" s="45" t="s">
        <v>1248</v>
      </c>
    </row>
    <row r="36" spans="2:21" x14ac:dyDescent="0.55000000000000004">
      <c r="B36" s="693" t="s">
        <v>1</v>
      </c>
      <c r="C36" s="671"/>
      <c r="D36" s="674">
        <f t="shared" ref="D36:H38" si="0">D32/(1+$N$61)^D$35</f>
        <v>697.87923182517</v>
      </c>
      <c r="E36" s="674">
        <f t="shared" si="0"/>
        <v>672.65254146707025</v>
      </c>
      <c r="F36" s="674">
        <f t="shared" si="0"/>
        <v>659.13297343029183</v>
      </c>
      <c r="G36" s="674">
        <f t="shared" si="0"/>
        <v>576.41581439673041</v>
      </c>
      <c r="H36" s="674">
        <f t="shared" si="0"/>
        <v>564.66653392588125</v>
      </c>
      <c r="I36" s="692">
        <f>SUM(D36:H36)</f>
        <v>3170.7470950451439</v>
      </c>
      <c r="J36" s="45">
        <f>I36/$I$39</f>
        <v>0.49545865156919772</v>
      </c>
      <c r="L36" s="45" t="s">
        <v>53</v>
      </c>
      <c r="N36" s="379">
        <f>N35/N42</f>
        <v>0.91914341580624581</v>
      </c>
      <c r="R36" s="45" t="s">
        <v>1278</v>
      </c>
    </row>
    <row r="37" spans="2:21" x14ac:dyDescent="0.55000000000000004">
      <c r="B37" s="693" t="s">
        <v>1076</v>
      </c>
      <c r="C37" s="671"/>
      <c r="D37" s="674">
        <f t="shared" si="0"/>
        <v>593.19734705139456</v>
      </c>
      <c r="E37" s="674">
        <f t="shared" si="0"/>
        <v>571.75466024700961</v>
      </c>
      <c r="F37" s="674">
        <f t="shared" si="0"/>
        <v>560.26302741574807</v>
      </c>
      <c r="G37" s="674">
        <f t="shared" si="0"/>
        <v>489.95344223722083</v>
      </c>
      <c r="H37" s="674">
        <f t="shared" si="0"/>
        <v>479.96655383699908</v>
      </c>
      <c r="I37" s="692">
        <f>SUM(D37:H37)</f>
        <v>2695.1350307883722</v>
      </c>
      <c r="J37" s="45">
        <f>I37/$I$39</f>
        <v>0.42113985383381802</v>
      </c>
      <c r="L37" s="45" t="s">
        <v>54</v>
      </c>
      <c r="N37" s="104">
        <f>N38+(N39*N40)</f>
        <v>0.109404</v>
      </c>
      <c r="R37" s="45" t="s">
        <v>100</v>
      </c>
      <c r="S37" s="379">
        <f>S31/S33</f>
        <v>0.3001622630514475</v>
      </c>
      <c r="T37" s="379">
        <f>T31/T33</f>
        <v>0.30016226305144755</v>
      </c>
    </row>
    <row r="38" spans="2:21" x14ac:dyDescent="0.55000000000000004">
      <c r="B38" s="693" t="s">
        <v>1270</v>
      </c>
      <c r="C38" s="671"/>
      <c r="D38" s="674">
        <f t="shared" si="0"/>
        <v>96.104705243491793</v>
      </c>
      <c r="E38" s="674">
        <f t="shared" si="0"/>
        <v>97.567980032799198</v>
      </c>
      <c r="F38" s="674">
        <f t="shared" si="0"/>
        <v>109.59189800249705</v>
      </c>
      <c r="G38" s="674">
        <f t="shared" si="0"/>
        <v>117.13629242805223</v>
      </c>
      <c r="H38" s="674">
        <f t="shared" si="0"/>
        <v>113.33699702637546</v>
      </c>
      <c r="I38" s="692">
        <f>SUM(D38:H38)</f>
        <v>533.73787273321568</v>
      </c>
      <c r="J38" s="45">
        <f>I38/$I$39</f>
        <v>8.340149459698426E-2</v>
      </c>
      <c r="L38" s="45" t="s">
        <v>55</v>
      </c>
      <c r="N38" s="677">
        <f>'DCF-Vestas'!T84</f>
        <v>4.0500000000000001E-2</v>
      </c>
      <c r="O38" s="45" t="s">
        <v>1250</v>
      </c>
      <c r="R38" s="45" t="s">
        <v>1272</v>
      </c>
      <c r="S38" s="379">
        <f>S32/S33</f>
        <v>0.69983773694855256</v>
      </c>
      <c r="T38" s="379">
        <f>T32/T33</f>
        <v>0.69983773694855256</v>
      </c>
    </row>
    <row r="39" spans="2:21" x14ac:dyDescent="0.55000000000000004">
      <c r="I39" s="691">
        <f>SUM(I36:I38)</f>
        <v>6399.6199985667317</v>
      </c>
      <c r="L39" s="45" t="s">
        <v>56</v>
      </c>
      <c r="N39" s="678">
        <f>'DCF-Vestas'!T85</f>
        <v>1.1599999999999999</v>
      </c>
      <c r="O39" s="45" t="s">
        <v>1249</v>
      </c>
    </row>
    <row r="40" spans="2:21" x14ac:dyDescent="0.55000000000000004">
      <c r="L40" s="45" t="s">
        <v>57</v>
      </c>
      <c r="N40" s="677">
        <f>'DCF-Vestas'!T86</f>
        <v>5.9400000000000001E-2</v>
      </c>
      <c r="O40" s="45" t="s">
        <v>1251</v>
      </c>
    </row>
    <row r="41" spans="2:21" x14ac:dyDescent="0.55000000000000004">
      <c r="B41" s="45" t="s">
        <v>1</v>
      </c>
      <c r="D41" s="102">
        <f>D3</f>
        <v>15302.771878592828</v>
      </c>
      <c r="E41" s="102">
        <f>E3</f>
        <v>18658.999719154574</v>
      </c>
      <c r="F41" s="102">
        <f>F3</f>
        <v>23690.875477271991</v>
      </c>
      <c r="G41" s="102">
        <f>G3</f>
        <v>27762.205808885621</v>
      </c>
      <c r="H41" s="102">
        <f>H3</f>
        <v>29817.413310918433</v>
      </c>
      <c r="J41" s="379">
        <f>J37/J36</f>
        <v>0.85</v>
      </c>
      <c r="K41" s="379"/>
      <c r="R41" s="45" t="s">
        <v>1425</v>
      </c>
      <c r="T41" s="104">
        <f>(1-N33)</f>
        <v>0.78</v>
      </c>
    </row>
    <row r="42" spans="2:21" x14ac:dyDescent="0.55000000000000004">
      <c r="B42" s="45" t="s">
        <v>1295</v>
      </c>
      <c r="D42" s="102">
        <f>D32</f>
        <v>765.1385939296415</v>
      </c>
      <c r="E42" s="102">
        <f>E32</f>
        <v>808.55665449669823</v>
      </c>
      <c r="F42" s="102">
        <f>F32</f>
        <v>868.66543416663967</v>
      </c>
      <c r="G42" s="102">
        <f>G32</f>
        <v>832.86617426656858</v>
      </c>
      <c r="H42" s="102">
        <f>H32</f>
        <v>894.52239932755299</v>
      </c>
      <c r="J42" s="379">
        <f>J38/J36</f>
        <v>0.16833189678460198</v>
      </c>
      <c r="K42" s="379"/>
      <c r="L42" s="679" t="s">
        <v>58</v>
      </c>
      <c r="M42" s="680"/>
      <c r="N42" s="681">
        <f>N30+N35</f>
        <v>30016.10844930392</v>
      </c>
    </row>
    <row r="43" spans="2:21" x14ac:dyDescent="0.55000000000000004">
      <c r="D43" s="102">
        <f>SUM(D41:D42)</f>
        <v>16067.91047252247</v>
      </c>
      <c r="E43" s="102">
        <f t="shared" ref="E43:H43" si="1">SUM(E41:E42)</f>
        <v>19467.55637365127</v>
      </c>
      <c r="F43" s="102">
        <f t="shared" si="1"/>
        <v>24559.540911438631</v>
      </c>
      <c r="G43" s="102">
        <f t="shared" si="1"/>
        <v>28595.071983152189</v>
      </c>
      <c r="H43" s="102">
        <f t="shared" si="1"/>
        <v>30711.935710245987</v>
      </c>
      <c r="R43" s="45" t="s">
        <v>1427</v>
      </c>
      <c r="T43" s="643">
        <f>1-T44</f>
        <v>0.69</v>
      </c>
    </row>
    <row r="44" spans="2:21" x14ac:dyDescent="0.55000000000000004">
      <c r="B44" s="45" t="s">
        <v>1076</v>
      </c>
      <c r="L44" s="682" t="s">
        <v>21</v>
      </c>
      <c r="M44" s="683"/>
      <c r="N44" s="684">
        <f>(N32*N31)+(N36*N37)</f>
        <v>0.10313146962458533</v>
      </c>
      <c r="R44" s="104" t="s">
        <v>1426</v>
      </c>
      <c r="T44" s="643">
        <v>0.31</v>
      </c>
    </row>
    <row r="45" spans="2:21" x14ac:dyDescent="0.55000000000000004">
      <c r="B45" s="45" t="s">
        <v>1296</v>
      </c>
      <c r="D45" s="102">
        <f>D6-D7</f>
        <v>13646.906915077019</v>
      </c>
      <c r="E45" s="102">
        <f>E6-E7</f>
        <v>15662.282510293819</v>
      </c>
      <c r="F45" s="102">
        <f>F6-F7</f>
        <v>19666.545098584513</v>
      </c>
      <c r="G45" s="102">
        <f>G6-G7</f>
        <v>22993.068003462588</v>
      </c>
      <c r="H45" s="102">
        <f>H6-H7</f>
        <v>24484.233722401797</v>
      </c>
    </row>
    <row r="46" spans="2:21" x14ac:dyDescent="0.55000000000000004">
      <c r="B46" s="45" t="s">
        <v>1297</v>
      </c>
      <c r="D46" s="102">
        <f>D33</f>
        <v>650.36780484019528</v>
      </c>
      <c r="E46" s="102">
        <f>E33</f>
        <v>687.27315632219347</v>
      </c>
      <c r="F46" s="102">
        <f>F33</f>
        <v>738.36561904164375</v>
      </c>
      <c r="G46" s="102">
        <f>G33</f>
        <v>707.93624812658322</v>
      </c>
      <c r="H46" s="102">
        <f>H33</f>
        <v>760.34403942842005</v>
      </c>
      <c r="L46" s="45" t="s">
        <v>66</v>
      </c>
      <c r="N46" s="102">
        <f>S31</f>
        <v>52386.170212765959</v>
      </c>
    </row>
    <row r="47" spans="2:21" x14ac:dyDescent="0.55000000000000004">
      <c r="D47" s="102"/>
      <c r="E47" s="102"/>
      <c r="F47" s="102"/>
      <c r="G47" s="102"/>
      <c r="H47" s="102"/>
      <c r="L47" s="45" t="s">
        <v>50</v>
      </c>
      <c r="N47" s="676">
        <f>N46/N59</f>
        <v>0.3001622630514475</v>
      </c>
    </row>
    <row r="48" spans="2:21" x14ac:dyDescent="0.55000000000000004">
      <c r="B48" s="45" t="s">
        <v>1270</v>
      </c>
      <c r="D48" s="102">
        <f>D16-D34</f>
        <v>597.07948819509477</v>
      </c>
      <c r="E48" s="102">
        <f>E16-E34</f>
        <v>664.59129549878605</v>
      </c>
      <c r="F48" s="102">
        <f>F16-F34</f>
        <v>818.43768376953744</v>
      </c>
      <c r="G48" s="102">
        <f>G16-G34</f>
        <v>959.08804384859911</v>
      </c>
      <c r="H48" s="102">
        <f>H16-H34</f>
        <v>1017.4159432539535</v>
      </c>
      <c r="L48" s="45" t="s">
        <v>51</v>
      </c>
      <c r="N48" s="677">
        <f>N32</f>
        <v>3.1828000000000002E-2</v>
      </c>
    </row>
    <row r="49" spans="2:14" x14ac:dyDescent="0.55000000000000004">
      <c r="B49" s="45" t="s">
        <v>1298</v>
      </c>
      <c r="D49" s="102">
        <f>D34</f>
        <v>105.36696850501673</v>
      </c>
      <c r="E49" s="102">
        <f>E34</f>
        <v>117.28081685272694</v>
      </c>
      <c r="F49" s="102">
        <f>F34</f>
        <v>144.43017948874189</v>
      </c>
      <c r="G49" s="102">
        <f>G34</f>
        <v>169.25083126739983</v>
      </c>
      <c r="H49" s="102">
        <f>H34</f>
        <v>179.54398998599177</v>
      </c>
      <c r="L49" s="45" t="s">
        <v>52</v>
      </c>
      <c r="N49" s="677">
        <f>N33</f>
        <v>0.22</v>
      </c>
    </row>
    <row r="50" spans="2:14" x14ac:dyDescent="0.55000000000000004">
      <c r="D50" s="102">
        <f>D48+D49</f>
        <v>702.44645670011153</v>
      </c>
      <c r="E50" s="102">
        <f t="shared" ref="E50" si="2">E48+E49</f>
        <v>781.87211235151301</v>
      </c>
      <c r="F50" s="102">
        <f t="shared" ref="F50" si="3">F48+F49</f>
        <v>962.86786325827939</v>
      </c>
      <c r="G50" s="102">
        <f t="shared" ref="G50" si="4">G48+G49</f>
        <v>1128.3388751159989</v>
      </c>
      <c r="H50" s="102">
        <f t="shared" ref="H50" si="5">H48+H49</f>
        <v>1196.9599332399453</v>
      </c>
    </row>
    <row r="51" spans="2:14" x14ac:dyDescent="0.55000000000000004">
      <c r="L51" s="45" t="s">
        <v>67</v>
      </c>
      <c r="N51" s="102">
        <f>S32</f>
        <v>122140</v>
      </c>
    </row>
    <row r="52" spans="2:14" x14ac:dyDescent="0.55000000000000004">
      <c r="L52" s="45" t="s">
        <v>53</v>
      </c>
      <c r="N52" s="379">
        <f>N51/N59</f>
        <v>0.69983773694855256</v>
      </c>
    </row>
    <row r="53" spans="2:14" x14ac:dyDescent="0.55000000000000004">
      <c r="L53" s="45" t="s">
        <v>54</v>
      </c>
      <c r="N53" s="104">
        <f>N54+(N56*N57)</f>
        <v>0.12406194133042558</v>
      </c>
    </row>
    <row r="54" spans="2:14" x14ac:dyDescent="0.55000000000000004">
      <c r="L54" s="45" t="s">
        <v>55</v>
      </c>
      <c r="N54" s="677">
        <f>N38</f>
        <v>4.0500000000000001E-2</v>
      </c>
    </row>
    <row r="55" spans="2:14" x14ac:dyDescent="0.55000000000000004">
      <c r="L55" s="45" t="s">
        <v>1279</v>
      </c>
      <c r="N55" s="678">
        <f>N39/(1+T41*(N31/N36))</f>
        <v>1.0855160079633881</v>
      </c>
    </row>
    <row r="56" spans="2:14" x14ac:dyDescent="0.55000000000000004">
      <c r="L56" s="45" t="s">
        <v>1428</v>
      </c>
      <c r="N56" s="678">
        <f>N55*(1+T43*(N47/N52))</f>
        <v>1.4067666890644037</v>
      </c>
    </row>
    <row r="57" spans="2:14" x14ac:dyDescent="0.55000000000000004">
      <c r="L57" s="45" t="s">
        <v>57</v>
      </c>
      <c r="N57" s="677">
        <f>N40</f>
        <v>5.9400000000000001E-2</v>
      </c>
    </row>
    <row r="59" spans="2:14" x14ac:dyDescent="0.55000000000000004">
      <c r="L59" s="679" t="s">
        <v>58</v>
      </c>
      <c r="M59" s="680"/>
      <c r="N59" s="681">
        <f>N46+N51</f>
        <v>174526.17021276595</v>
      </c>
    </row>
    <row r="61" spans="2:14" x14ac:dyDescent="0.55000000000000004">
      <c r="L61" s="682" t="s">
        <v>21</v>
      </c>
      <c r="M61" s="683"/>
      <c r="N61" s="684">
        <f>(N48*N47)+(N52*N53)</f>
        <v>9.6376792770530614E-2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BF94-A683-4C26-A569-72616914F5DE}">
  <dimension ref="A1:AUZ1241"/>
  <sheetViews>
    <sheetView zoomScale="68" workbookViewId="0">
      <selection activeCell="U36" sqref="U36"/>
    </sheetView>
  </sheetViews>
  <sheetFormatPr defaultRowHeight="14.25" x14ac:dyDescent="0.45"/>
  <cols>
    <col min="1" max="1" width="10.265625" bestFit="1" customWidth="1"/>
    <col min="2" max="2" width="22.3984375" bestFit="1" customWidth="1"/>
    <col min="5" max="5" width="10.265625" bestFit="1" customWidth="1"/>
    <col min="6" max="6" width="10.19921875" customWidth="1"/>
    <col min="7" max="7" width="9.1328125" bestFit="1" customWidth="1"/>
    <col min="9" max="10" width="9.1328125" bestFit="1" customWidth="1"/>
    <col min="12" max="12" width="9.265625" bestFit="1" customWidth="1"/>
    <col min="13" max="14" width="9.1328125" bestFit="1" customWidth="1"/>
    <col min="16" max="16" width="9.265625" bestFit="1" customWidth="1"/>
  </cols>
  <sheetData>
    <row r="1" spans="1:14" x14ac:dyDescent="0.45">
      <c r="A1" t="s">
        <v>10</v>
      </c>
      <c r="B1" t="s">
        <v>76</v>
      </c>
      <c r="E1" t="s">
        <v>10</v>
      </c>
      <c r="F1" t="s">
        <v>76</v>
      </c>
      <c r="G1" t="s">
        <v>75</v>
      </c>
      <c r="L1" t="s">
        <v>10</v>
      </c>
      <c r="M1" t="s">
        <v>76</v>
      </c>
      <c r="N1" t="s">
        <v>75</v>
      </c>
    </row>
    <row r="2" spans="1:14" x14ac:dyDescent="0.45">
      <c r="A2" s="15">
        <v>43160</v>
      </c>
      <c r="B2">
        <v>83.722594999999998</v>
      </c>
      <c r="C2" t="b">
        <f>E2=A2</f>
        <v>1</v>
      </c>
      <c r="E2" s="15">
        <v>43160</v>
      </c>
      <c r="F2">
        <f>VLOOKUP(E2,A2:B1241,2,0)</f>
        <v>83.722594999999998</v>
      </c>
      <c r="G2">
        <v>1135.01001</v>
      </c>
      <c r="L2" s="15">
        <v>43160</v>
      </c>
      <c r="M2">
        <v>100</v>
      </c>
      <c r="N2">
        <v>100</v>
      </c>
    </row>
    <row r="3" spans="1:14" x14ac:dyDescent="0.45">
      <c r="A3" s="15">
        <v>43161</v>
      </c>
      <c r="B3">
        <v>81.111587999999998</v>
      </c>
      <c r="C3" t="b">
        <f t="shared" ref="C3:C66" si="0">E3=A3</f>
        <v>1</v>
      </c>
      <c r="E3" s="15">
        <v>43161</v>
      </c>
      <c r="F3">
        <f t="shared" ref="F3:F66" si="1">VLOOKUP(E3,A3:B1242,2,0)</f>
        <v>81.111587999999998</v>
      </c>
      <c r="G3">
        <v>1117.0600589999999</v>
      </c>
      <c r="I3" s="13">
        <f>F3/F2-1</f>
        <v>-3.1186407922496939E-2</v>
      </c>
      <c r="J3" s="13">
        <f>G3/G2-1</f>
        <v>-1.5814795325021058E-2</v>
      </c>
      <c r="L3" s="15">
        <v>43161</v>
      </c>
      <c r="M3">
        <f>M2*(1+I3)</f>
        <v>96.881359207750307</v>
      </c>
      <c r="N3">
        <f>N2*(1+J3)</f>
        <v>98.418520467497899</v>
      </c>
    </row>
    <row r="4" spans="1:14" x14ac:dyDescent="0.45">
      <c r="A4" s="15">
        <v>43164</v>
      </c>
      <c r="B4">
        <v>81.565680999999998</v>
      </c>
      <c r="C4" t="b">
        <f t="shared" si="0"/>
        <v>1</v>
      </c>
      <c r="E4" s="15">
        <v>43164</v>
      </c>
      <c r="F4">
        <f t="shared" si="1"/>
        <v>81.565680999999998</v>
      </c>
      <c r="G4">
        <v>1121.5699460000001</v>
      </c>
      <c r="I4" s="13">
        <f t="shared" ref="I4:I67" si="2">F4/F3-1</f>
        <v>5.5983739339440231E-3</v>
      </c>
      <c r="J4" s="13">
        <f t="shared" ref="J4:J67" si="3">G4/G3-1</f>
        <v>4.0372824752479275E-3</v>
      </c>
      <c r="L4" s="15">
        <v>43164</v>
      </c>
      <c r="M4">
        <f t="shared" ref="M4:M67" si="4">M3*(1+I4)</f>
        <v>97.423737283824039</v>
      </c>
      <c r="N4">
        <f t="shared" ref="N4:N67" si="5">N3*(1+J4)</f>
        <v>98.815863835421155</v>
      </c>
    </row>
    <row r="5" spans="1:14" x14ac:dyDescent="0.45">
      <c r="A5" s="15">
        <v>43165</v>
      </c>
      <c r="B5">
        <v>81.944091999999998</v>
      </c>
      <c r="C5" t="b">
        <f t="shared" si="0"/>
        <v>1</v>
      </c>
      <c r="E5" s="15">
        <v>43165</v>
      </c>
      <c r="F5">
        <f t="shared" si="1"/>
        <v>81.944091999999998</v>
      </c>
      <c r="G5">
        <v>1124.0200199999999</v>
      </c>
      <c r="I5" s="13">
        <f t="shared" si="2"/>
        <v>4.6393409012301934E-3</v>
      </c>
      <c r="J5" s="13">
        <f t="shared" si="3"/>
        <v>2.1845039702943492E-3</v>
      </c>
      <c r="L5" s="15">
        <v>43165</v>
      </c>
      <c r="M5">
        <f t="shared" si="4"/>
        <v>97.875719212955588</v>
      </c>
      <c r="N5">
        <f t="shared" si="5"/>
        <v>99.031727482297697</v>
      </c>
    </row>
    <row r="6" spans="1:14" x14ac:dyDescent="0.45">
      <c r="A6" s="15">
        <v>43166</v>
      </c>
      <c r="B6">
        <v>82.473854000000003</v>
      </c>
      <c r="C6" t="b">
        <f t="shared" si="0"/>
        <v>1</v>
      </c>
      <c r="E6" s="15">
        <v>43166</v>
      </c>
      <c r="F6">
        <f t="shared" si="1"/>
        <v>82.473854000000003</v>
      </c>
      <c r="G6">
        <v>1128.3199460000001</v>
      </c>
      <c r="I6" s="13">
        <f t="shared" si="2"/>
        <v>6.4649200091204673E-3</v>
      </c>
      <c r="J6" s="13">
        <f t="shared" si="3"/>
        <v>3.825488802236876E-3</v>
      </c>
      <c r="L6" s="15">
        <v>43166</v>
      </c>
      <c r="M6">
        <f t="shared" si="4"/>
        <v>98.508477908502485</v>
      </c>
      <c r="N6">
        <f t="shared" si="5"/>
        <v>99.410572246847394</v>
      </c>
    </row>
    <row r="7" spans="1:14" x14ac:dyDescent="0.45">
      <c r="A7" s="15">
        <v>43167</v>
      </c>
      <c r="B7">
        <v>83.249579999999995</v>
      </c>
      <c r="C7" t="b">
        <f t="shared" si="0"/>
        <v>1</v>
      </c>
      <c r="E7" s="15">
        <v>43167</v>
      </c>
      <c r="F7">
        <f t="shared" si="1"/>
        <v>83.249579999999995</v>
      </c>
      <c r="G7">
        <v>1139.5699460000001</v>
      </c>
      <c r="I7" s="13">
        <f t="shared" si="2"/>
        <v>9.4057202662070072E-3</v>
      </c>
      <c r="J7" s="13">
        <f t="shared" si="3"/>
        <v>9.9705762003785559E-3</v>
      </c>
      <c r="L7" s="15">
        <v>43167</v>
      </c>
      <c r="M7">
        <f t="shared" si="4"/>
        <v>99.435021095559691</v>
      </c>
      <c r="N7">
        <f t="shared" si="5"/>
        <v>100.40175293255783</v>
      </c>
    </row>
    <row r="8" spans="1:14" x14ac:dyDescent="0.45">
      <c r="A8" s="15">
        <v>43168</v>
      </c>
      <c r="B8">
        <v>81.641356999999999</v>
      </c>
      <c r="C8" t="b">
        <f t="shared" si="0"/>
        <v>1</v>
      </c>
      <c r="E8" s="15">
        <v>43168</v>
      </c>
      <c r="F8">
        <f t="shared" si="1"/>
        <v>81.641356999999999</v>
      </c>
      <c r="G8">
        <v>1138.9300539999999</v>
      </c>
      <c r="I8" s="13">
        <f t="shared" si="2"/>
        <v>-1.9318091454635478E-2</v>
      </c>
      <c r="J8" s="13">
        <f t="shared" si="3"/>
        <v>-5.6152060015812744E-4</v>
      </c>
      <c r="L8" s="15">
        <v>43168</v>
      </c>
      <c r="M8">
        <f t="shared" si="4"/>
        <v>97.514126264242066</v>
      </c>
      <c r="N8">
        <f t="shared" si="5"/>
        <v>100.34537527999422</v>
      </c>
    </row>
    <row r="9" spans="1:14" x14ac:dyDescent="0.45">
      <c r="A9" s="15">
        <v>43171</v>
      </c>
      <c r="B9">
        <v>81.830566000000005</v>
      </c>
      <c r="C9" t="b">
        <f t="shared" si="0"/>
        <v>1</v>
      </c>
      <c r="E9" s="15">
        <v>43171</v>
      </c>
      <c r="F9">
        <f t="shared" si="1"/>
        <v>81.830566000000005</v>
      </c>
      <c r="G9">
        <v>1140.8000489999999</v>
      </c>
      <c r="I9" s="13">
        <f t="shared" si="2"/>
        <v>2.3175631438856481E-3</v>
      </c>
      <c r="J9" s="13">
        <f t="shared" si="3"/>
        <v>1.6418874832853092E-3</v>
      </c>
      <c r="L9" s="15">
        <v>43171</v>
      </c>
      <c r="M9">
        <f t="shared" si="4"/>
        <v>97.740121409280277</v>
      </c>
      <c r="N9">
        <f t="shared" si="5"/>
        <v>100.51013109567201</v>
      </c>
    </row>
    <row r="10" spans="1:14" x14ac:dyDescent="0.45">
      <c r="A10" s="15">
        <v>43172</v>
      </c>
      <c r="B10">
        <v>81.092658999999998</v>
      </c>
      <c r="C10" t="b">
        <f t="shared" si="0"/>
        <v>1</v>
      </c>
      <c r="E10" s="15">
        <v>43172</v>
      </c>
      <c r="F10">
        <f t="shared" si="1"/>
        <v>81.092658999999998</v>
      </c>
      <c r="G10">
        <v>1133.1999510000001</v>
      </c>
      <c r="I10" s="13">
        <f t="shared" si="2"/>
        <v>-9.0174984247329837E-3</v>
      </c>
      <c r="J10" s="13">
        <f t="shared" si="3"/>
        <v>-6.6620772033293418E-3</v>
      </c>
      <c r="L10" s="15">
        <v>43172</v>
      </c>
      <c r="M10">
        <f t="shared" si="4"/>
        <v>96.858750018438883</v>
      </c>
      <c r="N10">
        <f t="shared" si="5"/>
        <v>99.840524842595883</v>
      </c>
    </row>
    <row r="11" spans="1:14" x14ac:dyDescent="0.45">
      <c r="A11" s="15">
        <v>43173</v>
      </c>
      <c r="B11">
        <v>83.230666999999997</v>
      </c>
      <c r="C11" t="b">
        <f t="shared" si="0"/>
        <v>1</v>
      </c>
      <c r="E11" s="15">
        <v>43173</v>
      </c>
      <c r="F11">
        <f t="shared" si="1"/>
        <v>83.230666999999997</v>
      </c>
      <c r="G11">
        <v>1128.920044</v>
      </c>
      <c r="I11" s="13">
        <f t="shared" si="2"/>
        <v>2.6365000560654828E-2</v>
      </c>
      <c r="J11" s="13">
        <f t="shared" si="3"/>
        <v>-3.7768330260015137E-3</v>
      </c>
      <c r="L11" s="15">
        <v>43173</v>
      </c>
      <c r="M11">
        <f t="shared" si="4"/>
        <v>99.412431016979355</v>
      </c>
      <c r="N11">
        <f t="shared" si="5"/>
        <v>99.463443851037042</v>
      </c>
    </row>
    <row r="12" spans="1:14" x14ac:dyDescent="0.45">
      <c r="A12" s="15">
        <v>43174</v>
      </c>
      <c r="B12">
        <v>82.171135000000007</v>
      </c>
      <c r="C12" t="b">
        <f t="shared" si="0"/>
        <v>1</v>
      </c>
      <c r="E12" s="15">
        <v>43174</v>
      </c>
      <c r="F12">
        <f t="shared" si="1"/>
        <v>82.171135000000007</v>
      </c>
      <c r="G12">
        <v>1133.339966</v>
      </c>
      <c r="I12" s="13">
        <f t="shared" si="2"/>
        <v>-1.2730067392106692E-2</v>
      </c>
      <c r="J12" s="13">
        <f t="shared" si="3"/>
        <v>3.9151771850371997E-3</v>
      </c>
      <c r="L12" s="15">
        <v>43174</v>
      </c>
      <c r="M12">
        <f t="shared" si="4"/>
        <v>98.146904070520051</v>
      </c>
      <c r="N12">
        <f t="shared" si="5"/>
        <v>99.852860857147846</v>
      </c>
    </row>
    <row r="13" spans="1:14" x14ac:dyDescent="0.45">
      <c r="A13" s="15">
        <v>43175</v>
      </c>
      <c r="B13">
        <v>81.244033999999999</v>
      </c>
      <c r="C13" t="b">
        <f t="shared" si="0"/>
        <v>1</v>
      </c>
      <c r="E13" s="15">
        <v>43175</v>
      </c>
      <c r="F13">
        <f t="shared" si="1"/>
        <v>81.244033999999999</v>
      </c>
      <c r="G13">
        <v>1129.099976</v>
      </c>
      <c r="I13" s="13">
        <f t="shared" si="2"/>
        <v>-1.1282562909712857E-2</v>
      </c>
      <c r="J13" s="13">
        <f t="shared" si="3"/>
        <v>-3.7411457525534653E-3</v>
      </c>
      <c r="L13" s="15">
        <v>43175</v>
      </c>
      <c r="M13">
        <f t="shared" si="4"/>
        <v>97.039555450950857</v>
      </c>
      <c r="N13">
        <f t="shared" si="5"/>
        <v>99.479296750871811</v>
      </c>
    </row>
    <row r="14" spans="1:14" x14ac:dyDescent="0.45">
      <c r="A14" s="15">
        <v>43178</v>
      </c>
      <c r="B14">
        <v>81.868401000000006</v>
      </c>
      <c r="C14" t="b">
        <f t="shared" si="0"/>
        <v>1</v>
      </c>
      <c r="E14" s="15">
        <v>43178</v>
      </c>
      <c r="F14">
        <f t="shared" si="1"/>
        <v>81.868401000000006</v>
      </c>
      <c r="G14">
        <v>1123.7700199999999</v>
      </c>
      <c r="I14" s="13">
        <f t="shared" si="2"/>
        <v>7.6850812208562047E-3</v>
      </c>
      <c r="J14" s="13">
        <f t="shared" si="3"/>
        <v>-4.720535039671292E-3</v>
      </c>
      <c r="L14" s="15">
        <v>43178</v>
      </c>
      <c r="M14">
        <f t="shared" si="4"/>
        <v>97.785312316227191</v>
      </c>
      <c r="N14">
        <f t="shared" si="5"/>
        <v>99.009701244837458</v>
      </c>
    </row>
    <row r="15" spans="1:14" x14ac:dyDescent="0.45">
      <c r="A15" s="15">
        <v>43179</v>
      </c>
      <c r="B15">
        <v>83.8172</v>
      </c>
      <c r="C15" t="b">
        <f t="shared" si="0"/>
        <v>1</v>
      </c>
      <c r="E15" s="15">
        <v>43179</v>
      </c>
      <c r="F15">
        <f t="shared" si="1"/>
        <v>83.8172</v>
      </c>
      <c r="G15">
        <v>1124.5</v>
      </c>
      <c r="I15" s="13">
        <f t="shared" si="2"/>
        <v>2.3804043760424554E-2</v>
      </c>
      <c r="J15" s="13">
        <f t="shared" si="3"/>
        <v>6.4958130846037854E-4</v>
      </c>
      <c r="L15" s="15">
        <v>43179</v>
      </c>
      <c r="M15">
        <f t="shared" si="4"/>
        <v>100.11299816972945</v>
      </c>
      <c r="N15">
        <f t="shared" si="5"/>
        <v>99.074016096122349</v>
      </c>
    </row>
    <row r="16" spans="1:14" x14ac:dyDescent="0.45">
      <c r="A16" s="15">
        <v>43180</v>
      </c>
      <c r="B16">
        <v>84.195610000000002</v>
      </c>
      <c r="C16" t="b">
        <f t="shared" si="0"/>
        <v>1</v>
      </c>
      <c r="E16" s="15">
        <v>43180</v>
      </c>
      <c r="F16">
        <f t="shared" si="1"/>
        <v>84.195610000000002</v>
      </c>
      <c r="G16">
        <v>1124.51001</v>
      </c>
      <c r="I16" s="13">
        <f t="shared" si="2"/>
        <v>4.5147058121721706E-3</v>
      </c>
      <c r="J16" s="13">
        <f t="shared" si="3"/>
        <v>8.901734104060921E-6</v>
      </c>
      <c r="L16" s="15">
        <v>43180</v>
      </c>
      <c r="M16">
        <f t="shared" si="4"/>
        <v>100.56497890444031</v>
      </c>
      <c r="N16">
        <f t="shared" si="5"/>
        <v>99.074898026670255</v>
      </c>
    </row>
    <row r="17" spans="1:1248" x14ac:dyDescent="0.45">
      <c r="A17" s="15">
        <v>43181</v>
      </c>
      <c r="B17">
        <v>82.776588000000004</v>
      </c>
      <c r="C17" t="b">
        <f t="shared" si="0"/>
        <v>1</v>
      </c>
      <c r="E17" s="15">
        <v>43181</v>
      </c>
      <c r="F17">
        <f t="shared" si="1"/>
        <v>82.776588000000004</v>
      </c>
      <c r="G17">
        <v>1109.26001</v>
      </c>
      <c r="I17" s="13">
        <f t="shared" si="2"/>
        <v>-1.6853871597343306E-2</v>
      </c>
      <c r="J17" s="13">
        <f t="shared" si="3"/>
        <v>-1.3561462205214148E-2</v>
      </c>
      <c r="L17" s="15">
        <v>43181</v>
      </c>
      <c r="M17">
        <f t="shared" si="4"/>
        <v>98.870069662795331</v>
      </c>
      <c r="N17">
        <f t="shared" si="5"/>
        <v>97.73129754159612</v>
      </c>
    </row>
    <row r="18" spans="1:1248" x14ac:dyDescent="0.45">
      <c r="A18" s="15">
        <v>43182</v>
      </c>
      <c r="B18">
        <v>82.644149999999996</v>
      </c>
      <c r="C18" t="b">
        <f t="shared" si="0"/>
        <v>1</v>
      </c>
      <c r="E18" s="15">
        <v>43182</v>
      </c>
      <c r="F18">
        <f t="shared" si="1"/>
        <v>82.644149999999996</v>
      </c>
      <c r="G18">
        <v>1109.98999</v>
      </c>
      <c r="I18" s="13">
        <f t="shared" si="2"/>
        <v>-1.599945143909598E-3</v>
      </c>
      <c r="J18" s="13">
        <f t="shared" si="3"/>
        <v>6.5807835261288972E-4</v>
      </c>
      <c r="L18" s="15">
        <v>43182</v>
      </c>
      <c r="M18">
        <f t="shared" si="4"/>
        <v>98.711882974960332</v>
      </c>
      <c r="N18">
        <f t="shared" si="5"/>
        <v>97.795612392881011</v>
      </c>
    </row>
    <row r="19" spans="1:1248" x14ac:dyDescent="0.45">
      <c r="A19" s="15">
        <v>43185</v>
      </c>
      <c r="B19">
        <v>83.382034000000004</v>
      </c>
      <c r="C19" t="b">
        <f t="shared" si="0"/>
        <v>1</v>
      </c>
      <c r="E19" s="15">
        <v>43185</v>
      </c>
      <c r="F19">
        <f t="shared" si="1"/>
        <v>83.382034000000004</v>
      </c>
      <c r="G19">
        <v>1104.959961</v>
      </c>
      <c r="I19" s="13">
        <f t="shared" si="2"/>
        <v>8.9284480510720687E-3</v>
      </c>
      <c r="J19" s="13">
        <f t="shared" si="3"/>
        <v>-4.5315985236947798E-3</v>
      </c>
      <c r="L19" s="15">
        <v>43185</v>
      </c>
      <c r="M19">
        <f t="shared" si="4"/>
        <v>99.593226894125777</v>
      </c>
      <c r="N19">
        <f t="shared" si="5"/>
        <v>97.352441940137609</v>
      </c>
      <c r="P19" s="15">
        <v>43160</v>
      </c>
      <c r="Q19" s="15">
        <v>43161</v>
      </c>
      <c r="R19" s="15">
        <v>43164</v>
      </c>
      <c r="S19" s="15">
        <v>43165</v>
      </c>
      <c r="T19" s="15">
        <v>43166</v>
      </c>
      <c r="U19" s="15">
        <v>43167</v>
      </c>
      <c r="V19" s="15">
        <v>43168</v>
      </c>
      <c r="W19" s="15">
        <v>43171</v>
      </c>
      <c r="X19" s="15">
        <v>43172</v>
      </c>
      <c r="Y19" s="15">
        <v>43173</v>
      </c>
      <c r="Z19" s="15">
        <v>43174</v>
      </c>
      <c r="AA19" s="15">
        <v>43175</v>
      </c>
      <c r="AB19" s="15">
        <v>43178</v>
      </c>
      <c r="AC19" s="15">
        <v>43179</v>
      </c>
      <c r="AD19" s="15">
        <v>43180</v>
      </c>
      <c r="AE19" s="15">
        <v>43181</v>
      </c>
      <c r="AF19" s="15">
        <v>43182</v>
      </c>
      <c r="AG19" s="15">
        <v>43185</v>
      </c>
      <c r="AH19" s="15">
        <v>43186</v>
      </c>
      <c r="AI19" s="15">
        <v>43187</v>
      </c>
      <c r="AJ19" s="15">
        <v>43193</v>
      </c>
      <c r="AK19" s="15">
        <v>43194</v>
      </c>
      <c r="AL19" s="15">
        <v>43195</v>
      </c>
      <c r="AM19" s="15">
        <v>43196</v>
      </c>
      <c r="AN19" s="15">
        <v>43199</v>
      </c>
      <c r="AO19" s="15">
        <v>43200</v>
      </c>
      <c r="AP19" s="15">
        <v>43201</v>
      </c>
      <c r="AQ19" s="15">
        <v>43202</v>
      </c>
      <c r="AR19" s="15">
        <v>43203</v>
      </c>
      <c r="AS19" s="15">
        <v>43206</v>
      </c>
      <c r="AT19" s="15">
        <v>43207</v>
      </c>
      <c r="AU19" s="15">
        <v>43208</v>
      </c>
      <c r="AV19" s="15">
        <v>43209</v>
      </c>
      <c r="AW19" s="15">
        <v>43210</v>
      </c>
      <c r="AX19" s="15">
        <v>43213</v>
      </c>
      <c r="AY19" s="15">
        <v>43214</v>
      </c>
      <c r="AZ19" s="15">
        <v>43215</v>
      </c>
      <c r="BA19" s="15">
        <v>43216</v>
      </c>
      <c r="BB19" s="15">
        <v>43220</v>
      </c>
      <c r="BC19" s="15">
        <v>43222</v>
      </c>
      <c r="BD19" s="15">
        <v>43223</v>
      </c>
      <c r="BE19" s="15">
        <v>43224</v>
      </c>
      <c r="BF19" s="15">
        <v>43227</v>
      </c>
      <c r="BG19" s="15">
        <v>43228</v>
      </c>
      <c r="BH19" s="15">
        <v>43229</v>
      </c>
      <c r="BI19" s="15">
        <v>43234</v>
      </c>
      <c r="BJ19" s="15">
        <v>43235</v>
      </c>
      <c r="BK19" s="15">
        <v>43236</v>
      </c>
      <c r="BL19" s="15">
        <v>43237</v>
      </c>
      <c r="BM19" s="15">
        <v>43238</v>
      </c>
      <c r="BN19" s="15">
        <v>43242</v>
      </c>
      <c r="BO19" s="15">
        <v>43243</v>
      </c>
      <c r="BP19" s="15">
        <v>43244</v>
      </c>
      <c r="BQ19" s="15">
        <v>43245</v>
      </c>
      <c r="BR19" s="15">
        <v>43248</v>
      </c>
      <c r="BS19" s="15">
        <v>43249</v>
      </c>
      <c r="BT19" s="15">
        <v>43250</v>
      </c>
      <c r="BU19" s="15">
        <v>43251</v>
      </c>
      <c r="BV19" s="15">
        <v>43252</v>
      </c>
      <c r="BW19" s="15">
        <v>43255</v>
      </c>
      <c r="BX19" s="15">
        <v>43257</v>
      </c>
      <c r="BY19" s="15">
        <v>43258</v>
      </c>
      <c r="BZ19" s="15">
        <v>43259</v>
      </c>
      <c r="CA19" s="15">
        <v>43262</v>
      </c>
      <c r="CB19" s="15">
        <v>43263</v>
      </c>
      <c r="CC19" s="15">
        <v>43264</v>
      </c>
      <c r="CD19" s="15">
        <v>43265</v>
      </c>
      <c r="CE19" s="15">
        <v>43266</v>
      </c>
      <c r="CF19" s="15">
        <v>43269</v>
      </c>
      <c r="CG19" s="15">
        <v>43270</v>
      </c>
      <c r="CH19" s="15">
        <v>43271</v>
      </c>
      <c r="CI19" s="15">
        <v>43272</v>
      </c>
      <c r="CJ19" s="15">
        <v>43273</v>
      </c>
      <c r="CK19" s="15">
        <v>43276</v>
      </c>
      <c r="CL19" s="15">
        <v>43277</v>
      </c>
      <c r="CM19" s="15">
        <v>43278</v>
      </c>
      <c r="CN19" s="15">
        <v>43279</v>
      </c>
      <c r="CO19" s="15">
        <v>43280</v>
      </c>
      <c r="CP19" s="15">
        <v>43283</v>
      </c>
      <c r="CQ19" s="15">
        <v>43284</v>
      </c>
      <c r="CR19" s="15">
        <v>43285</v>
      </c>
      <c r="CS19" s="15">
        <v>43286</v>
      </c>
      <c r="CT19" s="15">
        <v>43287</v>
      </c>
      <c r="CU19" s="15">
        <v>43290</v>
      </c>
      <c r="CV19" s="15">
        <v>43291</v>
      </c>
      <c r="CW19" s="15">
        <v>43292</v>
      </c>
      <c r="CX19" s="15">
        <v>43293</v>
      </c>
      <c r="CY19" s="15">
        <v>43294</v>
      </c>
      <c r="CZ19" s="15">
        <v>43297</v>
      </c>
      <c r="DA19" s="15">
        <v>43298</v>
      </c>
      <c r="DB19" s="15">
        <v>43299</v>
      </c>
      <c r="DC19" s="15">
        <v>43300</v>
      </c>
      <c r="DD19" s="15">
        <v>43301</v>
      </c>
      <c r="DE19" s="15">
        <v>43304</v>
      </c>
      <c r="DF19" s="15">
        <v>43305</v>
      </c>
      <c r="DG19" s="15">
        <v>43306</v>
      </c>
      <c r="DH19" s="15">
        <v>43307</v>
      </c>
      <c r="DI19" s="15">
        <v>43308</v>
      </c>
      <c r="DJ19" s="15">
        <v>43311</v>
      </c>
      <c r="DK19" s="15">
        <v>43312</v>
      </c>
      <c r="DL19" s="15">
        <v>43313</v>
      </c>
      <c r="DM19" s="15">
        <v>43314</v>
      </c>
      <c r="DN19" s="15">
        <v>43315</v>
      </c>
      <c r="DO19" s="15">
        <v>43318</v>
      </c>
      <c r="DP19" s="15">
        <v>43319</v>
      </c>
      <c r="DQ19" s="15">
        <v>43320</v>
      </c>
      <c r="DR19" s="15">
        <v>43321</v>
      </c>
      <c r="DS19" s="15">
        <v>43322</v>
      </c>
      <c r="DT19" s="15">
        <v>43325</v>
      </c>
      <c r="DU19" s="15">
        <v>43326</v>
      </c>
      <c r="DV19" s="15">
        <v>43327</v>
      </c>
      <c r="DW19" s="15">
        <v>43328</v>
      </c>
      <c r="DX19" s="15">
        <v>43329</v>
      </c>
      <c r="DY19" s="15">
        <v>43332</v>
      </c>
      <c r="DZ19" s="15">
        <v>43333</v>
      </c>
      <c r="EA19" s="15">
        <v>43334</v>
      </c>
      <c r="EB19" s="15">
        <v>43335</v>
      </c>
      <c r="EC19" s="15">
        <v>43336</v>
      </c>
      <c r="ED19" s="15">
        <v>43339</v>
      </c>
      <c r="EE19" s="15">
        <v>43340</v>
      </c>
      <c r="EF19" s="15">
        <v>43341</v>
      </c>
      <c r="EG19" s="15">
        <v>43342</v>
      </c>
      <c r="EH19" s="15">
        <v>43343</v>
      </c>
      <c r="EI19" s="15">
        <v>43346</v>
      </c>
      <c r="EJ19" s="15">
        <v>43347</v>
      </c>
      <c r="EK19" s="15">
        <v>43348</v>
      </c>
      <c r="EL19" s="15">
        <v>43349</v>
      </c>
      <c r="EM19" s="15">
        <v>43350</v>
      </c>
      <c r="EN19" s="15">
        <v>43353</v>
      </c>
      <c r="EO19" s="15">
        <v>43354</v>
      </c>
      <c r="EP19" s="15">
        <v>43355</v>
      </c>
      <c r="EQ19" s="15">
        <v>43356</v>
      </c>
      <c r="ER19" s="15">
        <v>43357</v>
      </c>
      <c r="ES19" s="15">
        <v>43360</v>
      </c>
      <c r="ET19" s="15">
        <v>43361</v>
      </c>
      <c r="EU19" s="15">
        <v>43362</v>
      </c>
      <c r="EV19" s="15">
        <v>43363</v>
      </c>
      <c r="EW19" s="15">
        <v>43364</v>
      </c>
      <c r="EX19" s="15">
        <v>43367</v>
      </c>
      <c r="EY19" s="15">
        <v>43368</v>
      </c>
      <c r="EZ19" s="15">
        <v>43369</v>
      </c>
      <c r="FA19" s="15">
        <v>43370</v>
      </c>
      <c r="FB19" s="15">
        <v>43371</v>
      </c>
      <c r="FC19" s="15">
        <v>43374</v>
      </c>
      <c r="FD19" s="15">
        <v>43375</v>
      </c>
      <c r="FE19" s="15">
        <v>43376</v>
      </c>
      <c r="FF19" s="15">
        <v>43377</v>
      </c>
      <c r="FG19" s="15">
        <v>43378</v>
      </c>
      <c r="FH19" s="15">
        <v>43381</v>
      </c>
      <c r="FI19" s="15">
        <v>43382</v>
      </c>
      <c r="FJ19" s="15">
        <v>43383</v>
      </c>
      <c r="FK19" s="15">
        <v>43384</v>
      </c>
      <c r="FL19" s="15">
        <v>43385</v>
      </c>
      <c r="FM19" s="15">
        <v>43388</v>
      </c>
      <c r="FN19" s="15">
        <v>43389</v>
      </c>
      <c r="FO19" s="15">
        <v>43390</v>
      </c>
      <c r="FP19" s="15">
        <v>43391</v>
      </c>
      <c r="FQ19" s="15">
        <v>43392</v>
      </c>
      <c r="FR19" s="15">
        <v>43395</v>
      </c>
      <c r="FS19" s="15">
        <v>43396</v>
      </c>
      <c r="FT19" s="15">
        <v>43397</v>
      </c>
      <c r="FU19" s="15">
        <v>43398</v>
      </c>
      <c r="FV19" s="15">
        <v>43399</v>
      </c>
      <c r="FW19" s="15">
        <v>43402</v>
      </c>
      <c r="FX19" s="15">
        <v>43403</v>
      </c>
      <c r="FY19" s="15">
        <v>43404</v>
      </c>
      <c r="FZ19" s="15">
        <v>43405</v>
      </c>
      <c r="GA19" s="15">
        <v>43406</v>
      </c>
      <c r="GB19" s="15">
        <v>43409</v>
      </c>
      <c r="GC19" s="15">
        <v>43410</v>
      </c>
      <c r="GD19" s="15">
        <v>43411</v>
      </c>
      <c r="GE19" s="15">
        <v>43412</v>
      </c>
      <c r="GF19" s="15">
        <v>43413</v>
      </c>
      <c r="GG19" s="15">
        <v>43416</v>
      </c>
      <c r="GH19" s="15">
        <v>43417</v>
      </c>
      <c r="GI19" s="15">
        <v>43418</v>
      </c>
      <c r="GJ19" s="15">
        <v>43419</v>
      </c>
      <c r="GK19" s="15">
        <v>43420</v>
      </c>
      <c r="GL19" s="15">
        <v>43423</v>
      </c>
      <c r="GM19" s="15">
        <v>43424</v>
      </c>
      <c r="GN19" s="15">
        <v>43425</v>
      </c>
      <c r="GO19" s="15">
        <v>43426</v>
      </c>
      <c r="GP19" s="15">
        <v>43427</v>
      </c>
      <c r="GQ19" s="15">
        <v>43430</v>
      </c>
      <c r="GR19" s="15">
        <v>43431</v>
      </c>
      <c r="GS19" s="15">
        <v>43432</v>
      </c>
      <c r="GT19" s="15">
        <v>43433</v>
      </c>
      <c r="GU19" s="15">
        <v>43434</v>
      </c>
      <c r="GV19" s="15">
        <v>43437</v>
      </c>
      <c r="GW19" s="15">
        <v>43438</v>
      </c>
      <c r="GX19" s="15">
        <v>43439</v>
      </c>
      <c r="GY19" s="15">
        <v>43440</v>
      </c>
      <c r="GZ19" s="15">
        <v>43441</v>
      </c>
      <c r="HA19" s="15">
        <v>43444</v>
      </c>
      <c r="HB19" s="15">
        <v>43445</v>
      </c>
      <c r="HC19" s="15">
        <v>43446</v>
      </c>
      <c r="HD19" s="15">
        <v>43447</v>
      </c>
      <c r="HE19" s="15">
        <v>43448</v>
      </c>
      <c r="HF19" s="15">
        <v>43451</v>
      </c>
      <c r="HG19" s="15">
        <v>43452</v>
      </c>
      <c r="HH19" s="15">
        <v>43453</v>
      </c>
      <c r="HI19" s="15">
        <v>43454</v>
      </c>
      <c r="HJ19" s="15">
        <v>43455</v>
      </c>
      <c r="HK19" s="15">
        <v>43461</v>
      </c>
      <c r="HL19" s="15">
        <v>43462</v>
      </c>
      <c r="HM19" s="15">
        <v>43467</v>
      </c>
      <c r="HN19" s="15">
        <v>43468</v>
      </c>
      <c r="HO19" s="15">
        <v>43469</v>
      </c>
      <c r="HP19" s="15">
        <v>43472</v>
      </c>
      <c r="HQ19" s="15">
        <v>43473</v>
      </c>
      <c r="HR19" s="15">
        <v>43474</v>
      </c>
      <c r="HS19" s="15">
        <v>43475</v>
      </c>
      <c r="HT19" s="15">
        <v>43476</v>
      </c>
      <c r="HU19" s="15">
        <v>43479</v>
      </c>
      <c r="HV19" s="15">
        <v>43480</v>
      </c>
      <c r="HW19" s="15">
        <v>43481</v>
      </c>
      <c r="HX19" s="15">
        <v>43482</v>
      </c>
      <c r="HY19" s="15">
        <v>43483</v>
      </c>
      <c r="HZ19" s="15">
        <v>43486</v>
      </c>
      <c r="IA19" s="15">
        <v>43487</v>
      </c>
      <c r="IB19" s="15">
        <v>43488</v>
      </c>
      <c r="IC19" s="15">
        <v>43489</v>
      </c>
      <c r="ID19" s="15">
        <v>43490</v>
      </c>
      <c r="IE19" s="15">
        <v>43493</v>
      </c>
      <c r="IF19" s="15">
        <v>43494</v>
      </c>
      <c r="IG19" s="15">
        <v>43495</v>
      </c>
      <c r="IH19" s="15">
        <v>43496</v>
      </c>
      <c r="II19" s="15">
        <v>43497</v>
      </c>
      <c r="IJ19" s="15">
        <v>43500</v>
      </c>
      <c r="IK19" s="15">
        <v>43501</v>
      </c>
      <c r="IL19" s="15">
        <v>43502</v>
      </c>
      <c r="IM19" s="15">
        <v>43503</v>
      </c>
      <c r="IN19" s="15">
        <v>43504</v>
      </c>
      <c r="IO19" s="15">
        <v>43507</v>
      </c>
      <c r="IP19" s="15">
        <v>43508</v>
      </c>
      <c r="IQ19" s="15">
        <v>43509</v>
      </c>
      <c r="IR19" s="15">
        <v>43510</v>
      </c>
      <c r="IS19" s="15">
        <v>43511</v>
      </c>
      <c r="IT19" s="15">
        <v>43514</v>
      </c>
      <c r="IU19" s="15">
        <v>43515</v>
      </c>
      <c r="IV19" s="15">
        <v>43516</v>
      </c>
      <c r="IW19" s="15">
        <v>43517</v>
      </c>
      <c r="IX19" s="15">
        <v>43518</v>
      </c>
      <c r="IY19" s="15">
        <v>43521</v>
      </c>
      <c r="IZ19" s="15">
        <v>43522</v>
      </c>
      <c r="JA19" s="15">
        <v>43523</v>
      </c>
      <c r="JB19" s="15">
        <v>43524</v>
      </c>
      <c r="JC19" s="15">
        <v>43525</v>
      </c>
      <c r="JD19" s="15">
        <v>43528</v>
      </c>
      <c r="JE19" s="15">
        <v>43529</v>
      </c>
      <c r="JF19" s="15">
        <v>43530</v>
      </c>
      <c r="JG19" s="15">
        <v>43531</v>
      </c>
      <c r="JH19" s="15">
        <v>43532</v>
      </c>
      <c r="JI19" s="15">
        <v>43535</v>
      </c>
      <c r="JJ19" s="15">
        <v>43536</v>
      </c>
      <c r="JK19" s="15">
        <v>43537</v>
      </c>
      <c r="JL19" s="15">
        <v>43538</v>
      </c>
      <c r="JM19" s="15">
        <v>43539</v>
      </c>
      <c r="JN19" s="15">
        <v>43542</v>
      </c>
      <c r="JO19" s="15">
        <v>43543</v>
      </c>
      <c r="JP19" s="15">
        <v>43544</v>
      </c>
      <c r="JQ19" s="15">
        <v>43545</v>
      </c>
      <c r="JR19" s="15">
        <v>43546</v>
      </c>
      <c r="JS19" s="15">
        <v>43549</v>
      </c>
      <c r="JT19" s="15">
        <v>43550</v>
      </c>
      <c r="JU19" s="15">
        <v>43551</v>
      </c>
      <c r="JV19" s="15">
        <v>43552</v>
      </c>
      <c r="JW19" s="15">
        <v>43553</v>
      </c>
      <c r="JX19" s="15">
        <v>43556</v>
      </c>
      <c r="JY19" s="15">
        <v>43557</v>
      </c>
      <c r="JZ19" s="15">
        <v>43558</v>
      </c>
      <c r="KA19" s="15">
        <v>43559</v>
      </c>
      <c r="KB19" s="15">
        <v>43560</v>
      </c>
      <c r="KC19" s="15">
        <v>43563</v>
      </c>
      <c r="KD19" s="15">
        <v>43564</v>
      </c>
      <c r="KE19" s="15">
        <v>43565</v>
      </c>
      <c r="KF19" s="15">
        <v>43566</v>
      </c>
      <c r="KG19" s="15">
        <v>43567</v>
      </c>
      <c r="KH19" s="15">
        <v>43570</v>
      </c>
      <c r="KI19" s="15">
        <v>43571</v>
      </c>
      <c r="KJ19" s="15">
        <v>43572</v>
      </c>
      <c r="KK19" s="15">
        <v>43578</v>
      </c>
      <c r="KL19" s="15">
        <v>43579</v>
      </c>
      <c r="KM19" s="15">
        <v>43580</v>
      </c>
      <c r="KN19" s="15">
        <v>43581</v>
      </c>
      <c r="KO19" s="15">
        <v>43584</v>
      </c>
      <c r="KP19" s="15">
        <v>43585</v>
      </c>
      <c r="KQ19" s="15">
        <v>43587</v>
      </c>
      <c r="KR19" s="15">
        <v>43588</v>
      </c>
      <c r="KS19" s="15">
        <v>43591</v>
      </c>
      <c r="KT19" s="15">
        <v>43592</v>
      </c>
      <c r="KU19" s="15">
        <v>43593</v>
      </c>
      <c r="KV19" s="15">
        <v>43594</v>
      </c>
      <c r="KW19" s="15">
        <v>43595</v>
      </c>
      <c r="KX19" s="15">
        <v>43598</v>
      </c>
      <c r="KY19" s="15">
        <v>43599</v>
      </c>
      <c r="KZ19" s="15">
        <v>43600</v>
      </c>
      <c r="LA19" s="15">
        <v>43601</v>
      </c>
      <c r="LB19" s="15">
        <v>43605</v>
      </c>
      <c r="LC19" s="15">
        <v>43606</v>
      </c>
      <c r="LD19" s="15">
        <v>43607</v>
      </c>
      <c r="LE19" s="15">
        <v>43608</v>
      </c>
      <c r="LF19" s="15">
        <v>43609</v>
      </c>
      <c r="LG19" s="15">
        <v>43612</v>
      </c>
      <c r="LH19" s="15">
        <v>43613</v>
      </c>
      <c r="LI19" s="15">
        <v>43614</v>
      </c>
      <c r="LJ19" s="15">
        <v>43619</v>
      </c>
      <c r="LK19" s="15">
        <v>43620</v>
      </c>
      <c r="LL19" s="15">
        <v>43623</v>
      </c>
      <c r="LM19" s="15">
        <v>43627</v>
      </c>
      <c r="LN19" s="15">
        <v>43628</v>
      </c>
      <c r="LO19" s="15">
        <v>43629</v>
      </c>
      <c r="LP19" s="15">
        <v>43630</v>
      </c>
      <c r="LQ19" s="15">
        <v>43634</v>
      </c>
      <c r="LR19" s="15">
        <v>43635</v>
      </c>
      <c r="LS19" s="15">
        <v>43636</v>
      </c>
      <c r="LT19" s="15">
        <v>43640</v>
      </c>
      <c r="LU19" s="15">
        <v>43641</v>
      </c>
      <c r="LV19" s="15">
        <v>43642</v>
      </c>
      <c r="LW19" s="15">
        <v>43643</v>
      </c>
      <c r="LX19" s="15">
        <v>43644</v>
      </c>
      <c r="LY19" s="15">
        <v>43647</v>
      </c>
      <c r="LZ19" s="15">
        <v>43648</v>
      </c>
      <c r="MA19" s="15">
        <v>43649</v>
      </c>
      <c r="MB19" s="15">
        <v>43650</v>
      </c>
      <c r="MC19" s="15">
        <v>43651</v>
      </c>
      <c r="MD19" s="15">
        <v>43654</v>
      </c>
      <c r="ME19" s="15">
        <v>43655</v>
      </c>
      <c r="MF19" s="15">
        <v>43656</v>
      </c>
      <c r="MG19" s="15">
        <v>43657</v>
      </c>
      <c r="MH19" s="15">
        <v>43658</v>
      </c>
      <c r="MI19" s="15">
        <v>43661</v>
      </c>
      <c r="MJ19" s="15">
        <v>43662</v>
      </c>
      <c r="MK19" s="15">
        <v>43663</v>
      </c>
      <c r="ML19" s="15">
        <v>43664</v>
      </c>
      <c r="MM19" s="15">
        <v>43665</v>
      </c>
      <c r="MN19" s="15">
        <v>43668</v>
      </c>
      <c r="MO19" s="15">
        <v>43669</v>
      </c>
      <c r="MP19" s="15">
        <v>43670</v>
      </c>
      <c r="MQ19" s="15">
        <v>43671</v>
      </c>
      <c r="MR19" s="15">
        <v>43672</v>
      </c>
      <c r="MS19" s="15">
        <v>43675</v>
      </c>
      <c r="MT19" s="15">
        <v>43676</v>
      </c>
      <c r="MU19" s="15">
        <v>43677</v>
      </c>
      <c r="MV19" s="15">
        <v>43678</v>
      </c>
      <c r="MW19" s="15">
        <v>43679</v>
      </c>
      <c r="MX19" s="15">
        <v>43683</v>
      </c>
      <c r="MY19" s="15">
        <v>43684</v>
      </c>
      <c r="MZ19" s="15">
        <v>43685</v>
      </c>
      <c r="NA19" s="15">
        <v>43686</v>
      </c>
      <c r="NB19" s="15">
        <v>43689</v>
      </c>
      <c r="NC19" s="15">
        <v>43690</v>
      </c>
      <c r="ND19" s="15">
        <v>43691</v>
      </c>
      <c r="NE19" s="15">
        <v>43692</v>
      </c>
      <c r="NF19" s="15">
        <v>43693</v>
      </c>
      <c r="NG19" s="15">
        <v>43696</v>
      </c>
      <c r="NH19" s="15">
        <v>43697</v>
      </c>
      <c r="NI19" s="15">
        <v>43698</v>
      </c>
      <c r="NJ19" s="15">
        <v>43699</v>
      </c>
      <c r="NK19" s="15">
        <v>43700</v>
      </c>
      <c r="NL19" s="15">
        <v>43703</v>
      </c>
      <c r="NM19" s="15">
        <v>43704</v>
      </c>
      <c r="NN19" s="15">
        <v>43705</v>
      </c>
      <c r="NO19" s="15">
        <v>43706</v>
      </c>
      <c r="NP19" s="15">
        <v>43707</v>
      </c>
      <c r="NQ19" s="15">
        <v>43710</v>
      </c>
      <c r="NR19" s="15">
        <v>43711</v>
      </c>
      <c r="NS19" s="15">
        <v>43712</v>
      </c>
      <c r="NT19" s="15">
        <v>43713</v>
      </c>
      <c r="NU19" s="15">
        <v>43714</v>
      </c>
      <c r="NV19" s="15">
        <v>43717</v>
      </c>
      <c r="NW19" s="15">
        <v>43718</v>
      </c>
      <c r="NX19" s="15">
        <v>43719</v>
      </c>
      <c r="NY19" s="15">
        <v>43720</v>
      </c>
      <c r="NZ19" s="15">
        <v>43721</v>
      </c>
      <c r="OA19" s="15">
        <v>43724</v>
      </c>
      <c r="OB19" s="15">
        <v>43725</v>
      </c>
      <c r="OC19" s="15">
        <v>43726</v>
      </c>
      <c r="OD19" s="15">
        <v>43727</v>
      </c>
      <c r="OE19" s="15">
        <v>43728</v>
      </c>
      <c r="OF19" s="15">
        <v>43731</v>
      </c>
      <c r="OG19" s="15">
        <v>43732</v>
      </c>
      <c r="OH19" s="15">
        <v>43733</v>
      </c>
      <c r="OI19" s="15">
        <v>43734</v>
      </c>
      <c r="OJ19" s="15">
        <v>43735</v>
      </c>
      <c r="OK19" s="15">
        <v>43738</v>
      </c>
      <c r="OL19" s="15">
        <v>43739</v>
      </c>
      <c r="OM19" s="15">
        <v>43740</v>
      </c>
      <c r="ON19" s="15">
        <v>43741</v>
      </c>
      <c r="OO19" s="15">
        <v>43742</v>
      </c>
      <c r="OP19" s="15">
        <v>43745</v>
      </c>
      <c r="OQ19" s="15">
        <v>43746</v>
      </c>
      <c r="OR19" s="15">
        <v>43747</v>
      </c>
      <c r="OS19" s="15">
        <v>43748</v>
      </c>
      <c r="OT19" s="15">
        <v>43749</v>
      </c>
      <c r="OU19" s="15">
        <v>43752</v>
      </c>
      <c r="OV19" s="15">
        <v>43753</v>
      </c>
      <c r="OW19" s="15">
        <v>43754</v>
      </c>
      <c r="OX19" s="15">
        <v>43755</v>
      </c>
      <c r="OY19" s="15">
        <v>43756</v>
      </c>
      <c r="OZ19" s="15">
        <v>43759</v>
      </c>
      <c r="PA19" s="15">
        <v>43760</v>
      </c>
      <c r="PB19" s="15">
        <v>43761</v>
      </c>
      <c r="PC19" s="15">
        <v>43762</v>
      </c>
      <c r="PD19" s="15">
        <v>43763</v>
      </c>
      <c r="PE19" s="15">
        <v>43766</v>
      </c>
      <c r="PF19" s="15">
        <v>43767</v>
      </c>
      <c r="PG19" s="15">
        <v>43768</v>
      </c>
      <c r="PH19" s="15">
        <v>43769</v>
      </c>
      <c r="PI19" s="15">
        <v>43770</v>
      </c>
      <c r="PJ19" s="15">
        <v>43773</v>
      </c>
      <c r="PK19" s="15">
        <v>43774</v>
      </c>
      <c r="PL19" s="15">
        <v>43775</v>
      </c>
      <c r="PM19" s="15">
        <v>43776</v>
      </c>
      <c r="PN19" s="15">
        <v>43777</v>
      </c>
      <c r="PO19" s="15">
        <v>43780</v>
      </c>
      <c r="PP19" s="15">
        <v>43781</v>
      </c>
      <c r="PQ19" s="15">
        <v>43782</v>
      </c>
      <c r="PR19" s="15">
        <v>43783</v>
      </c>
      <c r="PS19" s="15">
        <v>43784</v>
      </c>
      <c r="PT19" s="15">
        <v>43787</v>
      </c>
      <c r="PU19" s="15">
        <v>43788</v>
      </c>
      <c r="PV19" s="15">
        <v>43789</v>
      </c>
      <c r="PW19" s="15">
        <v>43790</v>
      </c>
      <c r="PX19" s="15">
        <v>43791</v>
      </c>
      <c r="PY19" s="15">
        <v>43794</v>
      </c>
      <c r="PZ19" s="15">
        <v>43795</v>
      </c>
      <c r="QA19" s="15">
        <v>43796</v>
      </c>
      <c r="QB19" s="15">
        <v>43797</v>
      </c>
      <c r="QC19" s="15">
        <v>43798</v>
      </c>
      <c r="QD19" s="15">
        <v>43801</v>
      </c>
      <c r="QE19" s="15">
        <v>43802</v>
      </c>
      <c r="QF19" s="15">
        <v>43803</v>
      </c>
      <c r="QG19" s="15">
        <v>43804</v>
      </c>
      <c r="QH19" s="15">
        <v>43805</v>
      </c>
      <c r="QI19" s="15">
        <v>43808</v>
      </c>
      <c r="QJ19" s="15">
        <v>43809</v>
      </c>
      <c r="QK19" s="15">
        <v>43810</v>
      </c>
      <c r="QL19" s="15">
        <v>43811</v>
      </c>
      <c r="QM19" s="15">
        <v>43812</v>
      </c>
      <c r="QN19" s="15">
        <v>43815</v>
      </c>
      <c r="QO19" s="15">
        <v>43816</v>
      </c>
      <c r="QP19" s="15">
        <v>43817</v>
      </c>
      <c r="QQ19" s="15">
        <v>43818</v>
      </c>
      <c r="QR19" s="15">
        <v>43819</v>
      </c>
      <c r="QS19" s="15">
        <v>43822</v>
      </c>
      <c r="QT19" s="15">
        <v>43826</v>
      </c>
      <c r="QU19" s="15">
        <v>43829</v>
      </c>
      <c r="QV19" s="15">
        <v>43832</v>
      </c>
      <c r="QW19" s="15">
        <v>43833</v>
      </c>
      <c r="QX19" s="15">
        <v>43837</v>
      </c>
      <c r="QY19" s="15">
        <v>43838</v>
      </c>
      <c r="QZ19" s="15">
        <v>43839</v>
      </c>
      <c r="RA19" s="15">
        <v>43840</v>
      </c>
      <c r="RB19" s="15">
        <v>43843</v>
      </c>
      <c r="RC19" s="15">
        <v>43844</v>
      </c>
      <c r="RD19" s="15">
        <v>43845</v>
      </c>
      <c r="RE19" s="15">
        <v>43846</v>
      </c>
      <c r="RF19" s="15">
        <v>43847</v>
      </c>
      <c r="RG19" s="15">
        <v>43850</v>
      </c>
      <c r="RH19" s="15">
        <v>43851</v>
      </c>
      <c r="RI19" s="15">
        <v>43852</v>
      </c>
      <c r="RJ19" s="15">
        <v>43853</v>
      </c>
      <c r="RK19" s="15">
        <v>43854</v>
      </c>
      <c r="RL19" s="15">
        <v>43857</v>
      </c>
      <c r="RM19" s="15">
        <v>43858</v>
      </c>
      <c r="RN19" s="15">
        <v>43859</v>
      </c>
      <c r="RO19" s="15">
        <v>43860</v>
      </c>
      <c r="RP19" s="15">
        <v>43861</v>
      </c>
      <c r="RQ19" s="15">
        <v>43864</v>
      </c>
      <c r="RR19" s="15">
        <v>43865</v>
      </c>
      <c r="RS19" s="15">
        <v>43866</v>
      </c>
      <c r="RT19" s="15">
        <v>43867</v>
      </c>
      <c r="RU19" s="15">
        <v>43868</v>
      </c>
      <c r="RV19" s="15">
        <v>43871</v>
      </c>
      <c r="RW19" s="15">
        <v>43872</v>
      </c>
      <c r="RX19" s="15">
        <v>43873</v>
      </c>
      <c r="RY19" s="15">
        <v>43874</v>
      </c>
      <c r="RZ19" s="15">
        <v>43875</v>
      </c>
      <c r="SA19" s="15">
        <v>43878</v>
      </c>
      <c r="SB19" s="15">
        <v>43879</v>
      </c>
      <c r="SC19" s="15">
        <v>43880</v>
      </c>
      <c r="SD19" s="15">
        <v>43881</v>
      </c>
      <c r="SE19" s="15">
        <v>43882</v>
      </c>
      <c r="SF19" s="15">
        <v>43885</v>
      </c>
      <c r="SG19" s="15">
        <v>43886</v>
      </c>
      <c r="SH19" s="15">
        <v>43887</v>
      </c>
      <c r="SI19" s="15">
        <v>43888</v>
      </c>
      <c r="SJ19" s="15">
        <v>43889</v>
      </c>
      <c r="SK19" s="15">
        <v>43892</v>
      </c>
      <c r="SL19" s="15">
        <v>43893</v>
      </c>
      <c r="SM19" s="15">
        <v>43894</v>
      </c>
      <c r="SN19" s="15">
        <v>43895</v>
      </c>
      <c r="SO19" s="15">
        <v>43896</v>
      </c>
      <c r="SP19" s="15">
        <v>43899</v>
      </c>
      <c r="SQ19" s="15">
        <v>43900</v>
      </c>
      <c r="SR19" s="15">
        <v>43901</v>
      </c>
      <c r="SS19" s="15">
        <v>43902</v>
      </c>
      <c r="ST19" s="15">
        <v>43903</v>
      </c>
      <c r="SU19" s="15">
        <v>43906</v>
      </c>
      <c r="SV19" s="15">
        <v>43907</v>
      </c>
      <c r="SW19" s="15">
        <v>43908</v>
      </c>
      <c r="SX19" s="15">
        <v>43909</v>
      </c>
      <c r="SY19" s="15">
        <v>43910</v>
      </c>
      <c r="SZ19" s="15">
        <v>43913</v>
      </c>
      <c r="TA19" s="15">
        <v>43914</v>
      </c>
      <c r="TB19" s="15">
        <v>43915</v>
      </c>
      <c r="TC19" s="15">
        <v>43916</v>
      </c>
      <c r="TD19" s="15">
        <v>43917</v>
      </c>
      <c r="TE19" s="15">
        <v>43920</v>
      </c>
      <c r="TF19" s="15">
        <v>43921</v>
      </c>
      <c r="TG19" s="15">
        <v>43922</v>
      </c>
      <c r="TH19" s="15">
        <v>43923</v>
      </c>
      <c r="TI19" s="15">
        <v>43924</v>
      </c>
      <c r="TJ19" s="15">
        <v>43927</v>
      </c>
      <c r="TK19" s="15">
        <v>43928</v>
      </c>
      <c r="TL19" s="15">
        <v>43929</v>
      </c>
      <c r="TM19" s="15">
        <v>43935</v>
      </c>
      <c r="TN19" s="15">
        <v>43936</v>
      </c>
      <c r="TO19" s="15">
        <v>43937</v>
      </c>
      <c r="TP19" s="15">
        <v>43938</v>
      </c>
      <c r="TQ19" s="15">
        <v>43941</v>
      </c>
      <c r="TR19" s="15">
        <v>43942</v>
      </c>
      <c r="TS19" s="15">
        <v>43943</v>
      </c>
      <c r="TT19" s="15">
        <v>43944</v>
      </c>
      <c r="TU19" s="15">
        <v>43945</v>
      </c>
      <c r="TV19" s="15">
        <v>43948</v>
      </c>
      <c r="TW19" s="15">
        <v>43949</v>
      </c>
      <c r="TX19" s="15">
        <v>43950</v>
      </c>
      <c r="TY19" s="15">
        <v>43951</v>
      </c>
      <c r="TZ19" s="15">
        <v>43955</v>
      </c>
      <c r="UA19" s="15">
        <v>43956</v>
      </c>
      <c r="UB19" s="15">
        <v>43957</v>
      </c>
      <c r="UC19" s="15">
        <v>43958</v>
      </c>
      <c r="UD19" s="15">
        <v>43962</v>
      </c>
      <c r="UE19" s="15">
        <v>43963</v>
      </c>
      <c r="UF19" s="15">
        <v>43964</v>
      </c>
      <c r="UG19" s="15">
        <v>43965</v>
      </c>
      <c r="UH19" s="15">
        <v>43966</v>
      </c>
      <c r="UI19" s="15">
        <v>43969</v>
      </c>
      <c r="UJ19" s="15">
        <v>43970</v>
      </c>
      <c r="UK19" s="15">
        <v>43971</v>
      </c>
      <c r="UL19" s="15">
        <v>43976</v>
      </c>
      <c r="UM19" s="15">
        <v>43977</v>
      </c>
      <c r="UN19" s="15">
        <v>43978</v>
      </c>
      <c r="UO19" s="15">
        <v>43979</v>
      </c>
      <c r="UP19" s="15">
        <v>43980</v>
      </c>
      <c r="UQ19" s="15">
        <v>43984</v>
      </c>
      <c r="UR19" s="15">
        <v>43985</v>
      </c>
      <c r="US19" s="15">
        <v>43986</v>
      </c>
      <c r="UT19" s="15">
        <v>43990</v>
      </c>
      <c r="UU19" s="15">
        <v>43991</v>
      </c>
      <c r="UV19" s="15">
        <v>43992</v>
      </c>
      <c r="UW19" s="15">
        <v>43993</v>
      </c>
      <c r="UX19" s="15">
        <v>43994</v>
      </c>
      <c r="UY19" s="15">
        <v>43997</v>
      </c>
      <c r="UZ19" s="15">
        <v>43998</v>
      </c>
      <c r="VA19" s="15">
        <v>43999</v>
      </c>
      <c r="VB19" s="15">
        <v>44000</v>
      </c>
      <c r="VC19" s="15">
        <v>44004</v>
      </c>
      <c r="VD19" s="15">
        <v>44005</v>
      </c>
      <c r="VE19" s="15">
        <v>44006</v>
      </c>
      <c r="VF19" s="15">
        <v>44007</v>
      </c>
      <c r="VG19" s="15">
        <v>44008</v>
      </c>
      <c r="VH19" s="15">
        <v>44011</v>
      </c>
      <c r="VI19" s="15">
        <v>44012</v>
      </c>
      <c r="VJ19" s="15">
        <v>44013</v>
      </c>
      <c r="VK19" s="15">
        <v>44014</v>
      </c>
      <c r="VL19" s="15">
        <v>44015</v>
      </c>
      <c r="VM19" s="15">
        <v>44018</v>
      </c>
      <c r="VN19" s="15">
        <v>44019</v>
      </c>
      <c r="VO19" s="15">
        <v>44020</v>
      </c>
      <c r="VP19" s="15">
        <v>44021</v>
      </c>
      <c r="VQ19" s="15">
        <v>44022</v>
      </c>
      <c r="VR19" s="15">
        <v>44025</v>
      </c>
      <c r="VS19" s="15">
        <v>44026</v>
      </c>
      <c r="VT19" s="15">
        <v>44027</v>
      </c>
      <c r="VU19" s="15">
        <v>44028</v>
      </c>
      <c r="VV19" s="15">
        <v>44029</v>
      </c>
      <c r="VW19" s="15">
        <v>44032</v>
      </c>
      <c r="VX19" s="15">
        <v>44033</v>
      </c>
      <c r="VY19" s="15">
        <v>44034</v>
      </c>
      <c r="VZ19" s="15">
        <v>44035</v>
      </c>
      <c r="WA19" s="15">
        <v>44036</v>
      </c>
      <c r="WB19" s="15">
        <v>44039</v>
      </c>
      <c r="WC19" s="15">
        <v>44040</v>
      </c>
      <c r="WD19" s="15">
        <v>44041</v>
      </c>
      <c r="WE19" s="15">
        <v>44042</v>
      </c>
      <c r="WF19" s="15">
        <v>44043</v>
      </c>
      <c r="WG19" s="15">
        <v>44046</v>
      </c>
      <c r="WH19" s="15">
        <v>44047</v>
      </c>
      <c r="WI19" s="15">
        <v>44048</v>
      </c>
      <c r="WJ19" s="15">
        <v>44049</v>
      </c>
      <c r="WK19" s="15">
        <v>44050</v>
      </c>
      <c r="WL19" s="15">
        <v>44053</v>
      </c>
      <c r="WM19" s="15">
        <v>44054</v>
      </c>
      <c r="WN19" s="15">
        <v>44055</v>
      </c>
      <c r="WO19" s="15">
        <v>44056</v>
      </c>
      <c r="WP19" s="15">
        <v>44057</v>
      </c>
      <c r="WQ19" s="15">
        <v>44060</v>
      </c>
      <c r="WR19" s="15">
        <v>44061</v>
      </c>
      <c r="WS19" s="15">
        <v>44062</v>
      </c>
      <c r="WT19" s="15">
        <v>44063</v>
      </c>
      <c r="WU19" s="15">
        <v>44064</v>
      </c>
      <c r="WV19" s="15">
        <v>44067</v>
      </c>
      <c r="WW19" s="15">
        <v>44068</v>
      </c>
      <c r="WX19" s="15">
        <v>44069</v>
      </c>
      <c r="WY19" s="15">
        <v>44070</v>
      </c>
      <c r="WZ19" s="15">
        <v>44071</v>
      </c>
      <c r="XA19" s="15">
        <v>44074</v>
      </c>
      <c r="XB19" s="15">
        <v>44075</v>
      </c>
      <c r="XC19" s="15">
        <v>44076</v>
      </c>
      <c r="XD19" s="15">
        <v>44077</v>
      </c>
      <c r="XE19" s="15">
        <v>44078</v>
      </c>
      <c r="XF19" s="15">
        <v>44081</v>
      </c>
      <c r="XG19" s="15">
        <v>44082</v>
      </c>
      <c r="XH19" s="15">
        <v>44083</v>
      </c>
      <c r="XI19" s="15">
        <v>44084</v>
      </c>
      <c r="XJ19" s="15">
        <v>44085</v>
      </c>
      <c r="XK19" s="15">
        <v>44088</v>
      </c>
      <c r="XL19" s="15">
        <v>44089</v>
      </c>
      <c r="XM19" s="15">
        <v>44090</v>
      </c>
      <c r="XN19" s="15">
        <v>44091</v>
      </c>
      <c r="XO19" s="15">
        <v>44092</v>
      </c>
      <c r="XP19" s="15">
        <v>44095</v>
      </c>
      <c r="XQ19" s="15">
        <v>44096</v>
      </c>
      <c r="XR19" s="15">
        <v>44097</v>
      </c>
      <c r="XS19" s="15">
        <v>44098</v>
      </c>
      <c r="XT19" s="15">
        <v>44099</v>
      </c>
      <c r="XU19" s="15">
        <v>44102</v>
      </c>
      <c r="XV19" s="15">
        <v>44103</v>
      </c>
      <c r="XW19" s="15">
        <v>44104</v>
      </c>
      <c r="XX19" s="15">
        <v>44105</v>
      </c>
      <c r="XY19" s="15">
        <v>44106</v>
      </c>
      <c r="XZ19" s="15">
        <v>44109</v>
      </c>
      <c r="YA19" s="15">
        <v>44110</v>
      </c>
      <c r="YB19" s="15">
        <v>44111</v>
      </c>
      <c r="YC19" s="15">
        <v>44112</v>
      </c>
      <c r="YD19" s="15">
        <v>44113</v>
      </c>
      <c r="YE19" s="15">
        <v>44116</v>
      </c>
      <c r="YF19" s="15">
        <v>44117</v>
      </c>
      <c r="YG19" s="15">
        <v>44118</v>
      </c>
      <c r="YH19" s="15">
        <v>44119</v>
      </c>
      <c r="YI19" s="15">
        <v>44120</v>
      </c>
      <c r="YJ19" s="15">
        <v>44123</v>
      </c>
      <c r="YK19" s="15">
        <v>44124</v>
      </c>
      <c r="YL19" s="15">
        <v>44125</v>
      </c>
      <c r="YM19" s="15">
        <v>44126</v>
      </c>
      <c r="YN19" s="15">
        <v>44127</v>
      </c>
      <c r="YO19" s="15">
        <v>44130</v>
      </c>
      <c r="YP19" s="15">
        <v>44131</v>
      </c>
      <c r="YQ19" s="15">
        <v>44132</v>
      </c>
      <c r="YR19" s="15">
        <v>44133</v>
      </c>
      <c r="YS19" s="15">
        <v>44134</v>
      </c>
      <c r="YT19" s="15">
        <v>44137</v>
      </c>
      <c r="YU19" s="15">
        <v>44138</v>
      </c>
      <c r="YV19" s="15">
        <v>44139</v>
      </c>
      <c r="YW19" s="15">
        <v>44140</v>
      </c>
      <c r="YX19" s="15">
        <v>44141</v>
      </c>
      <c r="YY19" s="15">
        <v>44144</v>
      </c>
      <c r="YZ19" s="15">
        <v>44145</v>
      </c>
      <c r="ZA19" s="15">
        <v>44146</v>
      </c>
      <c r="ZB19" s="15">
        <v>44147</v>
      </c>
      <c r="ZC19" s="15">
        <v>44148</v>
      </c>
      <c r="ZD19" s="15">
        <v>44151</v>
      </c>
      <c r="ZE19" s="15">
        <v>44152</v>
      </c>
      <c r="ZF19" s="15">
        <v>44153</v>
      </c>
      <c r="ZG19" s="15">
        <v>44154</v>
      </c>
      <c r="ZH19" s="15">
        <v>44155</v>
      </c>
      <c r="ZI19" s="15">
        <v>44158</v>
      </c>
      <c r="ZJ19" s="15">
        <v>44159</v>
      </c>
      <c r="ZK19" s="15">
        <v>44160</v>
      </c>
      <c r="ZL19" s="15">
        <v>44161</v>
      </c>
      <c r="ZM19" s="15">
        <v>44162</v>
      </c>
      <c r="ZN19" s="15">
        <v>44165</v>
      </c>
      <c r="ZO19" s="15">
        <v>44166</v>
      </c>
      <c r="ZP19" s="15">
        <v>44167</v>
      </c>
      <c r="ZQ19" s="15">
        <v>44168</v>
      </c>
      <c r="ZR19" s="15">
        <v>44169</v>
      </c>
      <c r="ZS19" s="15">
        <v>44172</v>
      </c>
      <c r="ZT19" s="15">
        <v>44173</v>
      </c>
      <c r="ZU19" s="15">
        <v>44174</v>
      </c>
      <c r="ZV19" s="15">
        <v>44175</v>
      </c>
      <c r="ZW19" s="15">
        <v>44176</v>
      </c>
      <c r="ZX19" s="15">
        <v>44179</v>
      </c>
      <c r="ZY19" s="15">
        <v>44180</v>
      </c>
      <c r="ZZ19" s="15">
        <v>44181</v>
      </c>
      <c r="AAA19" s="15">
        <v>44182</v>
      </c>
      <c r="AAB19" s="15">
        <v>44183</v>
      </c>
      <c r="AAC19" s="15">
        <v>44186</v>
      </c>
      <c r="AAD19" s="15">
        <v>44187</v>
      </c>
      <c r="AAE19" s="15">
        <v>44188</v>
      </c>
      <c r="AAF19" s="15">
        <v>44193</v>
      </c>
      <c r="AAG19" s="15">
        <v>44194</v>
      </c>
      <c r="AAH19" s="15">
        <v>44195</v>
      </c>
      <c r="AAI19" s="15">
        <v>44200</v>
      </c>
      <c r="AAJ19" s="15">
        <v>44201</v>
      </c>
      <c r="AAK19" s="15">
        <v>44203</v>
      </c>
      <c r="AAL19" s="15">
        <v>44204</v>
      </c>
      <c r="AAM19" s="15">
        <v>44207</v>
      </c>
      <c r="AAN19" s="15">
        <v>44208</v>
      </c>
      <c r="AAO19" s="15">
        <v>44209</v>
      </c>
      <c r="AAP19" s="15">
        <v>44210</v>
      </c>
      <c r="AAQ19" s="15">
        <v>44211</v>
      </c>
      <c r="AAR19" s="15">
        <v>44214</v>
      </c>
      <c r="AAS19" s="15">
        <v>44215</v>
      </c>
      <c r="AAT19" s="15">
        <v>44216</v>
      </c>
      <c r="AAU19" s="15">
        <v>44217</v>
      </c>
      <c r="AAV19" s="15">
        <v>44218</v>
      </c>
      <c r="AAW19" s="15">
        <v>44221</v>
      </c>
      <c r="AAX19" s="15">
        <v>44222</v>
      </c>
      <c r="AAY19" s="15">
        <v>44223</v>
      </c>
      <c r="AAZ19" s="15">
        <v>44224</v>
      </c>
      <c r="ABA19" s="15">
        <v>44225</v>
      </c>
      <c r="ABB19" s="15">
        <v>44228</v>
      </c>
      <c r="ABC19" s="15">
        <v>44229</v>
      </c>
      <c r="ABD19" s="15">
        <v>44230</v>
      </c>
      <c r="ABE19" s="15">
        <v>44231</v>
      </c>
      <c r="ABF19" s="15">
        <v>44232</v>
      </c>
      <c r="ABG19" s="15">
        <v>44235</v>
      </c>
      <c r="ABH19" s="15">
        <v>44236</v>
      </c>
      <c r="ABI19" s="15">
        <v>44237</v>
      </c>
      <c r="ABJ19" s="15">
        <v>44238</v>
      </c>
      <c r="ABK19" s="15">
        <v>44239</v>
      </c>
      <c r="ABL19" s="15">
        <v>44243</v>
      </c>
      <c r="ABM19" s="15">
        <v>44245</v>
      </c>
      <c r="ABN19" s="15">
        <v>44246</v>
      </c>
      <c r="ABO19" s="15">
        <v>44249</v>
      </c>
      <c r="ABP19" s="15">
        <v>44250</v>
      </c>
      <c r="ABQ19" s="15">
        <v>44251</v>
      </c>
      <c r="ABR19" s="15">
        <v>44252</v>
      </c>
      <c r="ABS19" s="15">
        <v>44253</v>
      </c>
      <c r="ABT19" s="15">
        <v>44256</v>
      </c>
      <c r="ABU19" s="15">
        <v>44257</v>
      </c>
      <c r="ABV19" s="15">
        <v>44258</v>
      </c>
      <c r="ABW19" s="15">
        <v>44259</v>
      </c>
      <c r="ABX19" s="15">
        <v>44260</v>
      </c>
      <c r="ABY19" s="15">
        <v>44263</v>
      </c>
      <c r="ABZ19" s="15">
        <v>44264</v>
      </c>
      <c r="ACA19" s="15">
        <v>44265</v>
      </c>
      <c r="ACB19" s="15">
        <v>44266</v>
      </c>
      <c r="ACC19" s="15">
        <v>44267</v>
      </c>
      <c r="ACD19" s="15">
        <v>44270</v>
      </c>
      <c r="ACE19" s="15">
        <v>44271</v>
      </c>
      <c r="ACF19" s="15">
        <v>44272</v>
      </c>
      <c r="ACG19" s="15">
        <v>44273</v>
      </c>
      <c r="ACH19" s="15">
        <v>44274</v>
      </c>
      <c r="ACI19" s="15">
        <v>44277</v>
      </c>
      <c r="ACJ19" s="15">
        <v>44278</v>
      </c>
      <c r="ACK19" s="15">
        <v>44279</v>
      </c>
      <c r="ACL19" s="15">
        <v>44280</v>
      </c>
      <c r="ACM19" s="15">
        <v>44281</v>
      </c>
      <c r="ACN19" s="15">
        <v>44284</v>
      </c>
      <c r="ACO19" s="15">
        <v>44285</v>
      </c>
      <c r="ACP19" s="15">
        <v>44286</v>
      </c>
      <c r="ACQ19" s="15">
        <v>44292</v>
      </c>
      <c r="ACR19" s="15">
        <v>44293</v>
      </c>
      <c r="ACS19" s="15">
        <v>44294</v>
      </c>
      <c r="ACT19" s="15">
        <v>44295</v>
      </c>
      <c r="ACU19" s="15">
        <v>44298</v>
      </c>
      <c r="ACV19" s="15">
        <v>44299</v>
      </c>
      <c r="ACW19" s="15">
        <v>44300</v>
      </c>
      <c r="ACX19" s="15">
        <v>44301</v>
      </c>
      <c r="ACY19" s="15">
        <v>44302</v>
      </c>
      <c r="ACZ19" s="15">
        <v>44305</v>
      </c>
      <c r="ADA19" s="15">
        <v>44306</v>
      </c>
      <c r="ADB19" s="15">
        <v>44307</v>
      </c>
      <c r="ADC19" s="15">
        <v>44308</v>
      </c>
      <c r="ADD19" s="15">
        <v>44309</v>
      </c>
      <c r="ADE19" s="15">
        <v>44312</v>
      </c>
      <c r="ADF19" s="15">
        <v>44313</v>
      </c>
      <c r="ADG19" s="15">
        <v>44314</v>
      </c>
      <c r="ADH19" s="15">
        <v>44315</v>
      </c>
      <c r="ADI19" s="15">
        <v>44319</v>
      </c>
      <c r="ADJ19" s="15">
        <v>44320</v>
      </c>
      <c r="ADK19" s="15">
        <v>44321</v>
      </c>
      <c r="ADL19" s="15">
        <v>44322</v>
      </c>
      <c r="ADM19" s="15">
        <v>44323</v>
      </c>
      <c r="ADN19" s="15">
        <v>44326</v>
      </c>
      <c r="ADO19" s="15">
        <v>44327</v>
      </c>
      <c r="ADP19" s="15">
        <v>44328</v>
      </c>
      <c r="ADQ19" s="15">
        <v>44333</v>
      </c>
      <c r="ADR19" s="15">
        <v>44334</v>
      </c>
      <c r="ADS19" s="15">
        <v>44335</v>
      </c>
      <c r="ADT19" s="15">
        <v>44336</v>
      </c>
      <c r="ADU19" s="15">
        <v>44337</v>
      </c>
      <c r="ADV19" s="15">
        <v>44341</v>
      </c>
      <c r="ADW19" s="15">
        <v>44342</v>
      </c>
      <c r="ADX19" s="15">
        <v>44343</v>
      </c>
      <c r="ADY19" s="15">
        <v>44344</v>
      </c>
      <c r="ADZ19" s="15">
        <v>44347</v>
      </c>
      <c r="AEA19" s="15">
        <v>44348</v>
      </c>
      <c r="AEB19" s="15">
        <v>44349</v>
      </c>
      <c r="AEC19" s="15">
        <v>44350</v>
      </c>
      <c r="AED19" s="15">
        <v>44351</v>
      </c>
      <c r="AEE19" s="15">
        <v>44354</v>
      </c>
      <c r="AEF19" s="15">
        <v>44355</v>
      </c>
      <c r="AEG19" s="15">
        <v>44356</v>
      </c>
      <c r="AEH19" s="15">
        <v>44357</v>
      </c>
      <c r="AEI19" s="15">
        <v>44358</v>
      </c>
      <c r="AEJ19" s="15">
        <v>44361</v>
      </c>
      <c r="AEK19" s="15">
        <v>44362</v>
      </c>
      <c r="AEL19" s="15">
        <v>44363</v>
      </c>
      <c r="AEM19" s="15">
        <v>44364</v>
      </c>
      <c r="AEN19" s="15">
        <v>44365</v>
      </c>
      <c r="AEO19" s="15">
        <v>44368</v>
      </c>
      <c r="AEP19" s="15">
        <v>44369</v>
      </c>
      <c r="AEQ19" s="15">
        <v>44370</v>
      </c>
      <c r="AER19" s="15">
        <v>44371</v>
      </c>
      <c r="AES19" s="15">
        <v>44375</v>
      </c>
      <c r="AET19" s="15">
        <v>44376</v>
      </c>
      <c r="AEU19" s="15">
        <v>44377</v>
      </c>
      <c r="AEV19" s="15">
        <v>44378</v>
      </c>
      <c r="AEW19" s="15">
        <v>44379</v>
      </c>
      <c r="AEX19" s="15">
        <v>44382</v>
      </c>
      <c r="AEY19" s="15">
        <v>44383</v>
      </c>
      <c r="AEZ19" s="15">
        <v>44384</v>
      </c>
      <c r="AFA19" s="15">
        <v>44385</v>
      </c>
      <c r="AFB19" s="15">
        <v>44386</v>
      </c>
      <c r="AFC19" s="15">
        <v>44389</v>
      </c>
      <c r="AFD19" s="15">
        <v>44390</v>
      </c>
      <c r="AFE19" s="15">
        <v>44391</v>
      </c>
      <c r="AFF19" s="15">
        <v>44392</v>
      </c>
      <c r="AFG19" s="15">
        <v>44393</v>
      </c>
      <c r="AFH19" s="15">
        <v>44396</v>
      </c>
      <c r="AFI19" s="15">
        <v>44397</v>
      </c>
      <c r="AFJ19" s="15">
        <v>44398</v>
      </c>
      <c r="AFK19" s="15">
        <v>44399</v>
      </c>
      <c r="AFL19" s="15">
        <v>44400</v>
      </c>
      <c r="AFM19" s="15">
        <v>44403</v>
      </c>
      <c r="AFN19" s="15">
        <v>44404</v>
      </c>
      <c r="AFO19" s="15">
        <v>44405</v>
      </c>
      <c r="AFP19" s="15">
        <v>44406</v>
      </c>
      <c r="AFQ19" s="15">
        <v>44407</v>
      </c>
      <c r="AFR19" s="15">
        <v>44410</v>
      </c>
      <c r="AFS19" s="15">
        <v>44411</v>
      </c>
      <c r="AFT19" s="15">
        <v>44412</v>
      </c>
      <c r="AFU19" s="15">
        <v>44413</v>
      </c>
      <c r="AFV19" s="15">
        <v>44414</v>
      </c>
      <c r="AFW19" s="15">
        <v>44417</v>
      </c>
      <c r="AFX19" s="15">
        <v>44418</v>
      </c>
      <c r="AFY19" s="15">
        <v>44419</v>
      </c>
      <c r="AFZ19" s="15">
        <v>44420</v>
      </c>
      <c r="AGA19" s="15">
        <v>44421</v>
      </c>
      <c r="AGB19" s="15">
        <v>44424</v>
      </c>
      <c r="AGC19" s="15">
        <v>44425</v>
      </c>
      <c r="AGD19" s="15">
        <v>44426</v>
      </c>
      <c r="AGE19" s="15">
        <v>44427</v>
      </c>
      <c r="AGF19" s="15">
        <v>44428</v>
      </c>
      <c r="AGG19" s="15">
        <v>44431</v>
      </c>
      <c r="AGH19" s="15">
        <v>44432</v>
      </c>
      <c r="AGI19" s="15">
        <v>44433</v>
      </c>
      <c r="AGJ19" s="15">
        <v>44434</v>
      </c>
      <c r="AGK19" s="15">
        <v>44435</v>
      </c>
      <c r="AGL19" s="15">
        <v>44438</v>
      </c>
      <c r="AGM19" s="15">
        <v>44439</v>
      </c>
      <c r="AGN19" s="15">
        <v>44440</v>
      </c>
      <c r="AGO19" s="15">
        <v>44441</v>
      </c>
      <c r="AGP19" s="15">
        <v>44442</v>
      </c>
      <c r="AGQ19" s="15">
        <v>44445</v>
      </c>
      <c r="AGR19" s="15">
        <v>44446</v>
      </c>
      <c r="AGS19" s="15">
        <v>44447</v>
      </c>
      <c r="AGT19" s="15">
        <v>44448</v>
      </c>
      <c r="AGU19" s="15">
        <v>44449</v>
      </c>
      <c r="AGV19" s="15">
        <v>44452</v>
      </c>
      <c r="AGW19" s="15">
        <v>44453</v>
      </c>
      <c r="AGX19" s="15">
        <v>44454</v>
      </c>
      <c r="AGY19" s="15">
        <v>44455</v>
      </c>
      <c r="AGZ19" s="15">
        <v>44456</v>
      </c>
      <c r="AHA19" s="15">
        <v>44459</v>
      </c>
      <c r="AHB19" s="15">
        <v>44460</v>
      </c>
      <c r="AHC19" s="15">
        <v>44461</v>
      </c>
      <c r="AHD19" s="15">
        <v>44462</v>
      </c>
      <c r="AHE19" s="15">
        <v>44463</v>
      </c>
      <c r="AHF19" s="15">
        <v>44466</v>
      </c>
      <c r="AHG19" s="15">
        <v>44467</v>
      </c>
      <c r="AHH19" s="15">
        <v>44468</v>
      </c>
      <c r="AHI19" s="15">
        <v>44469</v>
      </c>
      <c r="AHJ19" s="15">
        <v>44470</v>
      </c>
      <c r="AHK19" s="15">
        <v>44473</v>
      </c>
      <c r="AHL19" s="15">
        <v>44474</v>
      </c>
      <c r="AHM19" s="15">
        <v>44475</v>
      </c>
      <c r="AHN19" s="15">
        <v>44476</v>
      </c>
      <c r="AHO19" s="15">
        <v>44477</v>
      </c>
      <c r="AHP19" s="15">
        <v>44480</v>
      </c>
      <c r="AHQ19" s="15">
        <v>44481</v>
      </c>
      <c r="AHR19" s="15">
        <v>44482</v>
      </c>
      <c r="AHS19" s="15">
        <v>44483</v>
      </c>
      <c r="AHT19" s="15">
        <v>44484</v>
      </c>
      <c r="AHU19" s="15">
        <v>44487</v>
      </c>
      <c r="AHV19" s="15">
        <v>44488</v>
      </c>
      <c r="AHW19" s="15">
        <v>44489</v>
      </c>
      <c r="AHX19" s="15">
        <v>44490</v>
      </c>
      <c r="AHY19" s="15">
        <v>44491</v>
      </c>
      <c r="AHZ19" s="15">
        <v>44494</v>
      </c>
      <c r="AIA19" s="15">
        <v>44495</v>
      </c>
      <c r="AIB19" s="15">
        <v>44496</v>
      </c>
      <c r="AIC19" s="15">
        <v>44497</v>
      </c>
      <c r="AID19" s="15">
        <v>44498</v>
      </c>
      <c r="AIE19" s="15">
        <v>44501</v>
      </c>
      <c r="AIF19" s="15">
        <v>44502</v>
      </c>
      <c r="AIG19" s="15">
        <v>44503</v>
      </c>
      <c r="AIH19" s="15">
        <v>44504</v>
      </c>
      <c r="AII19" s="15">
        <v>44505</v>
      </c>
      <c r="AIJ19" s="15">
        <v>44508</v>
      </c>
      <c r="AIK19" s="15">
        <v>44509</v>
      </c>
      <c r="AIL19" s="15">
        <v>44510</v>
      </c>
      <c r="AIM19" s="15">
        <v>44511</v>
      </c>
      <c r="AIN19" s="15">
        <v>44512</v>
      </c>
      <c r="AIO19" s="15">
        <v>44515</v>
      </c>
      <c r="AIP19" s="15">
        <v>44516</v>
      </c>
      <c r="AIQ19" s="15">
        <v>44517</v>
      </c>
      <c r="AIR19" s="15">
        <v>44518</v>
      </c>
      <c r="AIS19" s="15">
        <v>44519</v>
      </c>
      <c r="AIT19" s="15">
        <v>44522</v>
      </c>
      <c r="AIU19" s="15">
        <v>44523</v>
      </c>
      <c r="AIV19" s="15">
        <v>44524</v>
      </c>
      <c r="AIW19" s="15">
        <v>44525</v>
      </c>
      <c r="AIX19" s="15">
        <v>44526</v>
      </c>
      <c r="AIY19" s="15">
        <v>44529</v>
      </c>
      <c r="AIZ19" s="15">
        <v>44530</v>
      </c>
      <c r="AJA19" s="15">
        <v>44531</v>
      </c>
      <c r="AJB19" s="15">
        <v>44532</v>
      </c>
      <c r="AJC19" s="15">
        <v>44533</v>
      </c>
      <c r="AJD19" s="15">
        <v>44536</v>
      </c>
      <c r="AJE19" s="15">
        <v>44537</v>
      </c>
      <c r="AJF19" s="15">
        <v>44538</v>
      </c>
      <c r="AJG19" s="15">
        <v>44539</v>
      </c>
      <c r="AJH19" s="15">
        <v>44540</v>
      </c>
      <c r="AJI19" s="15">
        <v>44543</v>
      </c>
      <c r="AJJ19" s="15">
        <v>44544</v>
      </c>
      <c r="AJK19" s="15">
        <v>44545</v>
      </c>
      <c r="AJL19" s="15">
        <v>44546</v>
      </c>
      <c r="AJM19" s="15">
        <v>44547</v>
      </c>
      <c r="AJN19" s="15">
        <v>44550</v>
      </c>
      <c r="AJO19" s="15">
        <v>44551</v>
      </c>
      <c r="AJP19" s="15">
        <v>44552</v>
      </c>
      <c r="AJQ19" s="15">
        <v>44553</v>
      </c>
      <c r="AJR19" s="15">
        <v>44557</v>
      </c>
      <c r="AJS19" s="15">
        <v>44558</v>
      </c>
      <c r="AJT19" s="15">
        <v>44559</v>
      </c>
      <c r="AJU19" s="15">
        <v>44560</v>
      </c>
      <c r="AJV19" s="15">
        <v>44564</v>
      </c>
      <c r="AJW19" s="15">
        <v>44565</v>
      </c>
      <c r="AJX19" s="15">
        <v>44566</v>
      </c>
      <c r="AJY19" s="15">
        <v>44568</v>
      </c>
      <c r="AJZ19" s="15">
        <v>44571</v>
      </c>
      <c r="AKA19" s="15">
        <v>44572</v>
      </c>
      <c r="AKB19" s="15">
        <v>44573</v>
      </c>
      <c r="AKC19" s="15">
        <v>44574</v>
      </c>
      <c r="AKD19" s="15">
        <v>44575</v>
      </c>
      <c r="AKE19" s="15">
        <v>44578</v>
      </c>
      <c r="AKF19" s="15">
        <v>44579</v>
      </c>
      <c r="AKG19" s="15">
        <v>44580</v>
      </c>
      <c r="AKH19" s="15">
        <v>44581</v>
      </c>
      <c r="AKI19" s="15">
        <v>44582</v>
      </c>
      <c r="AKJ19" s="15">
        <v>44585</v>
      </c>
      <c r="AKK19" s="15">
        <v>44586</v>
      </c>
      <c r="AKL19" s="15">
        <v>44587</v>
      </c>
      <c r="AKM19" s="15">
        <v>44588</v>
      </c>
      <c r="AKN19" s="15">
        <v>44589</v>
      </c>
      <c r="AKO19" s="15">
        <v>44592</v>
      </c>
      <c r="AKP19" s="15">
        <v>44593</v>
      </c>
      <c r="AKQ19" s="15">
        <v>44594</v>
      </c>
      <c r="AKR19" s="15">
        <v>44595</v>
      </c>
      <c r="AKS19" s="15">
        <v>44596</v>
      </c>
      <c r="AKT19" s="15">
        <v>44599</v>
      </c>
      <c r="AKU19" s="15">
        <v>44600</v>
      </c>
      <c r="AKV19" s="15">
        <v>44601</v>
      </c>
      <c r="AKW19" s="15">
        <v>44602</v>
      </c>
      <c r="AKX19" s="15">
        <v>44603</v>
      </c>
      <c r="AKY19" s="15">
        <v>44606</v>
      </c>
      <c r="AKZ19" s="15">
        <v>44607</v>
      </c>
      <c r="ALA19" s="15">
        <v>44608</v>
      </c>
      <c r="ALB19" s="15">
        <v>44609</v>
      </c>
      <c r="ALC19" s="15">
        <v>44610</v>
      </c>
      <c r="ALD19" s="15">
        <v>44613</v>
      </c>
      <c r="ALE19" s="15">
        <v>44614</v>
      </c>
      <c r="ALF19" s="15">
        <v>44615</v>
      </c>
      <c r="ALG19" s="15">
        <v>44616</v>
      </c>
      <c r="ALH19" s="15">
        <v>44617</v>
      </c>
      <c r="ALI19" s="15">
        <v>44620</v>
      </c>
      <c r="ALJ19" s="15">
        <v>44621</v>
      </c>
      <c r="ALK19" s="15">
        <v>44622</v>
      </c>
      <c r="ALL19" s="15">
        <v>44623</v>
      </c>
      <c r="ALM19" s="15">
        <v>44624</v>
      </c>
      <c r="ALN19" s="15">
        <v>44627</v>
      </c>
      <c r="ALO19" s="15">
        <v>44628</v>
      </c>
      <c r="ALP19" s="15">
        <v>44629</v>
      </c>
      <c r="ALQ19" s="15">
        <v>44630</v>
      </c>
      <c r="ALR19" s="15">
        <v>44631</v>
      </c>
      <c r="ALS19" s="15">
        <v>44634</v>
      </c>
      <c r="ALT19" s="15">
        <v>44635</v>
      </c>
      <c r="ALU19" s="15">
        <v>44636</v>
      </c>
      <c r="ALV19" s="15">
        <v>44637</v>
      </c>
      <c r="ALW19" s="15">
        <v>44638</v>
      </c>
      <c r="ALX19" s="15">
        <v>44641</v>
      </c>
      <c r="ALY19" s="15">
        <v>44642</v>
      </c>
      <c r="ALZ19" s="15">
        <v>44643</v>
      </c>
      <c r="AMA19" s="15">
        <v>44644</v>
      </c>
      <c r="AMB19" s="15">
        <v>44645</v>
      </c>
      <c r="AMC19" s="15">
        <v>44648</v>
      </c>
      <c r="AMD19" s="15">
        <v>44649</v>
      </c>
      <c r="AME19" s="15">
        <v>44650</v>
      </c>
      <c r="AMF19" s="15">
        <v>44651</v>
      </c>
      <c r="AMG19" s="15">
        <v>44652</v>
      </c>
      <c r="AMH19" s="15">
        <v>44655</v>
      </c>
      <c r="AMI19" s="15">
        <v>44656</v>
      </c>
      <c r="AMJ19" s="15">
        <v>44657</v>
      </c>
      <c r="AMK19" s="15">
        <v>44658</v>
      </c>
      <c r="AML19" s="15">
        <v>44659</v>
      </c>
      <c r="AMM19" s="15">
        <v>44662</v>
      </c>
      <c r="AMN19" s="15">
        <v>44663</v>
      </c>
      <c r="AMO19" s="15">
        <v>44664</v>
      </c>
      <c r="AMP19" s="15">
        <v>44670</v>
      </c>
      <c r="AMQ19" s="15">
        <v>44671</v>
      </c>
      <c r="AMR19" s="15">
        <v>44672</v>
      </c>
      <c r="AMS19" s="15">
        <v>44673</v>
      </c>
      <c r="AMT19" s="15">
        <v>44676</v>
      </c>
      <c r="AMU19" s="15">
        <v>44677</v>
      </c>
      <c r="AMV19" s="15">
        <v>44678</v>
      </c>
      <c r="AMW19" s="15">
        <v>44679</v>
      </c>
      <c r="AMX19" s="15">
        <v>44680</v>
      </c>
      <c r="AMY19" s="15">
        <v>44683</v>
      </c>
      <c r="AMZ19" s="15">
        <v>44684</v>
      </c>
      <c r="ANA19" s="15">
        <v>44685</v>
      </c>
      <c r="ANB19" s="15">
        <v>44686</v>
      </c>
      <c r="ANC19" s="15">
        <v>44687</v>
      </c>
      <c r="AND19" s="15">
        <v>44690</v>
      </c>
      <c r="ANE19" s="15">
        <v>44691</v>
      </c>
      <c r="ANF19" s="15">
        <v>44692</v>
      </c>
      <c r="ANG19" s="15">
        <v>44693</v>
      </c>
      <c r="ANH19" s="15">
        <v>44697</v>
      </c>
      <c r="ANI19" s="15">
        <v>44698</v>
      </c>
      <c r="ANJ19" s="15">
        <v>44699</v>
      </c>
      <c r="ANK19" s="15">
        <v>44700</v>
      </c>
      <c r="ANL19" s="15">
        <v>44701</v>
      </c>
      <c r="ANM19" s="15">
        <v>44704</v>
      </c>
      <c r="ANN19" s="15">
        <v>44705</v>
      </c>
      <c r="ANO19" s="15">
        <v>44706</v>
      </c>
      <c r="ANP19" s="15">
        <v>44711</v>
      </c>
      <c r="ANQ19" s="15">
        <v>44712</v>
      </c>
      <c r="ANR19" s="15">
        <v>44713</v>
      </c>
      <c r="ANS19" s="15">
        <v>44714</v>
      </c>
      <c r="ANT19" s="15">
        <v>44715</v>
      </c>
      <c r="ANU19" s="15">
        <v>44719</v>
      </c>
      <c r="ANV19" s="15">
        <v>44720</v>
      </c>
      <c r="ANW19" s="15">
        <v>44721</v>
      </c>
      <c r="ANX19" s="15">
        <v>44722</v>
      </c>
      <c r="ANY19" s="15">
        <v>44725</v>
      </c>
      <c r="ANZ19" s="15">
        <v>44726</v>
      </c>
      <c r="AOA19" s="15">
        <v>44727</v>
      </c>
      <c r="AOB19" s="15">
        <v>44728</v>
      </c>
      <c r="AOC19" s="15">
        <v>44729</v>
      </c>
      <c r="AOD19" s="15">
        <v>44732</v>
      </c>
      <c r="AOE19" s="15">
        <v>44733</v>
      </c>
      <c r="AOF19" s="15">
        <v>44734</v>
      </c>
      <c r="AOG19" s="15">
        <v>44735</v>
      </c>
      <c r="AOH19" s="15">
        <v>44739</v>
      </c>
      <c r="AOI19" s="15">
        <v>44740</v>
      </c>
      <c r="AOJ19" s="15">
        <v>44741</v>
      </c>
      <c r="AOK19" s="15">
        <v>44742</v>
      </c>
      <c r="AOL19" s="15">
        <v>44743</v>
      </c>
      <c r="AOM19" s="15">
        <v>44746</v>
      </c>
      <c r="AON19" s="15">
        <v>44747</v>
      </c>
      <c r="AOO19" s="15">
        <v>44748</v>
      </c>
      <c r="AOP19" s="15">
        <v>44749</v>
      </c>
      <c r="AOQ19" s="15">
        <v>44750</v>
      </c>
      <c r="AOR19" s="15">
        <v>44753</v>
      </c>
      <c r="AOS19" s="15">
        <v>44754</v>
      </c>
      <c r="AOT19" s="15">
        <v>44755</v>
      </c>
      <c r="AOU19" s="15">
        <v>44756</v>
      </c>
      <c r="AOV19" s="15">
        <v>44757</v>
      </c>
      <c r="AOW19" s="15">
        <v>44760</v>
      </c>
      <c r="AOX19" s="15">
        <v>44761</v>
      </c>
      <c r="AOY19" s="15">
        <v>44762</v>
      </c>
      <c r="AOZ19" s="15">
        <v>44763</v>
      </c>
      <c r="APA19" s="15">
        <v>44764</v>
      </c>
      <c r="APB19" s="15">
        <v>44767</v>
      </c>
      <c r="APC19" s="15">
        <v>44768</v>
      </c>
      <c r="APD19" s="15">
        <v>44769</v>
      </c>
      <c r="APE19" s="15">
        <v>44770</v>
      </c>
      <c r="APF19" s="15">
        <v>44771</v>
      </c>
      <c r="APG19" s="15">
        <v>44774</v>
      </c>
      <c r="APH19" s="15">
        <v>44775</v>
      </c>
      <c r="API19" s="15">
        <v>44776</v>
      </c>
      <c r="APJ19" s="15">
        <v>44777</v>
      </c>
      <c r="APK19" s="15">
        <v>44778</v>
      </c>
      <c r="APL19" s="15">
        <v>44781</v>
      </c>
      <c r="APM19" s="15">
        <v>44782</v>
      </c>
      <c r="APN19" s="15">
        <v>44783</v>
      </c>
      <c r="APO19" s="15">
        <v>44784</v>
      </c>
      <c r="APP19" s="15">
        <v>44785</v>
      </c>
      <c r="APQ19" s="15">
        <v>44788</v>
      </c>
      <c r="APR19" s="15">
        <v>44789</v>
      </c>
      <c r="APS19" s="15">
        <v>44790</v>
      </c>
      <c r="APT19" s="15">
        <v>44791</v>
      </c>
      <c r="APU19" s="15">
        <v>44792</v>
      </c>
      <c r="APV19" s="15">
        <v>44795</v>
      </c>
      <c r="APW19" s="15">
        <v>44796</v>
      </c>
      <c r="APX19" s="15">
        <v>44797</v>
      </c>
      <c r="APY19" s="15">
        <v>44798</v>
      </c>
      <c r="APZ19" s="15">
        <v>44799</v>
      </c>
      <c r="AQA19" s="15">
        <v>44802</v>
      </c>
      <c r="AQB19" s="15">
        <v>44803</v>
      </c>
      <c r="AQC19" s="15">
        <v>44804</v>
      </c>
      <c r="AQD19" s="15">
        <v>44805</v>
      </c>
      <c r="AQE19" s="15">
        <v>44806</v>
      </c>
      <c r="AQF19" s="15">
        <v>44809</v>
      </c>
      <c r="AQG19" s="15">
        <v>44810</v>
      </c>
      <c r="AQH19" s="15">
        <v>44811</v>
      </c>
      <c r="AQI19" s="15">
        <v>44812</v>
      </c>
      <c r="AQJ19" s="15">
        <v>44813</v>
      </c>
      <c r="AQK19" s="15">
        <v>44816</v>
      </c>
      <c r="AQL19" s="15">
        <v>44817</v>
      </c>
      <c r="AQM19" s="15">
        <v>44818</v>
      </c>
      <c r="AQN19" s="15">
        <v>44819</v>
      </c>
      <c r="AQO19" s="15">
        <v>44820</v>
      </c>
      <c r="AQP19" s="15">
        <v>44823</v>
      </c>
      <c r="AQQ19" s="15">
        <v>44824</v>
      </c>
      <c r="AQR19" s="15">
        <v>44825</v>
      </c>
      <c r="AQS19" s="15">
        <v>44826</v>
      </c>
      <c r="AQT19" s="15">
        <v>44827</v>
      </c>
      <c r="AQU19" s="15">
        <v>44830</v>
      </c>
      <c r="AQV19" s="15">
        <v>44831</v>
      </c>
      <c r="AQW19" s="15">
        <v>44832</v>
      </c>
      <c r="AQX19" s="15">
        <v>44833</v>
      </c>
      <c r="AQY19" s="15">
        <v>44834</v>
      </c>
      <c r="AQZ19" s="15">
        <v>44837</v>
      </c>
      <c r="ARA19" s="15">
        <v>44838</v>
      </c>
      <c r="ARB19" s="15">
        <v>44839</v>
      </c>
      <c r="ARC19" s="15">
        <v>44840</v>
      </c>
      <c r="ARD19" s="15">
        <v>44841</v>
      </c>
      <c r="ARE19" s="15">
        <v>44844</v>
      </c>
      <c r="ARF19" s="15">
        <v>44845</v>
      </c>
      <c r="ARG19" s="15">
        <v>44846</v>
      </c>
      <c r="ARH19" s="15">
        <v>44847</v>
      </c>
      <c r="ARI19" s="15">
        <v>44848</v>
      </c>
      <c r="ARJ19" s="15">
        <v>44851</v>
      </c>
      <c r="ARK19" s="15">
        <v>44852</v>
      </c>
      <c r="ARL19" s="15">
        <v>44853</v>
      </c>
      <c r="ARM19" s="15">
        <v>44854</v>
      </c>
      <c r="ARN19" s="15">
        <v>44855</v>
      </c>
      <c r="ARO19" s="15">
        <v>44858</v>
      </c>
      <c r="ARP19" s="15">
        <v>44859</v>
      </c>
      <c r="ARQ19" s="15">
        <v>44860</v>
      </c>
      <c r="ARR19" s="15">
        <v>44861</v>
      </c>
      <c r="ARS19" s="15">
        <v>44862</v>
      </c>
      <c r="ART19" s="15">
        <v>44865</v>
      </c>
      <c r="ARU19" s="15">
        <v>44866</v>
      </c>
      <c r="ARV19" s="15">
        <v>44867</v>
      </c>
      <c r="ARW19" s="15">
        <v>44868</v>
      </c>
      <c r="ARX19" s="15">
        <v>44869</v>
      </c>
      <c r="ARY19" s="15">
        <v>44872</v>
      </c>
      <c r="ARZ19" s="15">
        <v>44873</v>
      </c>
      <c r="ASA19" s="15">
        <v>44874</v>
      </c>
      <c r="ASB19" s="15">
        <v>44875</v>
      </c>
      <c r="ASC19" s="15">
        <v>44876</v>
      </c>
      <c r="ASD19" s="15">
        <v>44879</v>
      </c>
      <c r="ASE19" s="15">
        <v>44880</v>
      </c>
      <c r="ASF19" s="15">
        <v>44881</v>
      </c>
      <c r="ASG19" s="15">
        <v>44882</v>
      </c>
      <c r="ASH19" s="15">
        <v>44883</v>
      </c>
      <c r="ASI19" s="15">
        <v>44886</v>
      </c>
      <c r="ASJ19" s="15">
        <v>44887</v>
      </c>
      <c r="ASK19" s="15">
        <v>44888</v>
      </c>
      <c r="ASL19" s="15">
        <v>44889</v>
      </c>
      <c r="ASM19" s="15">
        <v>44890</v>
      </c>
      <c r="ASN19" s="15">
        <v>44893</v>
      </c>
      <c r="ASO19" s="15">
        <v>44894</v>
      </c>
      <c r="ASP19" s="15">
        <v>44895</v>
      </c>
      <c r="ASQ19" s="15">
        <v>44896</v>
      </c>
      <c r="ASR19" s="15">
        <v>44897</v>
      </c>
      <c r="ASS19" s="15">
        <v>44900</v>
      </c>
      <c r="AST19" s="15">
        <v>44901</v>
      </c>
      <c r="ASU19" s="15">
        <v>44902</v>
      </c>
      <c r="ASV19" s="15">
        <v>44903</v>
      </c>
      <c r="ASW19" s="15">
        <v>44904</v>
      </c>
      <c r="ASX19" s="15">
        <v>44907</v>
      </c>
      <c r="ASY19" s="15">
        <v>44908</v>
      </c>
      <c r="ASZ19" s="15">
        <v>44909</v>
      </c>
      <c r="ATA19" s="15">
        <v>44910</v>
      </c>
      <c r="ATB19" s="15">
        <v>44911</v>
      </c>
      <c r="ATC19" s="15">
        <v>44914</v>
      </c>
      <c r="ATD19" s="15">
        <v>44915</v>
      </c>
      <c r="ATE19" s="15">
        <v>44916</v>
      </c>
      <c r="ATF19" s="15">
        <v>44917</v>
      </c>
      <c r="ATG19" s="15">
        <v>44918</v>
      </c>
      <c r="ATH19" s="15">
        <v>44922</v>
      </c>
      <c r="ATI19" s="15">
        <v>44923</v>
      </c>
      <c r="ATJ19" s="15">
        <v>44924</v>
      </c>
      <c r="ATK19" s="15">
        <v>44925</v>
      </c>
      <c r="ATL19" s="15">
        <v>44928</v>
      </c>
      <c r="ATM19" s="15">
        <v>44929</v>
      </c>
      <c r="ATN19" s="15">
        <v>44930</v>
      </c>
      <c r="ATO19" s="15">
        <v>44931</v>
      </c>
      <c r="ATP19" s="15">
        <v>44935</v>
      </c>
      <c r="ATQ19" s="15">
        <v>44936</v>
      </c>
      <c r="ATR19" s="15">
        <v>44937</v>
      </c>
      <c r="ATS19" s="15">
        <v>44938</v>
      </c>
      <c r="ATT19" s="15">
        <v>44939</v>
      </c>
      <c r="ATU19" s="15">
        <v>44942</v>
      </c>
      <c r="ATV19" s="15">
        <v>44943</v>
      </c>
      <c r="ATW19" s="15">
        <v>44944</v>
      </c>
      <c r="ATX19" s="15">
        <v>44945</v>
      </c>
      <c r="ATY19" s="15">
        <v>44946</v>
      </c>
      <c r="ATZ19" s="15">
        <v>44949</v>
      </c>
      <c r="AUA19" s="15">
        <v>44950</v>
      </c>
      <c r="AUB19" s="15">
        <v>44951</v>
      </c>
      <c r="AUC19" s="15">
        <v>44952</v>
      </c>
      <c r="AUD19" s="15">
        <v>44953</v>
      </c>
      <c r="AUE19" s="15">
        <v>44956</v>
      </c>
      <c r="AUF19" s="15">
        <v>44957</v>
      </c>
      <c r="AUG19" s="15">
        <v>44958</v>
      </c>
      <c r="AUH19" s="15">
        <v>44959</v>
      </c>
      <c r="AUI19" s="15">
        <v>44960</v>
      </c>
      <c r="AUJ19" s="15">
        <v>44963</v>
      </c>
      <c r="AUK19" s="15">
        <v>44964</v>
      </c>
      <c r="AUL19" s="15">
        <v>44965</v>
      </c>
      <c r="AUM19" s="15">
        <v>44966</v>
      </c>
      <c r="AUN19" s="15">
        <v>44967</v>
      </c>
      <c r="AUO19" s="15">
        <v>44970</v>
      </c>
      <c r="AUP19" s="15">
        <v>44971</v>
      </c>
      <c r="AUQ19" s="15">
        <v>44972</v>
      </c>
      <c r="AUR19" s="15">
        <v>44973</v>
      </c>
      <c r="AUS19" s="15">
        <v>44974</v>
      </c>
      <c r="AUT19" s="15">
        <v>44977</v>
      </c>
      <c r="AUU19" s="15">
        <v>44978</v>
      </c>
      <c r="AUV19" s="15">
        <v>44979</v>
      </c>
      <c r="AUW19" s="15">
        <v>44980</v>
      </c>
      <c r="AUX19" s="15">
        <v>44981</v>
      </c>
      <c r="AUY19" s="15">
        <v>44984</v>
      </c>
      <c r="AUZ19" s="15">
        <v>44985</v>
      </c>
    </row>
    <row r="20" spans="1:1248" x14ac:dyDescent="0.45">
      <c r="A20" s="15">
        <v>43186</v>
      </c>
      <c r="B20">
        <v>82.568466000000001</v>
      </c>
      <c r="C20" t="b">
        <f t="shared" si="0"/>
        <v>1</v>
      </c>
      <c r="E20" s="15">
        <v>43186</v>
      </c>
      <c r="F20">
        <f t="shared" si="1"/>
        <v>82.568466000000001</v>
      </c>
      <c r="G20">
        <v>1108.1999510000001</v>
      </c>
      <c r="I20" s="13">
        <f t="shared" si="2"/>
        <v>-9.7571138646006528E-3</v>
      </c>
      <c r="J20" s="13">
        <f t="shared" si="3"/>
        <v>2.9322238944005097E-3</v>
      </c>
      <c r="L20" s="15">
        <v>43186</v>
      </c>
      <c r="M20">
        <f t="shared" si="4"/>
        <v>98.621484439176783</v>
      </c>
      <c r="N20">
        <f t="shared" si="5"/>
        <v>97.637901096572719</v>
      </c>
      <c r="O20" t="s">
        <v>76</v>
      </c>
      <c r="P20">
        <v>100</v>
      </c>
      <c r="Q20">
        <v>96.881359207750307</v>
      </c>
      <c r="R20">
        <v>97.423737283824039</v>
      </c>
      <c r="S20">
        <v>97.875719212955588</v>
      </c>
      <c r="T20">
        <v>98.508477908502485</v>
      </c>
      <c r="U20">
        <v>99.435021095559691</v>
      </c>
      <c r="V20">
        <v>97.514126264242066</v>
      </c>
      <c r="W20">
        <v>97.740121409280277</v>
      </c>
      <c r="X20">
        <v>96.858750018438883</v>
      </c>
      <c r="Y20">
        <v>99.412431016979355</v>
      </c>
      <c r="Z20">
        <v>98.146904070520051</v>
      </c>
      <c r="AA20">
        <v>97.039555450950857</v>
      </c>
      <c r="AB20">
        <v>97.785312316227191</v>
      </c>
      <c r="AC20">
        <v>100.11299816972945</v>
      </c>
      <c r="AD20">
        <v>100.56497890444031</v>
      </c>
      <c r="AE20">
        <v>98.870069662795331</v>
      </c>
      <c r="AF20">
        <v>98.711882974960332</v>
      </c>
      <c r="AG20">
        <v>99.593226894125777</v>
      </c>
      <c r="AH20">
        <v>98.621484439176783</v>
      </c>
      <c r="AI20">
        <v>97.129944431368855</v>
      </c>
      <c r="AJ20">
        <v>100.33899331476766</v>
      </c>
      <c r="AK20">
        <v>97.484173776505614</v>
      </c>
      <c r="AL20">
        <v>98.961196795202056</v>
      </c>
      <c r="AM20">
        <v>100.59977118482772</v>
      </c>
      <c r="AN20">
        <v>100.96904545302259</v>
      </c>
      <c r="AO20">
        <v>99.815112037556901</v>
      </c>
      <c r="AP20">
        <v>96.768725336332452</v>
      </c>
      <c r="AQ20">
        <v>95.222454583496869</v>
      </c>
      <c r="AR20">
        <v>95.845571915204033</v>
      </c>
      <c r="AS20">
        <v>96.237920002360198</v>
      </c>
      <c r="AT20">
        <v>94.922426855020461</v>
      </c>
      <c r="AU20">
        <v>94.622419431695846</v>
      </c>
      <c r="AV20">
        <v>96.053286451524855</v>
      </c>
      <c r="AW20">
        <v>94.853198231612424</v>
      </c>
      <c r="AX20">
        <v>95.245536763403024</v>
      </c>
      <c r="AY20">
        <v>93.468486016230173</v>
      </c>
      <c r="AZ20">
        <v>93.906962630577823</v>
      </c>
      <c r="BA20">
        <v>94.183915345672233</v>
      </c>
      <c r="BB20">
        <v>92.360708599631934</v>
      </c>
      <c r="BC20">
        <v>94.760895789243065</v>
      </c>
      <c r="BD20">
        <v>95.130142585761973</v>
      </c>
      <c r="BE20">
        <v>95.45324293877897</v>
      </c>
      <c r="BF20">
        <v>99.699709498970989</v>
      </c>
      <c r="BG20">
        <v>100.34590901058432</v>
      </c>
      <c r="BH20">
        <v>101.56908060482363</v>
      </c>
      <c r="BI20">
        <v>100.94596327311645</v>
      </c>
      <c r="BJ20">
        <v>100.9690454530226</v>
      </c>
      <c r="BK20">
        <v>101.03827527085134</v>
      </c>
      <c r="BL20">
        <v>104.5462207663296</v>
      </c>
      <c r="BM20">
        <v>104.03850597320833</v>
      </c>
      <c r="BN20">
        <v>104.68469712387682</v>
      </c>
      <c r="BO20">
        <v>102.05373949529398</v>
      </c>
      <c r="BP20">
        <v>99.030444529341253</v>
      </c>
      <c r="BQ20">
        <v>99.053500431992134</v>
      </c>
      <c r="BR20">
        <v>96.514854801144224</v>
      </c>
      <c r="BS20">
        <v>95.360930941044074</v>
      </c>
      <c r="BT20">
        <v>94.968592409253475</v>
      </c>
      <c r="BU20">
        <v>96.353314180001263</v>
      </c>
      <c r="BV20">
        <v>97.807264574157116</v>
      </c>
      <c r="BW20">
        <v>96.953357692747147</v>
      </c>
      <c r="BX20">
        <v>96.099442450392303</v>
      </c>
      <c r="BY20">
        <v>95.176298584629421</v>
      </c>
      <c r="BZ20">
        <v>94.068521168031197</v>
      </c>
      <c r="CA20">
        <v>95.984048272751252</v>
      </c>
      <c r="CB20">
        <v>95.360930941044074</v>
      </c>
      <c r="CC20">
        <v>94.899354230479858</v>
      </c>
      <c r="CD20">
        <v>95.591709740960624</v>
      </c>
      <c r="CE20">
        <v>96.791799155293774</v>
      </c>
      <c r="CF20">
        <v>96.468698802276748</v>
      </c>
      <c r="CG20">
        <v>96.376378443596991</v>
      </c>
      <c r="CH20">
        <v>94.622419431695832</v>
      </c>
      <c r="CI20">
        <v>94.230071344539681</v>
      </c>
      <c r="CJ20">
        <v>94.807042232744934</v>
      </c>
      <c r="CK20">
        <v>93.145377302268287</v>
      </c>
      <c r="CL20">
        <v>91.252932377454371</v>
      </c>
      <c r="CM20">
        <v>90.837510471336913</v>
      </c>
      <c r="CN20">
        <v>89.72975216546979</v>
      </c>
      <c r="CO20">
        <v>91.160620379719475</v>
      </c>
      <c r="CP20">
        <v>88.852745187843269</v>
      </c>
      <c r="CQ20">
        <v>90.560566117187363</v>
      </c>
      <c r="CR20">
        <v>90.65287811492226</v>
      </c>
      <c r="CS20">
        <v>88.829680924247512</v>
      </c>
      <c r="CT20">
        <v>88.968129810118768</v>
      </c>
      <c r="CU20">
        <v>91.091382200945887</v>
      </c>
      <c r="CV20">
        <v>91.806819891332793</v>
      </c>
      <c r="CW20">
        <v>89.660494875965071</v>
      </c>
      <c r="CX20">
        <v>90.122081141894853</v>
      </c>
      <c r="CY20">
        <v>89.822045052473584</v>
      </c>
      <c r="CZ20">
        <v>89.9374487854802</v>
      </c>
      <c r="DA20">
        <v>91.62218753491814</v>
      </c>
      <c r="DB20">
        <v>92.268396601896995</v>
      </c>
      <c r="DC20">
        <v>92.568414775007867</v>
      </c>
      <c r="DD20">
        <v>96.699496712924372</v>
      </c>
      <c r="DE20">
        <v>95.49939893764639</v>
      </c>
      <c r="DF20">
        <v>95.476315563319531</v>
      </c>
      <c r="DG20">
        <v>94.968592409253418</v>
      </c>
      <c r="DH20">
        <v>97.322604489265984</v>
      </c>
      <c r="DI20">
        <v>92.960753306798466</v>
      </c>
      <c r="DJ20">
        <v>93.999292544623103</v>
      </c>
      <c r="DK20">
        <v>94.876280411518536</v>
      </c>
      <c r="DL20">
        <v>94.160833165766064</v>
      </c>
      <c r="DM20">
        <v>92.753047131422534</v>
      </c>
      <c r="DN20">
        <v>93.468486016230145</v>
      </c>
      <c r="DO20">
        <v>93.468486016230145</v>
      </c>
      <c r="DP20">
        <v>92.660735133687623</v>
      </c>
      <c r="DQ20">
        <v>94.160833165766064</v>
      </c>
      <c r="DR20">
        <v>95.060904406988342</v>
      </c>
      <c r="DS20">
        <v>93.399247837456542</v>
      </c>
      <c r="DT20">
        <v>92.845349573791864</v>
      </c>
      <c r="DU20">
        <v>91.160620379719461</v>
      </c>
      <c r="DV20">
        <v>93.976218725661795</v>
      </c>
      <c r="DW20">
        <v>92.337616864360214</v>
      </c>
      <c r="DX20">
        <v>94.737804053971317</v>
      </c>
      <c r="DY20">
        <v>97.207219866990485</v>
      </c>
      <c r="DZ20">
        <v>100.27668038717623</v>
      </c>
      <c r="EA20">
        <v>100.34590901058428</v>
      </c>
      <c r="EB20">
        <v>100.43823892462959</v>
      </c>
      <c r="EC20">
        <v>100.66900936360128</v>
      </c>
      <c r="ED20">
        <v>103.71539606482571</v>
      </c>
      <c r="EE20">
        <v>105.28474183104332</v>
      </c>
      <c r="EF20">
        <v>103.76155206369317</v>
      </c>
      <c r="EG20">
        <v>103.23074672972089</v>
      </c>
      <c r="EH20">
        <v>103.27690272858834</v>
      </c>
      <c r="EI20">
        <v>101.68447478246459</v>
      </c>
      <c r="EJ20">
        <v>99.607387945870485</v>
      </c>
      <c r="EK20">
        <v>98.5688582634114</v>
      </c>
      <c r="EL20">
        <v>99.284297148219025</v>
      </c>
      <c r="EM20">
        <v>100.39206500945171</v>
      </c>
      <c r="EN20">
        <v>101.13058607416549</v>
      </c>
      <c r="EO20">
        <v>99.492003323594986</v>
      </c>
      <c r="EP20">
        <v>97.876502752930648</v>
      </c>
      <c r="EQ20">
        <v>95.568627561054427</v>
      </c>
      <c r="ER20">
        <v>96.191764003492693</v>
      </c>
      <c r="ES20">
        <v>95.960975648210592</v>
      </c>
      <c r="ET20">
        <v>96.49178098218286</v>
      </c>
      <c r="EU20">
        <v>96.907193332934767</v>
      </c>
      <c r="EV20">
        <v>97.484173776505571</v>
      </c>
      <c r="EW20">
        <v>101.03827527085127</v>
      </c>
      <c r="EX20">
        <v>99.99973603302665</v>
      </c>
      <c r="EY20">
        <v>99.261214968312885</v>
      </c>
      <c r="EZ20">
        <v>98.314979367278298</v>
      </c>
      <c r="FA20">
        <v>98.661170261146296</v>
      </c>
      <c r="FB20">
        <v>100.25358865190449</v>
      </c>
      <c r="FC20">
        <v>97.461082041233865</v>
      </c>
      <c r="FD20">
        <v>95.291701123215276</v>
      </c>
      <c r="FE20">
        <v>94.622419431695789</v>
      </c>
      <c r="FF20">
        <v>94.160833165766036</v>
      </c>
      <c r="FG20">
        <v>92.429938417460633</v>
      </c>
      <c r="FH20">
        <v>92.660735133687609</v>
      </c>
      <c r="FI20">
        <v>93.468486016230131</v>
      </c>
      <c r="FJ20">
        <v>91.091382200945858</v>
      </c>
      <c r="FK20">
        <v>90.860602206608604</v>
      </c>
      <c r="FL20">
        <v>92.891505572659312</v>
      </c>
      <c r="FM20">
        <v>94.299309523313241</v>
      </c>
      <c r="FN20">
        <v>96.399470178868668</v>
      </c>
      <c r="FO20">
        <v>97.414926042366446</v>
      </c>
      <c r="FP20">
        <v>97.137981688216883</v>
      </c>
      <c r="FQ20">
        <v>95.614793115287455</v>
      </c>
      <c r="FR20">
        <v>96.16867226822103</v>
      </c>
      <c r="FS20">
        <v>94.091612903302874</v>
      </c>
      <c r="FT20">
        <v>95.476315563319545</v>
      </c>
      <c r="FU20">
        <v>95.037830588027035</v>
      </c>
      <c r="FV20">
        <v>93.953136545755655</v>
      </c>
      <c r="FW20">
        <v>97.668788216609855</v>
      </c>
      <c r="FX20">
        <v>94.022365169163692</v>
      </c>
      <c r="FY20">
        <v>95.337857122082738</v>
      </c>
      <c r="FZ20">
        <v>96.953357692747105</v>
      </c>
      <c r="GA20">
        <v>94.645492056236421</v>
      </c>
      <c r="GB20">
        <v>93.330009658682926</v>
      </c>
      <c r="GC20">
        <v>99.053500431992077</v>
      </c>
      <c r="GD20">
        <v>106.53099560518875</v>
      </c>
      <c r="GE20">
        <v>112.85454780755421</v>
      </c>
      <c r="GF20">
        <v>111.81600020878473</v>
      </c>
      <c r="GG20">
        <v>110.45435225699825</v>
      </c>
      <c r="GH20">
        <v>110.89284678765631</v>
      </c>
      <c r="GI20">
        <v>109.78507892642362</v>
      </c>
      <c r="GJ20">
        <v>108.46960488981499</v>
      </c>
      <c r="GK20">
        <v>107.36180955690635</v>
      </c>
      <c r="GL20">
        <v>105.5616861851929</v>
      </c>
      <c r="GM20">
        <v>105.70016254274009</v>
      </c>
      <c r="GN20">
        <v>107.9849459993446</v>
      </c>
      <c r="GO20">
        <v>107.6849194652889</v>
      </c>
      <c r="GP20">
        <v>108.44652270990882</v>
      </c>
      <c r="GQ20">
        <v>111.26211150048562</v>
      </c>
      <c r="GR20">
        <v>112.16217438076303</v>
      </c>
      <c r="GS20">
        <v>113.63921651019056</v>
      </c>
      <c r="GT20">
        <v>112.00062420425452</v>
      </c>
      <c r="GU20">
        <v>113.54689495709013</v>
      </c>
      <c r="GV20">
        <v>116.73175921028248</v>
      </c>
      <c r="GW20">
        <v>116.03938458907061</v>
      </c>
      <c r="GX20">
        <v>115.53166143500449</v>
      </c>
      <c r="GY20">
        <v>113.06224562198533</v>
      </c>
      <c r="GZ20">
        <v>115.30087307972238</v>
      </c>
      <c r="HA20">
        <v>112.50834735832065</v>
      </c>
      <c r="HB20">
        <v>113.91614175360903</v>
      </c>
      <c r="HC20">
        <v>116.40864094095505</v>
      </c>
      <c r="HD20">
        <v>121.85520527642507</v>
      </c>
      <c r="HE20">
        <v>121.16284021057874</v>
      </c>
      <c r="HF20">
        <v>120.3320167034956</v>
      </c>
      <c r="HG20">
        <v>118.3934062244487</v>
      </c>
      <c r="HH20">
        <v>116.17785258567292</v>
      </c>
      <c r="HI20">
        <v>114.67775455359448</v>
      </c>
      <c r="HJ20">
        <v>115.62396387737381</v>
      </c>
      <c r="HK20">
        <v>112.73913571360274</v>
      </c>
      <c r="HL20">
        <v>113.56996877605141</v>
      </c>
      <c r="HM20">
        <v>115.80860578915404</v>
      </c>
      <c r="HN20">
        <v>114.170013483218</v>
      </c>
      <c r="HO20">
        <v>114.30848028539964</v>
      </c>
      <c r="HP20">
        <v>114.05461930557692</v>
      </c>
      <c r="HQ20">
        <v>115.43934943726958</v>
      </c>
      <c r="HR20">
        <v>118.0241594279298</v>
      </c>
      <c r="HS20">
        <v>116.77789609841882</v>
      </c>
      <c r="HT20">
        <v>116.45480530076738</v>
      </c>
      <c r="HU20">
        <v>115.80860578915406</v>
      </c>
      <c r="HV20">
        <v>117.1471524503033</v>
      </c>
      <c r="HW20">
        <v>116.63942929623718</v>
      </c>
      <c r="HX20">
        <v>117.10101556216695</v>
      </c>
      <c r="HY20">
        <v>119.68581599746162</v>
      </c>
      <c r="HZ20">
        <v>121.07051865747832</v>
      </c>
      <c r="IA20">
        <v>119.5473396399144</v>
      </c>
      <c r="IB20">
        <v>118.62420413509639</v>
      </c>
      <c r="IC20">
        <v>120.51664905991029</v>
      </c>
      <c r="ID20">
        <v>119.59348608341631</v>
      </c>
      <c r="IE20">
        <v>117.93182951388452</v>
      </c>
      <c r="IF20">
        <v>123.79381456105128</v>
      </c>
      <c r="IG20">
        <v>124.94773842115141</v>
      </c>
      <c r="IH20">
        <v>124.16306255199089</v>
      </c>
      <c r="II20">
        <v>125.54778312831797</v>
      </c>
      <c r="IJ20">
        <v>123.10144949520495</v>
      </c>
      <c r="IK20">
        <v>123.05529349633751</v>
      </c>
      <c r="IL20">
        <v>122.59371678577331</v>
      </c>
      <c r="IM20">
        <v>116.73175921028248</v>
      </c>
      <c r="IN20">
        <v>118.57803858086339</v>
      </c>
      <c r="IO20">
        <v>124.25538291067066</v>
      </c>
      <c r="IP20">
        <v>126.84018334596536</v>
      </c>
      <c r="IQ20">
        <v>127.80950232132678</v>
      </c>
      <c r="IR20">
        <v>128.77879382501223</v>
      </c>
      <c r="IS20">
        <v>127.85565832019421</v>
      </c>
      <c r="IT20">
        <v>127.20944925321533</v>
      </c>
      <c r="IU20">
        <v>127.67102596377953</v>
      </c>
      <c r="IV20">
        <v>126.47093654944641</v>
      </c>
      <c r="IW20">
        <v>127.07099081197852</v>
      </c>
      <c r="IX20">
        <v>126.24014819416431</v>
      </c>
      <c r="IY20">
        <v>126.24014819416431</v>
      </c>
      <c r="IZ20">
        <v>127.39408160962999</v>
      </c>
      <c r="JA20">
        <v>126.24014819416432</v>
      </c>
      <c r="JB20">
        <v>126.00935147793736</v>
      </c>
      <c r="JC20">
        <v>124.57849162463252</v>
      </c>
      <c r="JD20">
        <v>125.04005041888631</v>
      </c>
      <c r="JE20">
        <v>124.02459455538853</v>
      </c>
      <c r="JF20">
        <v>123.10144949520496</v>
      </c>
      <c r="JG20">
        <v>123.0091291365252</v>
      </c>
      <c r="JH20">
        <v>120.8858958564292</v>
      </c>
      <c r="JI20">
        <v>123.05529349633753</v>
      </c>
      <c r="JJ20">
        <v>126.37861619076665</v>
      </c>
      <c r="JK20">
        <v>127.994116761431</v>
      </c>
      <c r="JL20">
        <v>128.77879382501223</v>
      </c>
      <c r="JM20">
        <v>129.24036098021091</v>
      </c>
      <c r="JN20">
        <v>131.13281546039036</v>
      </c>
      <c r="JO20">
        <v>130.90202710510823</v>
      </c>
      <c r="JP20">
        <v>131.22511790275971</v>
      </c>
      <c r="JQ20">
        <v>130.16351559576003</v>
      </c>
      <c r="JR20">
        <v>125.08621597311932</v>
      </c>
      <c r="JS20">
        <v>123.79381456105129</v>
      </c>
      <c r="JT20">
        <v>125.54778312831799</v>
      </c>
      <c r="JU20">
        <v>127.11713725548043</v>
      </c>
      <c r="JV20">
        <v>127.90179640275124</v>
      </c>
      <c r="JW20">
        <v>129.24036098021091</v>
      </c>
      <c r="JX20">
        <v>133.80992789341994</v>
      </c>
      <c r="JY20">
        <v>133.62531345331567</v>
      </c>
      <c r="JZ20">
        <v>137.36404730407605</v>
      </c>
      <c r="KA20">
        <v>137.27991947693454</v>
      </c>
      <c r="KB20">
        <v>138.16799873439189</v>
      </c>
      <c r="KC20">
        <v>138.86912129276456</v>
      </c>
      <c r="KD20">
        <v>138.68216459367991</v>
      </c>
      <c r="KE20">
        <v>139.05608635279404</v>
      </c>
      <c r="KF20">
        <v>138.77564234601189</v>
      </c>
      <c r="KG20">
        <v>138.82238122217785</v>
      </c>
      <c r="KH20">
        <v>140.27136640950991</v>
      </c>
      <c r="KI20">
        <v>141.06597508115942</v>
      </c>
      <c r="KJ20">
        <v>141.01923620499343</v>
      </c>
      <c r="KK20">
        <v>141.34642864330715</v>
      </c>
      <c r="KL20">
        <v>142.7486737600525</v>
      </c>
      <c r="KM20">
        <v>143.16934275627747</v>
      </c>
      <c r="KN20">
        <v>142.28126469324084</v>
      </c>
      <c r="KO20">
        <v>141.53339370333663</v>
      </c>
      <c r="KP20">
        <v>140.69204496110044</v>
      </c>
      <c r="KQ20">
        <v>137.79406741991218</v>
      </c>
      <c r="KR20">
        <v>137.7005705568491</v>
      </c>
      <c r="KS20">
        <v>135.73744817632567</v>
      </c>
      <c r="KT20">
        <v>137.46686662065363</v>
      </c>
      <c r="KU20">
        <v>136.62553579472785</v>
      </c>
      <c r="KV20">
        <v>131.48396439455806</v>
      </c>
      <c r="KW20">
        <v>133.21339239425157</v>
      </c>
      <c r="KX20">
        <v>127.18373337567959</v>
      </c>
      <c r="KY20">
        <v>130.64261565232189</v>
      </c>
      <c r="KZ20">
        <v>128.81968242862047</v>
      </c>
      <c r="LA20">
        <v>130.64261565232189</v>
      </c>
      <c r="LB20">
        <v>126.10867950282723</v>
      </c>
      <c r="LC20">
        <v>131.06329420391242</v>
      </c>
      <c r="LD20">
        <v>133.07317457133297</v>
      </c>
      <c r="LE20">
        <v>128.30554404100837</v>
      </c>
      <c r="LF20">
        <v>129.28710105079765</v>
      </c>
      <c r="LG20">
        <v>129.52080498699311</v>
      </c>
      <c r="LH20">
        <v>133.68081937737361</v>
      </c>
      <c r="LI20">
        <v>128.07183054944727</v>
      </c>
      <c r="LJ20">
        <v>127.32395955954304</v>
      </c>
      <c r="LK20">
        <v>127.32395955954304</v>
      </c>
      <c r="LL20">
        <v>128.16531666272411</v>
      </c>
      <c r="LM20">
        <v>130.92305965910398</v>
      </c>
      <c r="LN20">
        <v>131.90463458520367</v>
      </c>
      <c r="LO20">
        <v>132.65249601974233</v>
      </c>
      <c r="LP20">
        <v>132.97968726363536</v>
      </c>
      <c r="LQ20">
        <v>134.84935100255791</v>
      </c>
      <c r="LR20">
        <v>133.91452331356905</v>
      </c>
      <c r="LS20">
        <v>138.40171222595285</v>
      </c>
      <c r="LT20">
        <v>137.65384123604863</v>
      </c>
      <c r="LU20">
        <v>139.05608635279401</v>
      </c>
      <c r="LV20">
        <v>137.65384123604863</v>
      </c>
      <c r="LW20">
        <v>134.1949673203512</v>
      </c>
      <c r="LX20">
        <v>132.51226983587884</v>
      </c>
      <c r="LY20">
        <v>138.30822491825535</v>
      </c>
      <c r="LZ20">
        <v>138.30822491825535</v>
      </c>
      <c r="MA20">
        <v>138.35496379442134</v>
      </c>
      <c r="MB20">
        <v>138.91586852987538</v>
      </c>
      <c r="MC20">
        <v>136.11137829638466</v>
      </c>
      <c r="MD20">
        <v>138.35496379442137</v>
      </c>
      <c r="ME20">
        <v>137.09295441690506</v>
      </c>
      <c r="MF20">
        <v>138.26148604208939</v>
      </c>
      <c r="MG20">
        <v>138.82238122217788</v>
      </c>
      <c r="MH20">
        <v>136.11137829638466</v>
      </c>
      <c r="MI20">
        <v>137.18642261387146</v>
      </c>
      <c r="MJ20">
        <v>137.56036348371671</v>
      </c>
      <c r="MK20">
        <v>137.23316149003747</v>
      </c>
      <c r="ML20">
        <v>137.42012774448767</v>
      </c>
      <c r="MM20">
        <v>138.26148604208939</v>
      </c>
      <c r="MN20">
        <v>137.04621434631838</v>
      </c>
      <c r="MO20">
        <v>139.28979984435509</v>
      </c>
      <c r="MP20">
        <v>137.6071023598827</v>
      </c>
      <c r="MQ20">
        <v>138.35496379442139</v>
      </c>
      <c r="MR20">
        <v>137.65384123604869</v>
      </c>
      <c r="MS20">
        <v>137.88754517224419</v>
      </c>
      <c r="MT20">
        <v>129.00665704401547</v>
      </c>
      <c r="MU20">
        <v>129.66104072622215</v>
      </c>
      <c r="MV20">
        <v>132.27855634431785</v>
      </c>
      <c r="MW20">
        <v>128.91316973631794</v>
      </c>
      <c r="MX20">
        <v>126.99677667659492</v>
      </c>
      <c r="MY20">
        <v>128.58598685336977</v>
      </c>
      <c r="MZ20">
        <v>129.94148353858361</v>
      </c>
      <c r="NA20">
        <v>128.30554404100832</v>
      </c>
      <c r="NB20">
        <v>125.12712249303792</v>
      </c>
      <c r="NC20">
        <v>123.86508564384565</v>
      </c>
      <c r="ND20">
        <v>123.53789439995263</v>
      </c>
      <c r="NE20">
        <v>118.02239168530313</v>
      </c>
      <c r="NF20">
        <v>118.11587899300065</v>
      </c>
      <c r="NG20">
        <v>118.86374998290488</v>
      </c>
      <c r="NH20">
        <v>120.31273397581623</v>
      </c>
      <c r="NI20">
        <v>124.51946932605232</v>
      </c>
      <c r="NJ20">
        <v>124.51946932605232</v>
      </c>
      <c r="NK20">
        <v>125.36082762365407</v>
      </c>
      <c r="NL20">
        <v>125.17386136920389</v>
      </c>
      <c r="NM20">
        <v>123.53789439995263</v>
      </c>
      <c r="NN20">
        <v>121.4345267248346</v>
      </c>
      <c r="NO20">
        <v>113.88577002420917</v>
      </c>
      <c r="NP20">
        <v>116.50329400324972</v>
      </c>
      <c r="NQ20">
        <v>116.36307737475178</v>
      </c>
      <c r="NR20">
        <v>115.14778776267035</v>
      </c>
      <c r="NS20">
        <v>116.76037275242133</v>
      </c>
      <c r="NT20">
        <v>116.94734736781639</v>
      </c>
      <c r="NU20">
        <v>118.16262742453226</v>
      </c>
      <c r="NV20">
        <v>122.46285008246588</v>
      </c>
      <c r="NW20">
        <v>124.3325030716022</v>
      </c>
      <c r="NX20">
        <v>129.0066570440155</v>
      </c>
      <c r="NY20">
        <v>129.38058835849517</v>
      </c>
      <c r="NZ20">
        <v>129.42733559560602</v>
      </c>
      <c r="OA20">
        <v>127.60441192727012</v>
      </c>
      <c r="OB20">
        <v>127.55767305110413</v>
      </c>
      <c r="OC20">
        <v>129.8947542177832</v>
      </c>
      <c r="OD20">
        <v>131.85787659830666</v>
      </c>
      <c r="OE20">
        <v>128.91316973631797</v>
      </c>
      <c r="OF20">
        <v>126.57609812500442</v>
      </c>
      <c r="OG20">
        <v>129.10014435171303</v>
      </c>
      <c r="OH20">
        <v>128.25879560947683</v>
      </c>
      <c r="OI20">
        <v>128.16531666272419</v>
      </c>
      <c r="OJ20">
        <v>127.37070799107468</v>
      </c>
      <c r="OK20">
        <v>124.28576419543623</v>
      </c>
      <c r="OL20">
        <v>123.91182452001168</v>
      </c>
      <c r="OM20">
        <v>120.78014304262796</v>
      </c>
      <c r="ON20">
        <v>121.48126560100064</v>
      </c>
      <c r="OO20">
        <v>122.93025914927753</v>
      </c>
      <c r="OP20">
        <v>123.07048533314105</v>
      </c>
      <c r="OQ20">
        <v>121.29429934655046</v>
      </c>
      <c r="OR20">
        <v>122.36936277476836</v>
      </c>
      <c r="OS20">
        <v>122.46285008246589</v>
      </c>
      <c r="OT20">
        <v>126.06194062666128</v>
      </c>
      <c r="OU20">
        <v>126.34239299438829</v>
      </c>
      <c r="OV20">
        <v>126.20215725515924</v>
      </c>
      <c r="OW20">
        <v>122.46285008246588</v>
      </c>
      <c r="OX20">
        <v>123.72485945998217</v>
      </c>
      <c r="OY20">
        <v>123.16397264083854</v>
      </c>
      <c r="OZ20">
        <v>125.96846287432928</v>
      </c>
      <c r="PA20">
        <v>125.40756649982009</v>
      </c>
      <c r="PB20">
        <v>126.85654093736591</v>
      </c>
      <c r="PC20">
        <v>126.01519219512971</v>
      </c>
      <c r="PD20">
        <v>127.7913769872996</v>
      </c>
      <c r="PE20">
        <v>129.100144351713</v>
      </c>
      <c r="PF20">
        <v>126.43586238577535</v>
      </c>
      <c r="PG20">
        <v>128.53924797720379</v>
      </c>
      <c r="PH20">
        <v>127.79137698729957</v>
      </c>
      <c r="PI20">
        <v>130.78284183618536</v>
      </c>
      <c r="PJ20">
        <v>131.15676359529948</v>
      </c>
      <c r="PK20">
        <v>128.30554404100832</v>
      </c>
      <c r="PL20">
        <v>126.85654093736586</v>
      </c>
      <c r="PM20">
        <v>140.78553226879797</v>
      </c>
      <c r="PN20">
        <v>145.92709411360227</v>
      </c>
      <c r="PO20">
        <v>146.58147779580895</v>
      </c>
      <c r="PP20">
        <v>146.76844285583846</v>
      </c>
      <c r="PQ20">
        <v>148.49788041089752</v>
      </c>
      <c r="PR20">
        <v>149.57293308932921</v>
      </c>
      <c r="PS20">
        <v>151.11541394530363</v>
      </c>
      <c r="PT20">
        <v>148.96530739401959</v>
      </c>
      <c r="PU20">
        <v>149.47945533699723</v>
      </c>
      <c r="PV20">
        <v>149.61966360455034</v>
      </c>
      <c r="PW20">
        <v>148.03047134408587</v>
      </c>
      <c r="PX20">
        <v>147.93698403638837</v>
      </c>
      <c r="PY20">
        <v>149.61966360455034</v>
      </c>
      <c r="PZ20">
        <v>151.39584839672025</v>
      </c>
      <c r="QA20">
        <v>150.88170045374261</v>
      </c>
      <c r="QB20">
        <v>152.05024043987183</v>
      </c>
      <c r="QC20">
        <v>150.83496993852148</v>
      </c>
      <c r="QD20">
        <v>153.77967799493084</v>
      </c>
      <c r="QE20">
        <v>152.28396348679837</v>
      </c>
      <c r="QF20">
        <v>153.40572876414078</v>
      </c>
      <c r="QG20">
        <v>154.20033863021098</v>
      </c>
      <c r="QH20">
        <v>156.25698534547345</v>
      </c>
      <c r="QI20">
        <v>154.94821798106005</v>
      </c>
      <c r="QJ20">
        <v>153.59272129584625</v>
      </c>
      <c r="QK20">
        <v>154.71449612855417</v>
      </c>
      <c r="QL20">
        <v>159.43540569902319</v>
      </c>
      <c r="QM20">
        <v>159.15493541498574</v>
      </c>
      <c r="QN20">
        <v>161.0246254311636</v>
      </c>
      <c r="QO20">
        <v>161.39853882933286</v>
      </c>
      <c r="QP20">
        <v>159.57561396657624</v>
      </c>
      <c r="QQ20">
        <v>158.45382241197859</v>
      </c>
      <c r="QR20">
        <v>156.25698534547342</v>
      </c>
      <c r="QS20">
        <v>157.51900427835528</v>
      </c>
      <c r="QT20">
        <v>159.57561396657624</v>
      </c>
      <c r="QU20">
        <v>157.33204757927066</v>
      </c>
      <c r="QV20">
        <v>154.106860877879</v>
      </c>
      <c r="QW20">
        <v>151.58282301211528</v>
      </c>
      <c r="QX20">
        <v>149.4794553369972</v>
      </c>
      <c r="QY20">
        <v>150.83496993852143</v>
      </c>
      <c r="QZ20">
        <v>149.94688232011924</v>
      </c>
      <c r="RA20">
        <v>148.87181053095648</v>
      </c>
      <c r="RB20">
        <v>148.35765422703398</v>
      </c>
      <c r="RC20">
        <v>147.84350508963564</v>
      </c>
      <c r="RD20">
        <v>151.30237064438822</v>
      </c>
      <c r="RE20">
        <v>153.03179744966104</v>
      </c>
      <c r="RF20">
        <v>154.71449612855409</v>
      </c>
      <c r="RG20">
        <v>154.80797388088607</v>
      </c>
      <c r="RH20">
        <v>155.36889772707119</v>
      </c>
      <c r="RI20">
        <v>155.88303611468328</v>
      </c>
      <c r="RJ20">
        <v>153.77967799493078</v>
      </c>
      <c r="RK20">
        <v>156.5841682284215</v>
      </c>
      <c r="RL20">
        <v>153.91990417879427</v>
      </c>
      <c r="RM20">
        <v>155.60260166326665</v>
      </c>
      <c r="RN20">
        <v>161.02462543116349</v>
      </c>
      <c r="RO20">
        <v>156.11675916160985</v>
      </c>
      <c r="RP20">
        <v>157.23855191062816</v>
      </c>
      <c r="RQ20">
        <v>156.8646385124589</v>
      </c>
      <c r="RR20">
        <v>160.32349451184592</v>
      </c>
      <c r="RS20">
        <v>168.69023469709697</v>
      </c>
      <c r="RT20">
        <v>168.87720931249203</v>
      </c>
      <c r="RU20">
        <v>167.4281978479047</v>
      </c>
      <c r="RV20">
        <v>165.46506591201572</v>
      </c>
      <c r="RW20">
        <v>167.89560691471638</v>
      </c>
      <c r="RX20">
        <v>163.87584617987531</v>
      </c>
      <c r="RY20">
        <v>161.81921738092325</v>
      </c>
      <c r="RZ20">
        <v>162.75405343085697</v>
      </c>
      <c r="SA20">
        <v>163.03452490931508</v>
      </c>
      <c r="SB20">
        <v>162.28664436404532</v>
      </c>
      <c r="SC20">
        <v>166.493361797971</v>
      </c>
      <c r="SD20">
        <v>167.61519037961017</v>
      </c>
      <c r="SE20">
        <v>168.45653076090153</v>
      </c>
      <c r="SF20">
        <v>160.79092149496802</v>
      </c>
      <c r="SG20">
        <v>157.75270821455069</v>
      </c>
      <c r="SH20">
        <v>158.54730016431049</v>
      </c>
      <c r="SI20">
        <v>154.15360811498974</v>
      </c>
      <c r="SJ20">
        <v>151.76980598845509</v>
      </c>
      <c r="SK20">
        <v>153.54595494800418</v>
      </c>
      <c r="SL20">
        <v>161.49203449797511</v>
      </c>
      <c r="SM20">
        <v>164.10955011607078</v>
      </c>
      <c r="SN20">
        <v>163.78234931681226</v>
      </c>
      <c r="SO20">
        <v>157.98639423443575</v>
      </c>
      <c r="SP20">
        <v>148.9653073940195</v>
      </c>
      <c r="SQ20">
        <v>147.14237417031808</v>
      </c>
      <c r="SR20">
        <v>141.4399063956391</v>
      </c>
      <c r="SS20">
        <v>128.35227336180876</v>
      </c>
      <c r="ST20">
        <v>129.8947542177832</v>
      </c>
      <c r="SU20">
        <v>124.79992169377937</v>
      </c>
      <c r="SV20">
        <v>125.36082762365409</v>
      </c>
      <c r="SW20">
        <v>115.17115302028088</v>
      </c>
      <c r="SX20">
        <v>113.58194284350603</v>
      </c>
      <c r="SY20">
        <v>121.24756047038441</v>
      </c>
      <c r="SZ20">
        <v>111.82914122525709</v>
      </c>
      <c r="TA20">
        <v>124.42599037929968</v>
      </c>
      <c r="TB20">
        <v>131.43723507375759</v>
      </c>
      <c r="TC20">
        <v>130.50238946845832</v>
      </c>
      <c r="TD20">
        <v>128.30554404100829</v>
      </c>
      <c r="TE20">
        <v>127.27722068337705</v>
      </c>
      <c r="TF20">
        <v>129.14687367251338</v>
      </c>
      <c r="TG20">
        <v>126.99677667659491</v>
      </c>
      <c r="TH20">
        <v>130.08171927781265</v>
      </c>
      <c r="TI20">
        <v>134.47541968807823</v>
      </c>
      <c r="TJ20">
        <v>131.34373821069451</v>
      </c>
      <c r="TK20">
        <v>138.77564234601186</v>
      </c>
      <c r="TL20">
        <v>137.47996105471887</v>
      </c>
      <c r="TM20">
        <v>143.35435852173478</v>
      </c>
      <c r="TN20">
        <v>136.5324677286938</v>
      </c>
      <c r="TO20">
        <v>135.01649584559581</v>
      </c>
      <c r="TP20">
        <v>139.42229812633019</v>
      </c>
      <c r="TQ20">
        <v>139.32754473269733</v>
      </c>
      <c r="TR20">
        <v>134.82698786390941</v>
      </c>
      <c r="TS20">
        <v>135.01649584559584</v>
      </c>
      <c r="TT20">
        <v>137.57470608740692</v>
      </c>
      <c r="TU20">
        <v>132.97940538035169</v>
      </c>
      <c r="TV20">
        <v>134.59013065708254</v>
      </c>
      <c r="TW20">
        <v>141.22251346843711</v>
      </c>
      <c r="TX20">
        <v>140.84352497674024</v>
      </c>
      <c r="TY20">
        <v>138.85380284736763</v>
      </c>
      <c r="TZ20">
        <v>136.0587258433641</v>
      </c>
      <c r="UA20">
        <v>141.22251346843711</v>
      </c>
      <c r="UB20">
        <v>136.62721276138186</v>
      </c>
      <c r="UC20">
        <v>140.6066498536029</v>
      </c>
      <c r="UD20">
        <v>144.01759047244062</v>
      </c>
      <c r="UE20">
        <v>147.28641891713943</v>
      </c>
      <c r="UF20">
        <v>145.95993709941749</v>
      </c>
      <c r="UG20">
        <v>140.41715142728202</v>
      </c>
      <c r="UH20">
        <v>144.01759047244062</v>
      </c>
      <c r="UI20">
        <v>148.7550129090003</v>
      </c>
      <c r="UJ20">
        <v>148.37601605635854</v>
      </c>
      <c r="UK20">
        <v>149.51299944775965</v>
      </c>
      <c r="UL20">
        <v>155.67165829009485</v>
      </c>
      <c r="UM20">
        <v>159.60369957476837</v>
      </c>
      <c r="UN20">
        <v>154.91366339039067</v>
      </c>
      <c r="UO20">
        <v>158.13511394385236</v>
      </c>
      <c r="UP20">
        <v>161.97241975120343</v>
      </c>
      <c r="UQ20">
        <v>164.38850826351003</v>
      </c>
      <c r="UR20">
        <v>166.70984338218378</v>
      </c>
      <c r="US20">
        <v>166.18874152192731</v>
      </c>
      <c r="UT20">
        <v>166.94673761605222</v>
      </c>
      <c r="UU20">
        <v>170.54716710584526</v>
      </c>
      <c r="UV20">
        <v>166.47296706462578</v>
      </c>
      <c r="UW20">
        <v>157.9929742980375</v>
      </c>
      <c r="UX20">
        <v>156.95077177194523</v>
      </c>
      <c r="UY20">
        <v>158.79835544992369</v>
      </c>
      <c r="UZ20">
        <v>160.74069252153498</v>
      </c>
      <c r="VA20">
        <v>161.21442485149919</v>
      </c>
      <c r="VB20">
        <v>157.23499731464369</v>
      </c>
      <c r="VC20">
        <v>159.46157784526389</v>
      </c>
      <c r="VD20">
        <v>162.20931398507179</v>
      </c>
      <c r="VE20">
        <v>159.65108582695029</v>
      </c>
      <c r="VF20">
        <v>156.61914206075431</v>
      </c>
      <c r="VG20">
        <v>157.28236565051523</v>
      </c>
      <c r="VH20">
        <v>157.51924077365254</v>
      </c>
      <c r="VI20">
        <v>159.98269762183071</v>
      </c>
      <c r="VJ20">
        <v>165.57286835172744</v>
      </c>
      <c r="VK20">
        <v>168.51005872429053</v>
      </c>
      <c r="VL20">
        <v>167.0888402348254</v>
      </c>
      <c r="VM20">
        <v>168.13107859353849</v>
      </c>
      <c r="VN20">
        <v>169.93129393564539</v>
      </c>
      <c r="VO20">
        <v>174.19496612593042</v>
      </c>
      <c r="VP20">
        <v>177.51117126744572</v>
      </c>
      <c r="VQ20">
        <v>175.85305973853289</v>
      </c>
      <c r="VR20">
        <v>179.78511893951679</v>
      </c>
      <c r="VS20">
        <v>174.62133131444378</v>
      </c>
      <c r="VT20">
        <v>185.56476181847916</v>
      </c>
      <c r="VU20">
        <v>186.9859982242547</v>
      </c>
      <c r="VV20">
        <v>189.54419054975537</v>
      </c>
      <c r="VW20">
        <v>195.37125551352051</v>
      </c>
      <c r="VX20">
        <v>200.48764016452182</v>
      </c>
      <c r="VY20">
        <v>201.15089839248284</v>
      </c>
      <c r="VZ20">
        <v>204.8934699169321</v>
      </c>
      <c r="WA20">
        <v>200.86665493347394</v>
      </c>
      <c r="WB20">
        <v>199.91917116281445</v>
      </c>
      <c r="WC20">
        <v>197.17145293931696</v>
      </c>
      <c r="WD20">
        <v>191.24968833085015</v>
      </c>
      <c r="WE20">
        <v>193.5710222551032</v>
      </c>
      <c r="WF20">
        <v>192.29192668956324</v>
      </c>
      <c r="WG20">
        <v>197.36096092100337</v>
      </c>
      <c r="WH20">
        <v>195.89235737377697</v>
      </c>
      <c r="WI20">
        <v>199.54015519944156</v>
      </c>
      <c r="WJ20">
        <v>198.97168619773421</v>
      </c>
      <c r="WK20">
        <v>202.85636034095683</v>
      </c>
      <c r="WL20">
        <v>200.6297798103366</v>
      </c>
      <c r="WM20">
        <v>219.57945283468564</v>
      </c>
      <c r="WN20">
        <v>217.40024063993704</v>
      </c>
      <c r="WO20">
        <v>221.04805638191209</v>
      </c>
      <c r="WP20">
        <v>220.005818023199</v>
      </c>
      <c r="WQ20">
        <v>221.1901601951061</v>
      </c>
      <c r="WR20">
        <v>219.34257651712767</v>
      </c>
      <c r="WS20">
        <v>219.5321036095452</v>
      </c>
      <c r="WT20">
        <v>217.30548605188349</v>
      </c>
      <c r="WU20">
        <v>220.14795766901383</v>
      </c>
      <c r="WV20">
        <v>225.64335708896735</v>
      </c>
      <c r="WW20">
        <v>224.36426152342733</v>
      </c>
      <c r="WX20">
        <v>227.82257047813661</v>
      </c>
      <c r="WY20">
        <v>223.51153114640064</v>
      </c>
      <c r="WZ20">
        <v>223.27465482884264</v>
      </c>
      <c r="XA20">
        <v>224.6484870661258</v>
      </c>
      <c r="XB20">
        <v>222.1850493286787</v>
      </c>
      <c r="XC20">
        <v>231.32826449060721</v>
      </c>
      <c r="XD20">
        <v>229.38590950268548</v>
      </c>
      <c r="XE20">
        <v>219.01096591666789</v>
      </c>
      <c r="XF20">
        <v>226.21186311771621</v>
      </c>
      <c r="XG20">
        <v>217.87400999694279</v>
      </c>
      <c r="XH20">
        <v>226.21186311771621</v>
      </c>
      <c r="XI20">
        <v>222.99039345352338</v>
      </c>
      <c r="XJ20">
        <v>222.99039345352338</v>
      </c>
      <c r="XK20">
        <v>223.60626662372314</v>
      </c>
      <c r="XL20">
        <v>224.98013469362709</v>
      </c>
      <c r="XM20">
        <v>229.29117402536306</v>
      </c>
      <c r="XN20">
        <v>230.71241043113855</v>
      </c>
      <c r="XO20">
        <v>231.23352901328474</v>
      </c>
      <c r="XP20">
        <v>228.58056537784083</v>
      </c>
      <c r="XQ20">
        <v>227.1119618306144</v>
      </c>
      <c r="XR20">
        <v>229.29117402536303</v>
      </c>
      <c r="XS20">
        <v>226.8750855130564</v>
      </c>
      <c r="XT20">
        <v>226.63822830622951</v>
      </c>
      <c r="XU20">
        <v>230.85453216064295</v>
      </c>
      <c r="XV20">
        <v>234.26547277948066</v>
      </c>
      <c r="XW20">
        <v>243.97717605384764</v>
      </c>
      <c r="XX20">
        <v>248.71459849040727</v>
      </c>
      <c r="XY20">
        <v>248.59617048420421</v>
      </c>
      <c r="XZ20">
        <v>254.75482932653941</v>
      </c>
      <c r="YA20">
        <v>251.79392850878526</v>
      </c>
      <c r="YB20">
        <v>259.96596617675289</v>
      </c>
      <c r="YC20">
        <v>262.57154475443554</v>
      </c>
      <c r="YD20">
        <v>258.18944455794735</v>
      </c>
      <c r="YE20">
        <v>267.90114783231434</v>
      </c>
      <c r="YF20">
        <v>267.66429062548747</v>
      </c>
      <c r="YG20">
        <v>274.2966817977869</v>
      </c>
      <c r="YH20">
        <v>267.66429062548747</v>
      </c>
      <c r="YI20">
        <v>268.3748992730097</v>
      </c>
      <c r="YJ20">
        <v>265.88774989595089</v>
      </c>
      <c r="YK20">
        <v>264.82183692466754</v>
      </c>
      <c r="YL20">
        <v>257.71571103356251</v>
      </c>
      <c r="YM20">
        <v>250.84644354370511</v>
      </c>
      <c r="YN20">
        <v>251.55705219122734</v>
      </c>
      <c r="YO20">
        <v>243.97717605384773</v>
      </c>
      <c r="YP20">
        <v>246.34587831397235</v>
      </c>
      <c r="YQ20">
        <v>241.13474026933818</v>
      </c>
      <c r="YR20">
        <v>259.49223384678879</v>
      </c>
      <c r="YS20">
        <v>258.42630176477434</v>
      </c>
      <c r="YT20">
        <v>253.80732644514885</v>
      </c>
      <c r="YU20">
        <v>263.87433404327692</v>
      </c>
      <c r="YV20">
        <v>254.63638220960524</v>
      </c>
      <c r="YW20">
        <v>272.99387459263517</v>
      </c>
      <c r="YX20">
        <v>272.75701738580824</v>
      </c>
      <c r="YY20">
        <v>265.1771412484286</v>
      </c>
      <c r="YZ20">
        <v>268.61175647983652</v>
      </c>
      <c r="ZA20">
        <v>278.91565831183294</v>
      </c>
      <c r="ZB20">
        <v>280.81062704757267</v>
      </c>
      <c r="ZC20">
        <v>277.73129702919471</v>
      </c>
      <c r="ZD20">
        <v>273.82293035709142</v>
      </c>
      <c r="ZE20">
        <v>273.94137747402561</v>
      </c>
      <c r="ZF20">
        <v>275.95475749407871</v>
      </c>
      <c r="ZG20">
        <v>282.3502735432408</v>
      </c>
      <c r="ZH20">
        <v>294.19382187090554</v>
      </c>
      <c r="ZI20">
        <v>290.87763464570065</v>
      </c>
      <c r="ZJ20">
        <v>282.3502735432408</v>
      </c>
      <c r="ZK20">
        <v>282.70559578331228</v>
      </c>
      <c r="ZL20">
        <v>281.4028076888917</v>
      </c>
      <c r="ZM20">
        <v>292.29888896778658</v>
      </c>
      <c r="ZN20">
        <v>302.12902024835665</v>
      </c>
      <c r="ZO20">
        <v>294.43071491035323</v>
      </c>
      <c r="ZP20">
        <v>294.19382187090554</v>
      </c>
      <c r="ZQ20">
        <v>283.17934722400764</v>
      </c>
      <c r="ZR20">
        <v>287.08769597980051</v>
      </c>
      <c r="ZS20">
        <v>293.6016591458968</v>
      </c>
      <c r="ZT20">
        <v>293.72010626283105</v>
      </c>
      <c r="ZU20">
        <v>294.54914411097707</v>
      </c>
      <c r="ZV20">
        <v>289.69329247379358</v>
      </c>
      <c r="ZW20">
        <v>296.44411284671679</v>
      </c>
      <c r="ZX20">
        <v>300.47090871944386</v>
      </c>
      <c r="ZY20">
        <v>305.08990314980042</v>
      </c>
      <c r="ZZ20">
        <v>305.91892188721533</v>
      </c>
      <c r="AAA20">
        <v>310.30107702705538</v>
      </c>
      <c r="AAB20">
        <v>315.74912722186838</v>
      </c>
      <c r="AAC20">
        <v>319.77592309459544</v>
      </c>
      <c r="AAD20">
        <v>332.33006215347194</v>
      </c>
      <c r="AAE20">
        <v>329.48762636896242</v>
      </c>
      <c r="AAF20">
        <v>349.38478435839164</v>
      </c>
      <c r="AAG20">
        <v>345.5948456924915</v>
      </c>
      <c r="AAH20">
        <v>340.97586917844529</v>
      </c>
      <c r="AAI20">
        <v>349.74010659846311</v>
      </c>
      <c r="AAJ20">
        <v>346.66081360712667</v>
      </c>
      <c r="AAK20">
        <v>369.51883538726861</v>
      </c>
      <c r="AAL20">
        <v>369.51883538726861</v>
      </c>
      <c r="AAM20">
        <v>360.39927572717926</v>
      </c>
      <c r="AAN20">
        <v>337.65968314766116</v>
      </c>
      <c r="AAO20">
        <v>345.5948456924915</v>
      </c>
      <c r="AAP20">
        <v>342.515552701155</v>
      </c>
      <c r="AAQ20">
        <v>322.85525191855271</v>
      </c>
      <c r="AAR20">
        <v>325.93458193693067</v>
      </c>
      <c r="AAS20">
        <v>337.65968314766116</v>
      </c>
      <c r="AAT20">
        <v>339.4362226827771</v>
      </c>
      <c r="AAU20">
        <v>352.81943542242038</v>
      </c>
      <c r="AAV20">
        <v>346.54234857388212</v>
      </c>
      <c r="AAW20">
        <v>344.64734281110088</v>
      </c>
      <c r="AAX20">
        <v>332.80381359416725</v>
      </c>
      <c r="AAY20">
        <v>314.2094078665379</v>
      </c>
      <c r="AAZ20">
        <v>322.14464327103053</v>
      </c>
      <c r="ABA20">
        <v>315.98594859607448</v>
      </c>
      <c r="ABB20">
        <v>314.56473010660943</v>
      </c>
      <c r="ABC20">
        <v>320.48653174211773</v>
      </c>
      <c r="ABD20">
        <v>325.93458193693078</v>
      </c>
      <c r="ABE20">
        <v>317.17030868429208</v>
      </c>
      <c r="ABF20">
        <v>316.45973586939073</v>
      </c>
      <c r="ABG20">
        <v>314.8015885078571</v>
      </c>
      <c r="ABH20">
        <v>302.72121880598627</v>
      </c>
      <c r="ABI20">
        <v>290.9960638463246</v>
      </c>
      <c r="ABJ20">
        <v>307.93239268324129</v>
      </c>
      <c r="ABK20">
        <v>308.16921405744739</v>
      </c>
      <c r="ABL20">
        <v>323.68425393407796</v>
      </c>
      <c r="ABM20">
        <v>307.34017620930132</v>
      </c>
      <c r="ABN20">
        <v>301.89214512521937</v>
      </c>
      <c r="ABO20">
        <v>291.46983320333021</v>
      </c>
      <c r="ABP20">
        <v>281.40280768889176</v>
      </c>
      <c r="ABQ20">
        <v>267.6642906254873</v>
      </c>
      <c r="ABR20">
        <v>280.3368756068773</v>
      </c>
      <c r="ABS20">
        <v>273.46760811701989</v>
      </c>
      <c r="ABT20">
        <v>277.96817334675268</v>
      </c>
      <c r="ABU20">
        <v>272.16483674448892</v>
      </c>
      <c r="ABV20">
        <v>258.18944455794718</v>
      </c>
      <c r="ABW20">
        <v>257.00508446972964</v>
      </c>
      <c r="ABX20">
        <v>246.9380768716016</v>
      </c>
      <c r="ABY20">
        <v>252.62298427324149</v>
      </c>
      <c r="ABZ20">
        <v>269.44081224429277</v>
      </c>
      <c r="ACA20">
        <v>272.2832659451127</v>
      </c>
      <c r="ACB20">
        <v>281.63968281202892</v>
      </c>
      <c r="ACC20">
        <v>277.84974414612873</v>
      </c>
      <c r="ACD20">
        <v>275.95475749407859</v>
      </c>
      <c r="ACE20">
        <v>277.37597478912301</v>
      </c>
      <c r="ACF20">
        <v>261.26877338190434</v>
      </c>
      <c r="ACG20">
        <v>259.9659661767526</v>
      </c>
      <c r="ACH20">
        <v>264.22965628334811</v>
      </c>
      <c r="ACI20">
        <v>268.96707871990776</v>
      </c>
      <c r="ACJ20">
        <v>272.52016017898103</v>
      </c>
      <c r="ACK20">
        <v>268.25647007238553</v>
      </c>
      <c r="ACL20">
        <v>269.67768736743</v>
      </c>
      <c r="ACM20">
        <v>281.16593137133356</v>
      </c>
      <c r="ACN20">
        <v>288.27205606801789</v>
      </c>
      <c r="ACO20">
        <v>294.90444843473801</v>
      </c>
      <c r="ACP20">
        <v>308.40607126427403</v>
      </c>
      <c r="ACQ20">
        <v>295.85193339981828</v>
      </c>
      <c r="ACR20">
        <v>290.16702599817836</v>
      </c>
      <c r="ACS20">
        <v>297.08366182390739</v>
      </c>
      <c r="ACT20">
        <v>299.24189640801217</v>
      </c>
      <c r="ACU20">
        <v>286.22098729739514</v>
      </c>
      <c r="ACV20">
        <v>286.17330960656392</v>
      </c>
      <c r="ACW20">
        <v>283.50235680105186</v>
      </c>
      <c r="ACX20">
        <v>289.2258105473195</v>
      </c>
      <c r="ACY20">
        <v>295.71241789626754</v>
      </c>
      <c r="ACZ20">
        <v>291.51519610685693</v>
      </c>
      <c r="ADA20">
        <v>281.78532211047639</v>
      </c>
      <c r="ADB20">
        <v>287.36568903531906</v>
      </c>
      <c r="ADC20">
        <v>316.69845278923759</v>
      </c>
      <c r="ADD20">
        <v>313.3597387897492</v>
      </c>
      <c r="ADE20">
        <v>316.31688554326297</v>
      </c>
      <c r="ADF20">
        <v>329.51664123645429</v>
      </c>
      <c r="ADG20">
        <v>317.29464190640488</v>
      </c>
      <c r="ADH20">
        <v>307.874801300652</v>
      </c>
      <c r="ADI20">
        <v>294.52001935678135</v>
      </c>
      <c r="ADJ20">
        <v>274.7263638925665</v>
      </c>
      <c r="ADK20">
        <v>296.66633601120424</v>
      </c>
      <c r="ADL20">
        <v>277.11114186080795</v>
      </c>
      <c r="ADM20">
        <v>292.13524258296059</v>
      </c>
      <c r="ADN20">
        <v>281.16527563437285</v>
      </c>
      <c r="ADO20">
        <v>272.69931611651509</v>
      </c>
      <c r="ADP20">
        <v>270.07605891814467</v>
      </c>
      <c r="ADQ20">
        <v>270.67224922973259</v>
      </c>
      <c r="ADR20">
        <v>275.91876243205269</v>
      </c>
      <c r="ADS20">
        <v>270.19530749136436</v>
      </c>
      <c r="ADT20">
        <v>275.44180277737405</v>
      </c>
      <c r="ADU20">
        <v>276.75344989008005</v>
      </c>
      <c r="ADV20">
        <v>280.21135751943626</v>
      </c>
      <c r="ADW20">
        <v>280.44983674956524</v>
      </c>
      <c r="ADX20">
        <v>278.89972832304073</v>
      </c>
      <c r="ADY20">
        <v>284.74244975325911</v>
      </c>
      <c r="ADZ20">
        <v>282.35767297943841</v>
      </c>
      <c r="AEA20">
        <v>284.26547337669081</v>
      </c>
      <c r="AEB20">
        <v>269.59910045788678</v>
      </c>
      <c r="AEC20">
        <v>266.97584325951635</v>
      </c>
      <c r="AED20">
        <v>269.0029101462988</v>
      </c>
      <c r="AEE20">
        <v>263.39866794620934</v>
      </c>
      <c r="AEF20">
        <v>260.41770205522135</v>
      </c>
      <c r="AEG20">
        <v>259.7022810867241</v>
      </c>
      <c r="AEH20">
        <v>257.3175043129034</v>
      </c>
      <c r="AEI20">
        <v>254.81347777144228</v>
      </c>
      <c r="AEJ20">
        <v>267.45280291419499</v>
      </c>
      <c r="AEK20">
        <v>269.71833111479606</v>
      </c>
      <c r="AEL20">
        <v>280.92679520982318</v>
      </c>
      <c r="AEM20">
        <v>279.13822666390075</v>
      </c>
      <c r="AEN20">
        <v>272.93777743033365</v>
      </c>
      <c r="AEO20">
        <v>276.15724166218166</v>
      </c>
      <c r="AEP20">
        <v>276.276472319091</v>
      </c>
      <c r="AEQ20">
        <v>271.74539800157851</v>
      </c>
      <c r="AER20">
        <v>278.6612490929117</v>
      </c>
      <c r="AES20">
        <v>280.44983674956524</v>
      </c>
      <c r="AET20">
        <v>296.66633601120418</v>
      </c>
      <c r="AEU20">
        <v>291.89678126914202</v>
      </c>
      <c r="AEV20">
        <v>302.86674941215051</v>
      </c>
      <c r="AEW20">
        <v>292.85068146776825</v>
      </c>
      <c r="AEX20">
        <v>292.49297158073</v>
      </c>
      <c r="AEY20">
        <v>299.52805332897248</v>
      </c>
      <c r="AEZ20">
        <v>301.67435087266421</v>
      </c>
      <c r="AFA20">
        <v>293.92383023961412</v>
      </c>
      <c r="AFB20">
        <v>288.20035738261538</v>
      </c>
      <c r="AFC20">
        <v>296.78556666811352</v>
      </c>
      <c r="AFD20">
        <v>295.47393747171799</v>
      </c>
      <c r="AFE20">
        <v>291.89678126914208</v>
      </c>
      <c r="AFF20">
        <v>273.1762745767731</v>
      </c>
      <c r="AFG20">
        <v>270.6722492297327</v>
      </c>
      <c r="AFH20">
        <v>272.34158711874579</v>
      </c>
      <c r="AFI20">
        <v>270.19530749136442</v>
      </c>
      <c r="AFJ20">
        <v>282.35767297943841</v>
      </c>
      <c r="AFK20">
        <v>293.80458166639443</v>
      </c>
      <c r="AFL20">
        <v>279.01897809068112</v>
      </c>
      <c r="AFM20">
        <v>278.7804976661314</v>
      </c>
      <c r="AFN20">
        <v>271.74539800157851</v>
      </c>
      <c r="AFO20">
        <v>276.39572089231064</v>
      </c>
      <c r="AFP20">
        <v>274.3686719218386</v>
      </c>
      <c r="AFQ20">
        <v>275.68028200750302</v>
      </c>
      <c r="AFR20">
        <v>281.40375486450176</v>
      </c>
      <c r="AFS20">
        <v>284.98091106707767</v>
      </c>
      <c r="AFT20">
        <v>292.61220223763917</v>
      </c>
      <c r="AFU20">
        <v>292.96991212467742</v>
      </c>
      <c r="AFV20">
        <v>296.54708743798437</v>
      </c>
      <c r="AFW20">
        <v>298.33567390021716</v>
      </c>
      <c r="AFX20">
        <v>294.75849978133084</v>
      </c>
      <c r="AFY20">
        <v>288.55808638038451</v>
      </c>
      <c r="AFZ20">
        <v>277.82657955119464</v>
      </c>
      <c r="AGA20">
        <v>288.08112672570593</v>
      </c>
      <c r="AGB20">
        <v>287.4849376085387</v>
      </c>
      <c r="AGC20">
        <v>283.55005240819344</v>
      </c>
      <c r="AGD20">
        <v>291.4198036981528</v>
      </c>
      <c r="AGE20">
        <v>296.42785678107504</v>
      </c>
      <c r="AGF20">
        <v>300.60122121154922</v>
      </c>
      <c r="AGG20">
        <v>304.7745856420234</v>
      </c>
      <c r="AGH20">
        <v>309.90183116039276</v>
      </c>
      <c r="AGI20">
        <v>305.84773441386938</v>
      </c>
      <c r="AGJ20">
        <v>308.11326261447039</v>
      </c>
      <c r="AGK20">
        <v>303.82066752708687</v>
      </c>
      <c r="AGL20">
        <v>304.05912884090543</v>
      </c>
      <c r="AGM20">
        <v>303.22447721549895</v>
      </c>
      <c r="AGN20">
        <v>305.96696507077866</v>
      </c>
      <c r="AGO20">
        <v>316.69845278923748</v>
      </c>
      <c r="AGP20">
        <v>316.5792221323282</v>
      </c>
      <c r="AGQ20">
        <v>314.67138590245503</v>
      </c>
      <c r="AGR20">
        <v>315.26757501962226</v>
      </c>
      <c r="AGS20">
        <v>301.07816175549686</v>
      </c>
      <c r="AGT20">
        <v>300.95891318227717</v>
      </c>
      <c r="AGU20">
        <v>298.09719467008819</v>
      </c>
      <c r="AGV20">
        <v>310.97497993223874</v>
      </c>
      <c r="AGW20">
        <v>309.78260050348359</v>
      </c>
      <c r="AGX20">
        <v>300.95891318227717</v>
      </c>
      <c r="AGY20">
        <v>303.93989818399626</v>
      </c>
      <c r="AGZ20">
        <v>295.35468889849813</v>
      </c>
      <c r="AHA20">
        <v>294.87774835455059</v>
      </c>
      <c r="AHB20">
        <v>299.88578232674172</v>
      </c>
      <c r="AHC20">
        <v>305.72846672991864</v>
      </c>
      <c r="AHD20">
        <v>317.7716015610834</v>
      </c>
      <c r="AHE20">
        <v>310.49802147198079</v>
      </c>
      <c r="AHF20">
        <v>312.04816573112612</v>
      </c>
      <c r="AHG20">
        <v>307.63630295979186</v>
      </c>
      <c r="AHH20">
        <v>317.53310322022327</v>
      </c>
      <c r="AHI20">
        <v>307.04011384262463</v>
      </c>
      <c r="AHJ20">
        <v>295.95089712639646</v>
      </c>
      <c r="AHK20">
        <v>274.48788466243735</v>
      </c>
      <c r="AHL20">
        <v>274.48788466243735</v>
      </c>
      <c r="AHM20">
        <v>278.30353920587334</v>
      </c>
      <c r="AHN20">
        <v>273.89169554527012</v>
      </c>
      <c r="AHO20">
        <v>265.3065041760824</v>
      </c>
      <c r="AHP20">
        <v>267.21432248964516</v>
      </c>
      <c r="AHQ20">
        <v>281.16527563437268</v>
      </c>
      <c r="AHR20">
        <v>294.6392691244215</v>
      </c>
      <c r="AHS20">
        <v>290.94286315420521</v>
      </c>
      <c r="AHT20">
        <v>300.48197144390883</v>
      </c>
      <c r="AHU20">
        <v>297.14327655515149</v>
      </c>
      <c r="AHV20">
        <v>300.60122121154922</v>
      </c>
      <c r="AHW20">
        <v>318.01009870752267</v>
      </c>
      <c r="AHX20">
        <v>324.21049419215854</v>
      </c>
      <c r="AHY20">
        <v>327.07221270434752</v>
      </c>
      <c r="AHZ20">
        <v>321.82573533464819</v>
      </c>
      <c r="AIA20">
        <v>325.52214011044373</v>
      </c>
      <c r="AIB20">
        <v>326.1183304220317</v>
      </c>
      <c r="AIC20">
        <v>333.51114116804354</v>
      </c>
      <c r="AID20">
        <v>331.84176625198899</v>
      </c>
      <c r="AIE20">
        <v>332.55722305310701</v>
      </c>
      <c r="AIF20">
        <v>317.77160156108323</v>
      </c>
      <c r="AIG20">
        <v>259.94076031685296</v>
      </c>
      <c r="AIH20">
        <v>262.44476894200363</v>
      </c>
      <c r="AII20">
        <v>250.40163411083887</v>
      </c>
      <c r="AIJ20">
        <v>267.09509183273576</v>
      </c>
      <c r="AIK20">
        <v>266.02194306088984</v>
      </c>
      <c r="AIL20">
        <v>274.84561366020648</v>
      </c>
      <c r="AIM20">
        <v>275.32255420415402</v>
      </c>
      <c r="AIN20">
        <v>283.90778140596251</v>
      </c>
      <c r="AIO20">
        <v>276.63420012243927</v>
      </c>
      <c r="AIP20">
        <v>275.20334146355509</v>
      </c>
      <c r="AIQ20">
        <v>276.51495154921952</v>
      </c>
      <c r="AIR20">
        <v>277.11114186080744</v>
      </c>
      <c r="AIS20">
        <v>267.92976137445248</v>
      </c>
      <c r="AIT20">
        <v>261.13313974560788</v>
      </c>
      <c r="AIU20">
        <v>253.14413988242879</v>
      </c>
      <c r="AIV20">
        <v>254.81347777144191</v>
      </c>
      <c r="AIW20">
        <v>268.76443091616943</v>
      </c>
      <c r="AIX20">
        <v>266.85661260260667</v>
      </c>
      <c r="AIY20">
        <v>264.11410683101656</v>
      </c>
      <c r="AIZ20">
        <v>262.32553828509413</v>
      </c>
      <c r="AJA20">
        <v>259.82151174363304</v>
      </c>
      <c r="AJB20">
        <v>247.42066702543008</v>
      </c>
      <c r="AJC20">
        <v>242.05492316620069</v>
      </c>
      <c r="AJD20">
        <v>241.69719536285206</v>
      </c>
      <c r="AJE20">
        <v>256.6020654280955</v>
      </c>
      <c r="AJF20">
        <v>256.36358619796647</v>
      </c>
      <c r="AJG20">
        <v>252.66718022775024</v>
      </c>
      <c r="AJH20">
        <v>244.79741102148043</v>
      </c>
      <c r="AJI20">
        <v>243.36655116817556</v>
      </c>
      <c r="AJJ20">
        <v>230.78684314550858</v>
      </c>
      <c r="AJK20">
        <v>231.44266610465118</v>
      </c>
      <c r="AJL20">
        <v>236.27183557795766</v>
      </c>
      <c r="AJM20">
        <v>231.56189676156049</v>
      </c>
      <c r="AJN20">
        <v>226.73272728825407</v>
      </c>
      <c r="AJO20">
        <v>229.11750406207477</v>
      </c>
      <c r="AJP20">
        <v>231.26380160576656</v>
      </c>
      <c r="AJQ20">
        <v>233.70819430525225</v>
      </c>
      <c r="AJR20">
        <v>236.15260492104838</v>
      </c>
      <c r="AJS20">
        <v>231.20416776379116</v>
      </c>
      <c r="AJT20">
        <v>233.11200399366433</v>
      </c>
      <c r="AJU20">
        <v>238.47774904731443</v>
      </c>
      <c r="AJV20">
        <v>236.45070007684237</v>
      </c>
      <c r="AJW20">
        <v>237.10652303598502</v>
      </c>
      <c r="AJX20">
        <v>234.72174626216432</v>
      </c>
      <c r="AJY20">
        <v>217.31284965545979</v>
      </c>
      <c r="AJZ20">
        <v>214.98770552919379</v>
      </c>
      <c r="AKA20">
        <v>217.67057745880845</v>
      </c>
      <c r="AKB20">
        <v>218.86295688756363</v>
      </c>
      <c r="AKC20">
        <v>223.39405031580719</v>
      </c>
      <c r="AKD20">
        <v>218.92259072953902</v>
      </c>
      <c r="AKE20">
        <v>220.65154454421713</v>
      </c>
      <c r="AKF20">
        <v>217.37248230301449</v>
      </c>
      <c r="AKG20">
        <v>217.73019338447344</v>
      </c>
      <c r="AKH20">
        <v>230.90607380241792</v>
      </c>
      <c r="AKI20">
        <v>210.03926956635721</v>
      </c>
      <c r="AKJ20">
        <v>207.47564620996218</v>
      </c>
      <c r="AKK20">
        <v>197.99615265150288</v>
      </c>
      <c r="AKL20">
        <v>209.50271309674466</v>
      </c>
      <c r="AKM20">
        <v>208.66804355502777</v>
      </c>
      <c r="AKN20">
        <v>200.44056326729901</v>
      </c>
      <c r="AKO20">
        <v>210.99318768129379</v>
      </c>
      <c r="AKP20">
        <v>202.70609146790008</v>
      </c>
      <c r="AKQ20">
        <v>207.59489478318193</v>
      </c>
      <c r="AKR20">
        <v>201.21559896704053</v>
      </c>
      <c r="AKS20">
        <v>198.29424780729687</v>
      </c>
      <c r="AKT20">
        <v>197.93653792025859</v>
      </c>
      <c r="AKU20">
        <v>191.91496990746589</v>
      </c>
      <c r="AKV20">
        <v>200.91750381124655</v>
      </c>
      <c r="AKW20">
        <v>195.84985510781115</v>
      </c>
      <c r="AKX20">
        <v>198.95007076643947</v>
      </c>
      <c r="AKY20">
        <v>194.12090129313304</v>
      </c>
      <c r="AKZ20">
        <v>208.66804355502779</v>
      </c>
      <c r="ALA20">
        <v>205.56780998008904</v>
      </c>
      <c r="ALB20">
        <v>203.8388561654109</v>
      </c>
      <c r="ALC20">
        <v>195.96910368103079</v>
      </c>
      <c r="ALD20">
        <v>193.82280613733906</v>
      </c>
      <c r="ALE20">
        <v>193.88242206300404</v>
      </c>
      <c r="ALF20">
        <v>192.86888802240247</v>
      </c>
      <c r="ALG20">
        <v>214.98770552919373</v>
      </c>
      <c r="ALH20">
        <v>225.30184951863885</v>
      </c>
      <c r="ALI20">
        <v>259.34455328337509</v>
      </c>
      <c r="ALJ20">
        <v>255.64814731315883</v>
      </c>
      <c r="ALK20">
        <v>240.50481593409691</v>
      </c>
      <c r="ALL20">
        <v>233.23125376130474</v>
      </c>
      <c r="ALM20">
        <v>233.29085057623863</v>
      </c>
      <c r="ALN20">
        <v>253.97880942414579</v>
      </c>
      <c r="ALO20">
        <v>280.68831597969381</v>
      </c>
      <c r="ALP20">
        <v>262.92172740226147</v>
      </c>
      <c r="ALQ20">
        <v>249.44773391221264</v>
      </c>
      <c r="ALR20">
        <v>255.40966808302991</v>
      </c>
      <c r="ALS20">
        <v>243.24730259495593</v>
      </c>
      <c r="ALT20">
        <v>235.55639669315013</v>
      </c>
      <c r="ALU20">
        <v>243.36655116817565</v>
      </c>
      <c r="ALV20">
        <v>250.16317279702028</v>
      </c>
      <c r="ALW20">
        <v>248.49381579727606</v>
      </c>
      <c r="ALX20">
        <v>243.36655116817565</v>
      </c>
      <c r="ALY20">
        <v>240.86252582113525</v>
      </c>
      <c r="ALZ20">
        <v>232.69466026465076</v>
      </c>
      <c r="AMA20">
        <v>228.81939098997051</v>
      </c>
      <c r="AMB20">
        <v>227.15005310095739</v>
      </c>
      <c r="AMC20">
        <v>223.69214547160118</v>
      </c>
      <c r="AMD20">
        <v>226.67311136258914</v>
      </c>
      <c r="AME20">
        <v>239.55089781916038</v>
      </c>
      <c r="AMF20">
        <v>238.17965389152053</v>
      </c>
      <c r="AMG20">
        <v>250.46126795281424</v>
      </c>
      <c r="AMH20">
        <v>238.83547685066316</v>
      </c>
      <c r="AMI20">
        <v>259.34455328337521</v>
      </c>
      <c r="AMJ20">
        <v>251.48528064616184</v>
      </c>
      <c r="AMK20">
        <v>249.33531981420245</v>
      </c>
      <c r="AML20">
        <v>255.42687251870237</v>
      </c>
      <c r="AMM20">
        <v>251.30610679231751</v>
      </c>
      <c r="AMN20">
        <v>241.75074124255167</v>
      </c>
      <c r="AMO20">
        <v>239.3021931534725</v>
      </c>
      <c r="AMP20">
        <v>242.82573061668657</v>
      </c>
      <c r="AMQ20">
        <v>249.09643925872041</v>
      </c>
      <c r="AMR20">
        <v>240.55632054883094</v>
      </c>
      <c r="AMS20">
        <v>231.5742900706787</v>
      </c>
      <c r="AMT20">
        <v>226.5577088240033</v>
      </c>
      <c r="AMU20">
        <v>212.46355897114702</v>
      </c>
      <c r="AMV20">
        <v>214.47017737565301</v>
      </c>
      <c r="AMW20">
        <v>211.65134334405138</v>
      </c>
      <c r="AMX20">
        <v>218.36399958696884</v>
      </c>
      <c r="AMY20">
        <v>201.21211842513912</v>
      </c>
      <c r="AMZ20">
        <v>208.23529896558941</v>
      </c>
      <c r="ANA20">
        <v>207.73364466306805</v>
      </c>
      <c r="ANB20">
        <v>206.84976737761124</v>
      </c>
      <c r="ANC20">
        <v>196.62552862820317</v>
      </c>
      <c r="AND20">
        <v>183.558563850057</v>
      </c>
      <c r="ANE20">
        <v>181.19361565417273</v>
      </c>
      <c r="ANF20">
        <v>185.08743905990926</v>
      </c>
      <c r="ANG20">
        <v>176.94148037336834</v>
      </c>
      <c r="ANH20">
        <v>178.66144975558828</v>
      </c>
      <c r="ANI20">
        <v>182.34026788108949</v>
      </c>
      <c r="ANJ20">
        <v>187.26127516711543</v>
      </c>
      <c r="ANK20">
        <v>187.95404155831486</v>
      </c>
      <c r="ANL20">
        <v>187.14182593121919</v>
      </c>
      <c r="ANM20">
        <v>195.98054981453885</v>
      </c>
      <c r="ANN20">
        <v>203.24263002120225</v>
      </c>
      <c r="ANO20">
        <v>200.73433939786457</v>
      </c>
      <c r="ANP20">
        <v>214.56573222557131</v>
      </c>
      <c r="ANQ20">
        <v>211.48412564135114</v>
      </c>
      <c r="ANR20">
        <v>210.43302945877343</v>
      </c>
      <c r="ANS20">
        <v>209.47750723684518</v>
      </c>
      <c r="ANT20">
        <v>208.42641105426745</v>
      </c>
      <c r="ANU20">
        <v>217.07402284890901</v>
      </c>
      <c r="ANV20">
        <v>218.1489943067335</v>
      </c>
      <c r="ANW20">
        <v>214.70905793113505</v>
      </c>
      <c r="ANX20">
        <v>209.62083174798821</v>
      </c>
      <c r="ANY20">
        <v>194.97724001507549</v>
      </c>
      <c r="ANZ20">
        <v>191.441747595138</v>
      </c>
      <c r="AOA20">
        <v>193.63947689390133</v>
      </c>
      <c r="AOB20">
        <v>192.92283522745515</v>
      </c>
      <c r="AOC20">
        <v>193.87837536569381</v>
      </c>
      <c r="AOD20">
        <v>204.9625982090015</v>
      </c>
      <c r="AOE20">
        <v>208.11586764600349</v>
      </c>
      <c r="AOF20">
        <v>208.54586029016369</v>
      </c>
      <c r="AOG20">
        <v>200.8298942477829</v>
      </c>
      <c r="AOH20">
        <v>200.75823258942177</v>
      </c>
      <c r="AOI20">
        <v>199.92214168707935</v>
      </c>
      <c r="AOJ20">
        <v>189.48289765743598</v>
      </c>
      <c r="AOK20">
        <v>179.04365482221334</v>
      </c>
      <c r="AOL20">
        <v>183.91689364143534</v>
      </c>
      <c r="AOM20">
        <v>184.99188301557024</v>
      </c>
      <c r="AON20">
        <v>187.50015572259753</v>
      </c>
      <c r="AOO20">
        <v>190.91619890663881</v>
      </c>
      <c r="AOP20">
        <v>199.1338192515409</v>
      </c>
      <c r="AOQ20">
        <v>204.07872092354475</v>
      </c>
      <c r="AOR20">
        <v>205.32091008406942</v>
      </c>
      <c r="AOS20">
        <v>209.76415625913125</v>
      </c>
      <c r="AOT20">
        <v>205.44035931996569</v>
      </c>
      <c r="AOU20">
        <v>199.70713640684409</v>
      </c>
      <c r="AOV20">
        <v>193.20948544416194</v>
      </c>
      <c r="AOW20">
        <v>199.01437001564466</v>
      </c>
      <c r="AOX20">
        <v>198.32160362444529</v>
      </c>
      <c r="AOY20">
        <v>203.76817751528083</v>
      </c>
      <c r="AOZ20">
        <v>200.37600960648632</v>
      </c>
      <c r="APA20">
        <v>208.97585293432391</v>
      </c>
      <c r="APB20">
        <v>203.52927904348834</v>
      </c>
      <c r="APC20">
        <v>192.66006148041595</v>
      </c>
      <c r="APD20">
        <v>192.34950015584164</v>
      </c>
      <c r="APE20">
        <v>222.83112223169815</v>
      </c>
      <c r="APF20">
        <v>226.39048992688248</v>
      </c>
      <c r="APG20">
        <v>222.11448056525197</v>
      </c>
      <c r="APH20">
        <v>224.57498361105462</v>
      </c>
      <c r="API20">
        <v>220.298955138693</v>
      </c>
      <c r="APJ20">
        <v>226.36661465163573</v>
      </c>
      <c r="APK20">
        <v>232.14760722598197</v>
      </c>
      <c r="APL20">
        <v>222.21001749885994</v>
      </c>
      <c r="APM20">
        <v>217.38456625717305</v>
      </c>
      <c r="APN20">
        <v>236.49529735670473</v>
      </c>
      <c r="APO20">
        <v>239.00358798004245</v>
      </c>
      <c r="APP20">
        <v>230.33208179942304</v>
      </c>
      <c r="APQ20">
        <v>227.72825424247736</v>
      </c>
      <c r="APR20">
        <v>226.43827750441761</v>
      </c>
      <c r="APS20">
        <v>232.76871076439954</v>
      </c>
      <c r="APT20">
        <v>228.11045930910245</v>
      </c>
      <c r="APU20">
        <v>228.80322570030191</v>
      </c>
      <c r="APV20">
        <v>224.3838727167973</v>
      </c>
      <c r="APW20">
        <v>222.87890861481262</v>
      </c>
      <c r="APX20">
        <v>225.57829341051803</v>
      </c>
      <c r="APY20">
        <v>230.45153103531928</v>
      </c>
      <c r="APZ20">
        <v>227.2265987455354</v>
      </c>
      <c r="AQA20">
        <v>219.05674806185797</v>
      </c>
      <c r="AQB20">
        <v>223.35666972577678</v>
      </c>
      <c r="AQC20">
        <v>222.66390333457736</v>
      </c>
      <c r="AQD20">
        <v>208.73695446253157</v>
      </c>
      <c r="AQE20">
        <v>214.99572486973165</v>
      </c>
      <c r="AQF20">
        <v>219.70174479183271</v>
      </c>
      <c r="AQG20">
        <v>209.74028098388462</v>
      </c>
      <c r="AQH20">
        <v>212.22466049935471</v>
      </c>
      <c r="AQI20">
        <v>217.55178395987332</v>
      </c>
      <c r="AQJ20">
        <v>217.52789076831613</v>
      </c>
      <c r="AQK20">
        <v>218.98508520907615</v>
      </c>
      <c r="AQL20">
        <v>209.62083174798835</v>
      </c>
      <c r="AQM20">
        <v>207.18422189374289</v>
      </c>
      <c r="AQN20">
        <v>201.23599370038602</v>
      </c>
      <c r="AQO20">
        <v>194.42779932943995</v>
      </c>
      <c r="AQP20">
        <v>184.72910926853106</v>
      </c>
      <c r="AQQ20">
        <v>180.40529321863443</v>
      </c>
      <c r="AQR20">
        <v>187.54794210571202</v>
      </c>
      <c r="AQS20">
        <v>179.49754065793081</v>
      </c>
      <c r="AQT20">
        <v>178.99588635540951</v>
      </c>
      <c r="AQU20">
        <v>176.91758718181126</v>
      </c>
      <c r="AQV20">
        <v>177.9447901728318</v>
      </c>
      <c r="AQW20">
        <v>175.67539802128658</v>
      </c>
      <c r="AQX20">
        <v>165.88115191603868</v>
      </c>
      <c r="AQY20">
        <v>169.15385267262653</v>
      </c>
      <c r="AQZ20">
        <v>168.69998475321961</v>
      </c>
      <c r="ARA20">
        <v>178.08813260028529</v>
      </c>
      <c r="ARB20">
        <v>171.51881878482126</v>
      </c>
      <c r="ARC20">
        <v>168.62830517854806</v>
      </c>
      <c r="ARD20">
        <v>165.28394156917835</v>
      </c>
      <c r="ARE20">
        <v>163.82674712841833</v>
      </c>
      <c r="ARF20">
        <v>161.24679365229878</v>
      </c>
      <c r="ARG20">
        <v>161.24679365229878</v>
      </c>
      <c r="ARH20">
        <v>161.10346914115578</v>
      </c>
      <c r="ARI20">
        <v>168.19833045069831</v>
      </c>
      <c r="ARJ20">
        <v>169.17774586418375</v>
      </c>
      <c r="ARK20">
        <v>174.09875434463038</v>
      </c>
      <c r="ARL20">
        <v>172.4504657315027</v>
      </c>
      <c r="ARM20">
        <v>169.34496476130462</v>
      </c>
      <c r="ARN20">
        <v>167.45777767638447</v>
      </c>
      <c r="ARO20">
        <v>171.27992031302873</v>
      </c>
      <c r="ARP20">
        <v>170.80215920206462</v>
      </c>
      <c r="ARQ20">
        <v>181.09805960983383</v>
      </c>
      <c r="ARR20">
        <v>180.95473509869083</v>
      </c>
      <c r="ARS20">
        <v>177.49092225342488</v>
      </c>
      <c r="ART20">
        <v>177.2520237816324</v>
      </c>
      <c r="ARU20">
        <v>179.16310405810975</v>
      </c>
      <c r="ARV20">
        <v>187.57181738095886</v>
      </c>
      <c r="ARW20">
        <v>190.70121273713477</v>
      </c>
      <c r="ARX20">
        <v>184.37077947715284</v>
      </c>
      <c r="ARY20">
        <v>192.56450543607704</v>
      </c>
      <c r="ARZ20">
        <v>200.92545029212218</v>
      </c>
      <c r="ASA20">
        <v>200.06546619822257</v>
      </c>
      <c r="ASB20">
        <v>223.66721313404079</v>
      </c>
      <c r="ASC20">
        <v>218.22065715951564</v>
      </c>
      <c r="ASD20">
        <v>210.241935286406</v>
      </c>
      <c r="ASE20">
        <v>216.04682105230947</v>
      </c>
      <c r="ASF20">
        <v>208.09197445444661</v>
      </c>
      <c r="ASG20">
        <v>208.78474084564604</v>
      </c>
      <c r="ASH20">
        <v>206.96921661350774</v>
      </c>
      <c r="ASI20">
        <v>202.50207605246806</v>
      </c>
      <c r="ASJ20">
        <v>207.90086356018924</v>
      </c>
      <c r="ASK20">
        <v>212.00967313542992</v>
      </c>
      <c r="ASL20">
        <v>218.02954507083757</v>
      </c>
      <c r="ASM20">
        <v>213.20409382915068</v>
      </c>
      <c r="ASN20">
        <v>208.92806535678906</v>
      </c>
      <c r="ASO20">
        <v>210.31359813918789</v>
      </c>
      <c r="ASP20">
        <v>214.35074605606744</v>
      </c>
      <c r="ASQ20">
        <v>216.45291931049175</v>
      </c>
      <c r="ASR20">
        <v>219.91673215575767</v>
      </c>
      <c r="ASS20">
        <v>225.74551111321836</v>
      </c>
      <c r="AST20">
        <v>223.3089012589729</v>
      </c>
      <c r="ASU20">
        <v>221.78002604912066</v>
      </c>
      <c r="ASV20">
        <v>228.13435250065982</v>
      </c>
      <c r="ASW20">
        <v>242.82573061668691</v>
      </c>
      <c r="ASX20">
        <v>242.16879565187844</v>
      </c>
      <c r="ASY20">
        <v>245.39372794166235</v>
      </c>
      <c r="ASZ20">
        <v>245.99093828852273</v>
      </c>
      <c r="ATA20">
        <v>240.85492572226147</v>
      </c>
      <c r="ATB20">
        <v>231.2637287461047</v>
      </c>
      <c r="ATC20">
        <v>235.10976457430618</v>
      </c>
      <c r="ATD20">
        <v>228.13435250065984</v>
      </c>
      <c r="ATE20">
        <v>231.43094764322561</v>
      </c>
      <c r="ATF20">
        <v>234.39312290785995</v>
      </c>
      <c r="ATG20">
        <v>236.78196429530141</v>
      </c>
      <c r="ATH20">
        <v>240.31743999334921</v>
      </c>
      <c r="ATI20">
        <v>238.5258089527681</v>
      </c>
      <c r="ATJ20">
        <v>243.36321634559917</v>
      </c>
      <c r="ATK20">
        <v>241.39242936748414</v>
      </c>
      <c r="ATL20">
        <v>240.91465034020959</v>
      </c>
      <c r="ATM20">
        <v>239.77995426443698</v>
      </c>
      <c r="ATN20">
        <v>228.80322570030208</v>
      </c>
      <c r="ATO20">
        <v>232.43427416457865</v>
      </c>
      <c r="ATP20">
        <v>242.28824488777471</v>
      </c>
      <c r="ATQ20">
        <v>237.3313882590474</v>
      </c>
      <c r="ATR20">
        <v>251.66443658369619</v>
      </c>
      <c r="ATS20">
        <v>255.48657922034045</v>
      </c>
      <c r="ATT20">
        <v>255.96435824761502</v>
      </c>
      <c r="ATU20">
        <v>258.23375039916027</v>
      </c>
      <c r="ATV20">
        <v>255.4865792203405</v>
      </c>
      <c r="ATW20">
        <v>251.54500526411042</v>
      </c>
      <c r="ATX20">
        <v>240.25771537540115</v>
      </c>
      <c r="ATY20">
        <v>241.33270474953608</v>
      </c>
      <c r="ATZ20">
        <v>242.40767620736057</v>
      </c>
      <c r="AUA20">
        <v>240.97437495815777</v>
      </c>
      <c r="AUB20">
        <v>234.91865368004878</v>
      </c>
      <c r="AUC20">
        <v>235.9458554766486</v>
      </c>
      <c r="AUD20">
        <v>229.63931660264453</v>
      </c>
      <c r="AUE20">
        <v>231.64595172904018</v>
      </c>
      <c r="AUF20">
        <v>237.42694430338645</v>
      </c>
      <c r="AUG20">
        <v>236.2803099927801</v>
      </c>
      <c r="AUH20">
        <v>244.61736165726805</v>
      </c>
      <c r="AUI20">
        <v>240.91465034020962</v>
      </c>
      <c r="AUJ20">
        <v>240.37716461129739</v>
      </c>
      <c r="AUK20">
        <v>238.38248444162517</v>
      </c>
      <c r="AUL20">
        <v>249.03671464077269</v>
      </c>
      <c r="AUM20">
        <v>257.87542060778196</v>
      </c>
      <c r="AUN20">
        <v>254.53105699841225</v>
      </c>
      <c r="AUO20">
        <v>252.91858189536509</v>
      </c>
      <c r="AUP20">
        <v>248.6783848493944</v>
      </c>
      <c r="AUQ20">
        <v>248.20062373843027</v>
      </c>
      <c r="AUR20">
        <v>246.70759787127935</v>
      </c>
      <c r="AUS20">
        <v>244.85624221275012</v>
      </c>
      <c r="AUT20">
        <v>244.97569144864636</v>
      </c>
      <c r="AUU20">
        <v>242.76600599873885</v>
      </c>
      <c r="AUV20">
        <v>235.85031854304066</v>
      </c>
      <c r="AUW20">
        <v>240.0785594378672</v>
      </c>
      <c r="AUX20">
        <v>236.99695165922631</v>
      </c>
      <c r="AUY20">
        <v>236.66251505940519</v>
      </c>
      <c r="AUZ20">
        <v>239.60079832690309</v>
      </c>
    </row>
    <row r="21" spans="1:1248" x14ac:dyDescent="0.45">
      <c r="A21" s="15">
        <v>43187</v>
      </c>
      <c r="B21">
        <v>81.319710000000001</v>
      </c>
      <c r="C21" t="b">
        <f t="shared" si="0"/>
        <v>1</v>
      </c>
      <c r="E21" s="15">
        <v>43187</v>
      </c>
      <c r="F21">
        <f t="shared" si="1"/>
        <v>81.319710000000001</v>
      </c>
      <c r="G21">
        <v>1114.8199460000001</v>
      </c>
      <c r="I21" s="13">
        <f t="shared" si="2"/>
        <v>-1.5123885188808028E-2</v>
      </c>
      <c r="J21" s="13">
        <f t="shared" si="3"/>
        <v>5.973646717838621E-3</v>
      </c>
      <c r="L21" s="15">
        <v>43187</v>
      </c>
      <c r="M21">
        <f t="shared" si="4"/>
        <v>97.129944431368855</v>
      </c>
      <c r="N21">
        <f t="shared" si="5"/>
        <v>98.221155423994915</v>
      </c>
      <c r="O21" t="s">
        <v>75</v>
      </c>
      <c r="P21">
        <v>100</v>
      </c>
      <c r="Q21">
        <v>98.418520467497899</v>
      </c>
      <c r="R21">
        <v>98.815863835421155</v>
      </c>
      <c r="S21">
        <v>99.031727482297697</v>
      </c>
      <c r="T21">
        <v>99.410572246847394</v>
      </c>
      <c r="U21">
        <v>100.40175293255783</v>
      </c>
      <c r="V21">
        <v>100.34537527999422</v>
      </c>
      <c r="W21">
        <v>100.51013109567201</v>
      </c>
      <c r="X21">
        <v>99.840524842595883</v>
      </c>
      <c r="Y21">
        <v>99.463443851037042</v>
      </c>
      <c r="Z21">
        <v>99.852860857147846</v>
      </c>
      <c r="AA21">
        <v>99.479296750871811</v>
      </c>
      <c r="AB21">
        <v>99.009701244837458</v>
      </c>
      <c r="AC21">
        <v>99.074016096122349</v>
      </c>
      <c r="AD21">
        <v>99.074898026670255</v>
      </c>
      <c r="AE21">
        <v>97.73129754159612</v>
      </c>
      <c r="AF21">
        <v>97.795612392881011</v>
      </c>
      <c r="AG21">
        <v>97.352441940137609</v>
      </c>
      <c r="AH21">
        <v>97.637901096572719</v>
      </c>
      <c r="AI21">
        <v>98.221155423994915</v>
      </c>
      <c r="AJ21">
        <v>97.835255303166903</v>
      </c>
      <c r="AK21">
        <v>96.21325092983102</v>
      </c>
      <c r="AL21">
        <v>97.800021957515611</v>
      </c>
      <c r="AM21">
        <v>97.759486367877955</v>
      </c>
      <c r="AN21">
        <v>98.038782935491483</v>
      </c>
      <c r="AO21">
        <v>98.381512511946923</v>
      </c>
      <c r="AP21">
        <v>97.169187521086272</v>
      </c>
      <c r="AQ21">
        <v>97.370069361767136</v>
      </c>
      <c r="AR21">
        <v>97.175350109907853</v>
      </c>
      <c r="AS21">
        <v>96.896946221646104</v>
      </c>
      <c r="AT21">
        <v>97.952441846746353</v>
      </c>
      <c r="AU21">
        <v>98.238782933729368</v>
      </c>
      <c r="AV21">
        <v>97.9665416342892</v>
      </c>
      <c r="AW21">
        <v>97.85111895180556</v>
      </c>
      <c r="AX21">
        <v>98.2255649886295</v>
      </c>
      <c r="AY21">
        <v>98.201774978178406</v>
      </c>
      <c r="AZ21">
        <v>97.074038051875874</v>
      </c>
      <c r="BA21">
        <v>98.182394444256943</v>
      </c>
      <c r="BB21">
        <v>98.062573034047531</v>
      </c>
      <c r="BC21">
        <v>99.896913332068351</v>
      </c>
      <c r="BD21">
        <v>99.772693106028228</v>
      </c>
      <c r="BE21">
        <v>99.626435893723993</v>
      </c>
      <c r="BF21">
        <v>101.12861876874551</v>
      </c>
      <c r="BG21">
        <v>101.98059751032505</v>
      </c>
      <c r="BH21">
        <v>101.95857127286483</v>
      </c>
      <c r="BI21">
        <v>102.35504354714899</v>
      </c>
      <c r="BJ21">
        <v>100.810561221394</v>
      </c>
      <c r="BK21">
        <v>100.76915445001231</v>
      </c>
      <c r="BL21">
        <v>100.70572152927532</v>
      </c>
      <c r="BM21">
        <v>100.39911797782295</v>
      </c>
      <c r="BN21">
        <v>100.79029875692464</v>
      </c>
      <c r="BO21">
        <v>100.67312305025401</v>
      </c>
      <c r="BP21">
        <v>99.531275587604767</v>
      </c>
      <c r="BQ21">
        <v>99.935685060610211</v>
      </c>
      <c r="BR21">
        <v>98.604420590088054</v>
      </c>
      <c r="BS21">
        <v>97.540105923823575</v>
      </c>
      <c r="BT21">
        <v>97.734825175682843</v>
      </c>
      <c r="BU21">
        <v>98.11278809778959</v>
      </c>
      <c r="BV21">
        <v>99.557711389699591</v>
      </c>
      <c r="BW21">
        <v>99.812336016314106</v>
      </c>
      <c r="BX21">
        <v>99.121596205129535</v>
      </c>
      <c r="BY21">
        <v>98.510142302621659</v>
      </c>
      <c r="BZ21">
        <v>97.983276376566963</v>
      </c>
      <c r="CA21">
        <v>98.626446827548278</v>
      </c>
      <c r="CB21">
        <v>98.785911148043567</v>
      </c>
      <c r="CC21">
        <v>99.138330947407283</v>
      </c>
      <c r="CD21">
        <v>99.925112907154045</v>
      </c>
      <c r="CE21">
        <v>99.968283451526602</v>
      </c>
      <c r="CF21">
        <v>98.692525539928965</v>
      </c>
      <c r="CG21">
        <v>97.896053357273942</v>
      </c>
      <c r="CH21">
        <v>98.839653933977232</v>
      </c>
      <c r="CI21">
        <v>98.601774886549265</v>
      </c>
      <c r="CJ21">
        <v>99.06256201211832</v>
      </c>
      <c r="CK21">
        <v>98.209701339990858</v>
      </c>
      <c r="CL21">
        <v>96.793859553714441</v>
      </c>
      <c r="CM21">
        <v>97.031738601142422</v>
      </c>
      <c r="CN21">
        <v>95.791224783999965</v>
      </c>
      <c r="CO21">
        <v>96.672274282409234</v>
      </c>
      <c r="CP21">
        <v>96.027350807240936</v>
      </c>
      <c r="CQ21">
        <v>96.825576014082955</v>
      </c>
      <c r="CR21">
        <v>96.884610207094155</v>
      </c>
      <c r="CS21">
        <v>96.386815125974124</v>
      </c>
      <c r="CT21">
        <v>96.915444825019691</v>
      </c>
      <c r="CU21">
        <v>97.735707106230748</v>
      </c>
      <c r="CV21">
        <v>98.755958548770906</v>
      </c>
      <c r="CW21">
        <v>98.215874765721281</v>
      </c>
      <c r="CX21">
        <v>99.426435895486136</v>
      </c>
      <c r="CY21">
        <v>99.540976647421886</v>
      </c>
      <c r="CZ21">
        <v>99.340094806741021</v>
      </c>
      <c r="DA21">
        <v>100.32598399726896</v>
      </c>
      <c r="DB21">
        <v>99.761239022024199</v>
      </c>
      <c r="DC21">
        <v>100.15682936576047</v>
      </c>
      <c r="DD21">
        <v>101.01320692317074</v>
      </c>
      <c r="DE21">
        <v>100.76034615765202</v>
      </c>
      <c r="DF21">
        <v>101.60526954295327</v>
      </c>
      <c r="DG21">
        <v>101.8863299716626</v>
      </c>
      <c r="DH21">
        <v>103.11715356589681</v>
      </c>
      <c r="DI21">
        <v>103.03081238904676</v>
      </c>
      <c r="DJ21">
        <v>102.60437667858109</v>
      </c>
      <c r="DK21">
        <v>101.94007266949133</v>
      </c>
      <c r="DL21">
        <v>102.2440304293</v>
      </c>
      <c r="DM21">
        <v>101.95680749987402</v>
      </c>
      <c r="DN21">
        <v>102.13037160791215</v>
      </c>
      <c r="DO21">
        <v>101.64404135960007</v>
      </c>
      <c r="DP21">
        <v>101.1902987534005</v>
      </c>
      <c r="DQ21">
        <v>99.673134072183288</v>
      </c>
      <c r="DR21">
        <v>100.47047743658233</v>
      </c>
      <c r="DS21">
        <v>99.975327970896132</v>
      </c>
      <c r="DT21">
        <v>100.63083443642941</v>
      </c>
      <c r="DU21">
        <v>100.69603121826221</v>
      </c>
      <c r="DV21">
        <v>99.485470088497365</v>
      </c>
      <c r="DW21">
        <v>100.47047743658234</v>
      </c>
      <c r="DX21">
        <v>100.4431704527435</v>
      </c>
      <c r="DY21">
        <v>101.16739058539238</v>
      </c>
      <c r="DZ21">
        <v>101.54448232575511</v>
      </c>
      <c r="EA21">
        <v>102.12420901909063</v>
      </c>
      <c r="EB21">
        <v>101.89513835212796</v>
      </c>
      <c r="EC21">
        <v>102.50922720937074</v>
      </c>
      <c r="ED21">
        <v>103.49952596453326</v>
      </c>
      <c r="EE21">
        <v>103.66869134484563</v>
      </c>
      <c r="EF21">
        <v>103.6237570274822</v>
      </c>
      <c r="EG21">
        <v>103.78763091261209</v>
      </c>
      <c r="EH21">
        <v>103.21847637273274</v>
      </c>
      <c r="EI21">
        <v>102.87751065737309</v>
      </c>
      <c r="EJ21">
        <v>101.71892845244609</v>
      </c>
      <c r="EK21">
        <v>100.15859322685631</v>
      </c>
      <c r="EL21">
        <v>100.28545915643521</v>
      </c>
      <c r="EM21">
        <v>100.15241980112592</v>
      </c>
      <c r="EN21">
        <v>100.03787904919017</v>
      </c>
      <c r="EO21">
        <v>99.363002886644253</v>
      </c>
      <c r="EP21">
        <v>99.753301823302962</v>
      </c>
      <c r="EQ21">
        <v>99.491632677318961</v>
      </c>
      <c r="ER21">
        <v>99.009701244837586</v>
      </c>
      <c r="ES21">
        <v>98.303979715562264</v>
      </c>
      <c r="ET21">
        <v>98.712787916293465</v>
      </c>
      <c r="EU21">
        <v>98.259927240641801</v>
      </c>
      <c r="EV21">
        <v>99.064325873214202</v>
      </c>
      <c r="EW21">
        <v>99.311895143550416</v>
      </c>
      <c r="EX21">
        <v>98.496042426973929</v>
      </c>
      <c r="EY21">
        <v>99.36388481719213</v>
      </c>
      <c r="EZ21">
        <v>99.233491253526552</v>
      </c>
      <c r="FA21">
        <v>98.746268237757732</v>
      </c>
      <c r="FB21">
        <v>98.682835317020746</v>
      </c>
      <c r="FC21">
        <v>98.851989860424311</v>
      </c>
      <c r="FD21">
        <v>98.704861554480985</v>
      </c>
      <c r="FE21">
        <v>98.385040146033674</v>
      </c>
      <c r="FF21">
        <v>94.712821078996555</v>
      </c>
      <c r="FG21">
        <v>94.169209661860251</v>
      </c>
      <c r="FH21">
        <v>92.106680539319726</v>
      </c>
      <c r="FI21">
        <v>91.831793536340783</v>
      </c>
      <c r="FJ21">
        <v>89.767489803900574</v>
      </c>
      <c r="FK21">
        <v>89.293484733231637</v>
      </c>
      <c r="FL21">
        <v>90.439731011711601</v>
      </c>
      <c r="FM21">
        <v>90.148985734495938</v>
      </c>
      <c r="FN21">
        <v>92.278480874367006</v>
      </c>
      <c r="FO21">
        <v>92.163940122431271</v>
      </c>
      <c r="FP21">
        <v>92.984202403642328</v>
      </c>
      <c r="FQ21">
        <v>92.128706776779964</v>
      </c>
      <c r="FR21">
        <v>91.748087402330569</v>
      </c>
      <c r="FS21">
        <v>89.003621386563893</v>
      </c>
      <c r="FT21">
        <v>89.09965278632221</v>
      </c>
      <c r="FU21">
        <v>87.92521768156044</v>
      </c>
      <c r="FV21">
        <v>87.430068303979169</v>
      </c>
      <c r="FW21">
        <v>89.502293023829893</v>
      </c>
      <c r="FX21">
        <v>89.058246014940522</v>
      </c>
      <c r="FY21">
        <v>90.290838844672479</v>
      </c>
      <c r="FZ21">
        <v>91.575405136735412</v>
      </c>
      <c r="GA21">
        <v>92.212402161986333</v>
      </c>
      <c r="GB21">
        <v>91.082019532145026</v>
      </c>
      <c r="GC21">
        <v>91.618575681107984</v>
      </c>
      <c r="GD21">
        <v>93.072307353483282</v>
      </c>
      <c r="GE21">
        <v>93.835299214673995</v>
      </c>
      <c r="GF21">
        <v>93.783309541032267</v>
      </c>
      <c r="GG21">
        <v>93.154249714502612</v>
      </c>
      <c r="GH21">
        <v>92.320769576296613</v>
      </c>
      <c r="GI21">
        <v>92.382449472846602</v>
      </c>
      <c r="GJ21">
        <v>90.640612852392479</v>
      </c>
      <c r="GK21">
        <v>90.977169091222478</v>
      </c>
      <c r="GL21">
        <v>90.637085218305799</v>
      </c>
      <c r="GM21">
        <v>89.200975593158091</v>
      </c>
      <c r="GN21">
        <v>89.577185491077842</v>
      </c>
      <c r="GO21">
        <v>89.606256247907552</v>
      </c>
      <c r="GP21">
        <v>90.939289953927457</v>
      </c>
      <c r="GQ21">
        <v>92.650281207652171</v>
      </c>
      <c r="GR21">
        <v>92.078480964234046</v>
      </c>
      <c r="GS21">
        <v>91.920780416729627</v>
      </c>
      <c r="GT21">
        <v>92.039719896391148</v>
      </c>
      <c r="GU21">
        <v>91.676727943571279</v>
      </c>
      <c r="GV21">
        <v>91.999184306753506</v>
      </c>
      <c r="GW21">
        <v>92.187730220987333</v>
      </c>
      <c r="GX21">
        <v>92.153367968975132</v>
      </c>
      <c r="GY21">
        <v>90.294355729955313</v>
      </c>
      <c r="GZ21">
        <v>91.532234504257929</v>
      </c>
      <c r="HA21">
        <v>90.374534229878847</v>
      </c>
      <c r="HB21">
        <v>91.350733197498542</v>
      </c>
      <c r="HC21">
        <v>91.758659555786778</v>
      </c>
      <c r="HD21">
        <v>92.54632335797649</v>
      </c>
      <c r="HE21">
        <v>92.324297210383307</v>
      </c>
      <c r="HF21">
        <v>91.446775346060718</v>
      </c>
      <c r="HG21">
        <v>90.790386949979535</v>
      </c>
      <c r="HH21">
        <v>90.167484337869539</v>
      </c>
      <c r="HI21">
        <v>88.590408995600086</v>
      </c>
      <c r="HJ21">
        <v>87.922571978021708</v>
      </c>
      <c r="HK21">
        <v>86.408929556489241</v>
      </c>
      <c r="HL21">
        <v>87.657375197951026</v>
      </c>
      <c r="HM21">
        <v>88.524330283219385</v>
      </c>
      <c r="HN21">
        <v>87.697023482638826</v>
      </c>
      <c r="HO21">
        <v>89.882025181434415</v>
      </c>
      <c r="HP21">
        <v>90.55602478783436</v>
      </c>
      <c r="HQ21">
        <v>91.400077079496526</v>
      </c>
      <c r="HR21">
        <v>91.985095268014533</v>
      </c>
      <c r="HS21">
        <v>91.439720077887344</v>
      </c>
      <c r="HT21">
        <v>91.422103316956765</v>
      </c>
      <c r="HU21">
        <v>89.974534321507988</v>
      </c>
      <c r="HV21">
        <v>90.244140578108315</v>
      </c>
      <c r="HW21">
        <v>90.998313398134812</v>
      </c>
      <c r="HX21">
        <v>91.293462777478183</v>
      </c>
      <c r="HY21">
        <v>92.007121505474757</v>
      </c>
      <c r="HZ21">
        <v>92.373630343577432</v>
      </c>
      <c r="IA21">
        <v>92.037956123400278</v>
      </c>
      <c r="IB21">
        <v>91.887300095265331</v>
      </c>
      <c r="IC21">
        <v>91.671436448388775</v>
      </c>
      <c r="ID21">
        <v>91.218575772737111</v>
      </c>
      <c r="IE21">
        <v>90.882901464455017</v>
      </c>
      <c r="IF21">
        <v>91.595667513099826</v>
      </c>
      <c r="IG21">
        <v>91.831793536340797</v>
      </c>
      <c r="IH21">
        <v>91.24324771373611</v>
      </c>
      <c r="II21">
        <v>92.942795632260641</v>
      </c>
      <c r="IJ21">
        <v>92.501388952508108</v>
      </c>
      <c r="IK21">
        <v>94.575372159052691</v>
      </c>
      <c r="IL21">
        <v>94.105776653018339</v>
      </c>
      <c r="IM21">
        <v>93.540138998421796</v>
      </c>
      <c r="IN21">
        <v>92.681115737472751</v>
      </c>
      <c r="IO21">
        <v>93.725168027372817</v>
      </c>
      <c r="IP21">
        <v>94.808852478754872</v>
      </c>
      <c r="IQ21">
        <v>94.815025816380313</v>
      </c>
      <c r="IR21">
        <v>95.471403375552683</v>
      </c>
      <c r="IS21">
        <v>96.00091500514614</v>
      </c>
      <c r="IT21">
        <v>96.230867602656716</v>
      </c>
      <c r="IU21">
        <v>95.453786702727029</v>
      </c>
      <c r="IV21">
        <v>96.252893840116954</v>
      </c>
      <c r="IW21">
        <v>95.768316615991864</v>
      </c>
      <c r="IX21">
        <v>96.180652538914686</v>
      </c>
      <c r="IY21">
        <v>96.656421470679433</v>
      </c>
      <c r="IZ21">
        <v>97.043192685146522</v>
      </c>
      <c r="JA21">
        <v>96.86434783072977</v>
      </c>
      <c r="JB21">
        <v>96.964788795122672</v>
      </c>
      <c r="JC21">
        <v>97.336589040302897</v>
      </c>
      <c r="JD21">
        <v>97.897817130264855</v>
      </c>
      <c r="JE21">
        <v>98.141869603423217</v>
      </c>
      <c r="JF21">
        <v>97.638783027120695</v>
      </c>
      <c r="JG21">
        <v>97.431738509513309</v>
      </c>
      <c r="JH21">
        <v>97.044074615694427</v>
      </c>
      <c r="JI21">
        <v>97.261702035561839</v>
      </c>
      <c r="JJ21">
        <v>97.975349926649614</v>
      </c>
      <c r="JK21">
        <v>98.548032100615643</v>
      </c>
      <c r="JL21">
        <v>99.238771911800228</v>
      </c>
      <c r="JM21">
        <v>99.637889889623182</v>
      </c>
      <c r="JN21">
        <v>99.898677105059278</v>
      </c>
      <c r="JO21">
        <v>100.34977400772007</v>
      </c>
      <c r="JP21">
        <v>100.04846203955513</v>
      </c>
      <c r="JQ21">
        <v>99.940965806988885</v>
      </c>
      <c r="JR21">
        <v>98.572704129719611</v>
      </c>
      <c r="JS21">
        <v>98.004420683479367</v>
      </c>
      <c r="JT21">
        <v>98.85551758261596</v>
      </c>
      <c r="JU21">
        <v>98.501333922156434</v>
      </c>
      <c r="JV21">
        <v>98.614992743544278</v>
      </c>
      <c r="JW21">
        <v>98.930404587357017</v>
      </c>
      <c r="JX21">
        <v>100.37797367091075</v>
      </c>
      <c r="JY21">
        <v>101.05637746754336</v>
      </c>
      <c r="JZ21">
        <v>101.05108597236087</v>
      </c>
      <c r="KA21">
        <v>100.23524409269319</v>
      </c>
      <c r="KB21">
        <v>100.785900029199</v>
      </c>
      <c r="KC21">
        <v>100.76474488537787</v>
      </c>
      <c r="KD21">
        <v>100.41145399237507</v>
      </c>
      <c r="KE21">
        <v>100.51101302622006</v>
      </c>
      <c r="KF21">
        <v>100.47665077420784</v>
      </c>
      <c r="KG21">
        <v>100.79998906793797</v>
      </c>
      <c r="KH21">
        <v>101.24932210950296</v>
      </c>
      <c r="KI21">
        <v>101.30042994070172</v>
      </c>
      <c r="KJ21">
        <v>100.57268217396616</v>
      </c>
      <c r="KK21">
        <v>100.76915445001244</v>
      </c>
      <c r="KL21">
        <v>100.71452982163581</v>
      </c>
      <c r="KM21">
        <v>100.38854582436691</v>
      </c>
      <c r="KN21">
        <v>101.84579438202502</v>
      </c>
      <c r="KO21">
        <v>101.95416170823036</v>
      </c>
      <c r="KP21">
        <v>101.2933745844234</v>
      </c>
      <c r="KQ21">
        <v>100.58853498569599</v>
      </c>
      <c r="KR21">
        <v>100.31982140844744</v>
      </c>
      <c r="KS21">
        <v>99.563884815430072</v>
      </c>
      <c r="KT21">
        <v>99.889868812698964</v>
      </c>
      <c r="KU21">
        <v>100.34801023472924</v>
      </c>
      <c r="KV21">
        <v>99.200010932062284</v>
      </c>
      <c r="KW21">
        <v>99.127758793951202</v>
      </c>
      <c r="KX21">
        <v>97.08108257124546</v>
      </c>
      <c r="KY21">
        <v>97.696935289584047</v>
      </c>
      <c r="KZ21">
        <v>97.260820105013991</v>
      </c>
      <c r="LA21">
        <v>98.495171333334866</v>
      </c>
      <c r="LB21">
        <v>97.689008839666641</v>
      </c>
      <c r="LC21">
        <v>98.726005861393332</v>
      </c>
      <c r="LD21">
        <v>99.766519680297904</v>
      </c>
      <c r="LE21">
        <v>98.555958550533063</v>
      </c>
      <c r="LF21">
        <v>98.9392129678223</v>
      </c>
      <c r="LG21">
        <v>98.217638538712208</v>
      </c>
      <c r="LH21">
        <v>99.355947618470893</v>
      </c>
      <c r="LI21">
        <v>96.661702128953124</v>
      </c>
      <c r="LJ21">
        <v>96.910153329837243</v>
      </c>
      <c r="LK21">
        <v>96.434395234981309</v>
      </c>
      <c r="LL21">
        <v>98.048473158399801</v>
      </c>
      <c r="LM21">
        <v>99.513658914779157</v>
      </c>
      <c r="LN21">
        <v>100.26078721543617</v>
      </c>
      <c r="LO21">
        <v>99.895149470972584</v>
      </c>
      <c r="LP21">
        <v>99.200882025701333</v>
      </c>
      <c r="LQ21">
        <v>100.32158518143824</v>
      </c>
      <c r="LR21">
        <v>100.63258746061639</v>
      </c>
      <c r="LS21">
        <v>100.55241970949673</v>
      </c>
      <c r="LT21">
        <v>99.493396538414729</v>
      </c>
      <c r="LU21">
        <v>99.645816339540531</v>
      </c>
      <c r="LV21">
        <v>99.118068571042869</v>
      </c>
      <c r="LW21">
        <v>98.14979605334058</v>
      </c>
      <c r="LX21">
        <v>98.92159629499659</v>
      </c>
      <c r="LY21">
        <v>100.56475572404868</v>
      </c>
      <c r="LZ21">
        <v>100.86518584977065</v>
      </c>
      <c r="MA21">
        <v>102.17178912809769</v>
      </c>
      <c r="MB21">
        <v>101.66958448234307</v>
      </c>
      <c r="MC21">
        <v>100.53567421841508</v>
      </c>
      <c r="MD21">
        <v>100.55330164004461</v>
      </c>
      <c r="ME21">
        <v>100.01498171809079</v>
      </c>
      <c r="MF21">
        <v>100.32510206672104</v>
      </c>
      <c r="MG21">
        <v>100.01145408400411</v>
      </c>
      <c r="MH21">
        <v>99.032609324740719</v>
      </c>
      <c r="MI21">
        <v>99.567401700712807</v>
      </c>
      <c r="MJ21">
        <v>99.971800336809437</v>
      </c>
      <c r="MK21">
        <v>99.772693106028257</v>
      </c>
      <c r="ML21">
        <v>99.674887096370256</v>
      </c>
      <c r="MM21">
        <v>99.418509445568731</v>
      </c>
      <c r="MN21">
        <v>99.422026330851551</v>
      </c>
      <c r="MO21">
        <v>99.859916125321277</v>
      </c>
      <c r="MP21">
        <v>100.39647227428424</v>
      </c>
      <c r="MQ21">
        <v>100.54184755604058</v>
      </c>
      <c r="MR21">
        <v>100.31541184381281</v>
      </c>
      <c r="MS21">
        <v>100.3823724867414</v>
      </c>
      <c r="MT21">
        <v>98.590320802545236</v>
      </c>
      <c r="MU21">
        <v>99.062562012118349</v>
      </c>
      <c r="MV21">
        <v>100.3004408745259</v>
      </c>
      <c r="MW21">
        <v>98.548032100615629</v>
      </c>
      <c r="MX21">
        <v>96.80972320235314</v>
      </c>
      <c r="MY21">
        <v>97.325134956298811</v>
      </c>
      <c r="MZ21">
        <v>98.831727484059869</v>
      </c>
      <c r="NA21">
        <v>98.146268419253914</v>
      </c>
      <c r="NB21">
        <v>97.294300426478245</v>
      </c>
      <c r="NC21">
        <v>98.127769815880384</v>
      </c>
      <c r="ND21">
        <v>96.800904073083984</v>
      </c>
      <c r="NE21">
        <v>96.821177286357226</v>
      </c>
      <c r="NF21">
        <v>98.703097693385175</v>
      </c>
      <c r="NG21">
        <v>99.011465017828414</v>
      </c>
      <c r="NH21">
        <v>99.038772001667255</v>
      </c>
      <c r="NI21">
        <v>100.65109681279381</v>
      </c>
      <c r="NJ21">
        <v>100.34712830418127</v>
      </c>
      <c r="NK21">
        <v>100.03348032146435</v>
      </c>
      <c r="NL21">
        <v>99.06697157675292</v>
      </c>
      <c r="NM21">
        <v>99.502204830775071</v>
      </c>
      <c r="NN21">
        <v>98.965648769917067</v>
      </c>
      <c r="NO21">
        <v>98.929522656809056</v>
      </c>
      <c r="NP21">
        <v>99.883695386968512</v>
      </c>
      <c r="NQ21">
        <v>100.59029884679174</v>
      </c>
      <c r="NR21">
        <v>100.84845110749293</v>
      </c>
      <c r="NS21">
        <v>101.45284974182744</v>
      </c>
      <c r="NT21">
        <v>101.8158416946473</v>
      </c>
      <c r="NU21">
        <v>101.9145187979444</v>
      </c>
      <c r="NV21">
        <v>101.27752177269349</v>
      </c>
      <c r="NW21">
        <v>99.742729669846753</v>
      </c>
      <c r="NX21">
        <v>101.55505447921119</v>
      </c>
      <c r="NY21">
        <v>101.25196790114656</v>
      </c>
      <c r="NZ21">
        <v>101.13655596746678</v>
      </c>
      <c r="OA21">
        <v>100.33567422017717</v>
      </c>
      <c r="OB21">
        <v>100.82907057357143</v>
      </c>
      <c r="OC21">
        <v>100.7744459451948</v>
      </c>
      <c r="OD21">
        <v>101.01232499262275</v>
      </c>
      <c r="OE21">
        <v>101.34801004970872</v>
      </c>
      <c r="OF21">
        <v>101.21672371858642</v>
      </c>
      <c r="OG21">
        <v>101.7110020025286</v>
      </c>
      <c r="OH21">
        <v>100.70219380708372</v>
      </c>
      <c r="OI21">
        <v>101.34976307389572</v>
      </c>
      <c r="OJ21">
        <v>101.20087090685658</v>
      </c>
      <c r="OK21">
        <v>100.58501810041307</v>
      </c>
      <c r="OL21">
        <v>99.452871697580889</v>
      </c>
      <c r="OM21">
        <v>96.894300518107329</v>
      </c>
      <c r="ON21">
        <v>97.008841270043064</v>
      </c>
      <c r="OO21">
        <v>98.068735622869085</v>
      </c>
      <c r="OP21">
        <v>98.827317919425226</v>
      </c>
      <c r="OQ21">
        <v>98.01146520284874</v>
      </c>
      <c r="OR21">
        <v>98.149796053340523</v>
      </c>
      <c r="OS21">
        <v>97.445838385161011</v>
      </c>
      <c r="OT21">
        <v>98.4458273632318</v>
      </c>
      <c r="OU21">
        <v>99.385911054652283</v>
      </c>
      <c r="OV21">
        <v>100.42466110056597</v>
      </c>
      <c r="OW21">
        <v>99.674016002731094</v>
      </c>
      <c r="OX21">
        <v>99.748903007472137</v>
      </c>
      <c r="OY21">
        <v>98.786793078591415</v>
      </c>
      <c r="OZ21">
        <v>99.84669826832625</v>
      </c>
      <c r="PA21">
        <v>100.55153786705368</v>
      </c>
      <c r="PB21">
        <v>100.65374260443745</v>
      </c>
      <c r="PC21">
        <v>100.84315961231036</v>
      </c>
      <c r="PD21">
        <v>101.22642477840346</v>
      </c>
      <c r="PE21">
        <v>102.1215633155517</v>
      </c>
      <c r="PF21">
        <v>101.03876079471755</v>
      </c>
      <c r="PG21">
        <v>101.83258727383379</v>
      </c>
      <c r="PH21">
        <v>101.26871339222812</v>
      </c>
      <c r="PI21">
        <v>103.34446045986851</v>
      </c>
      <c r="PJ21">
        <v>104.01670166767953</v>
      </c>
      <c r="PK21">
        <v>102.98852377522199</v>
      </c>
      <c r="PL21">
        <v>102.64667612931446</v>
      </c>
      <c r="PM21">
        <v>104.29952586937975</v>
      </c>
      <c r="PN21">
        <v>105.36206592574455</v>
      </c>
      <c r="PO21">
        <v>105.32065915436286</v>
      </c>
      <c r="PP21">
        <v>105.71889528974283</v>
      </c>
      <c r="PQ21">
        <v>106.17880057286894</v>
      </c>
      <c r="PR21">
        <v>105.7708742145807</v>
      </c>
      <c r="PS21">
        <v>106.53122037223264</v>
      </c>
      <c r="PT21">
        <v>106.2492780129754</v>
      </c>
      <c r="PU21">
        <v>106.21492659787199</v>
      </c>
      <c r="PV21">
        <v>105.68893185356133</v>
      </c>
      <c r="PW21">
        <v>104.61317385209665</v>
      </c>
      <c r="PX21">
        <v>105.39290054367007</v>
      </c>
      <c r="PY21">
        <v>106.84223340021465</v>
      </c>
      <c r="PZ21">
        <v>107.8589572086681</v>
      </c>
      <c r="QA21">
        <v>107.96468958013855</v>
      </c>
      <c r="QB21">
        <v>108.0809833562613</v>
      </c>
      <c r="QC21">
        <v>107.38055332216847</v>
      </c>
      <c r="QD21">
        <v>107.0175613693486</v>
      </c>
      <c r="QE21">
        <v>107.06689459064766</v>
      </c>
      <c r="QF21">
        <v>107.80345064974357</v>
      </c>
      <c r="QG21">
        <v>108.5056552937361</v>
      </c>
      <c r="QH21">
        <v>109.27745553539211</v>
      </c>
      <c r="QI21">
        <v>108.76908821271097</v>
      </c>
      <c r="QJ21">
        <v>108.62899358922832</v>
      </c>
      <c r="QK21">
        <v>108.23869474067453</v>
      </c>
      <c r="QL21">
        <v>108.68538207870075</v>
      </c>
      <c r="QM21">
        <v>108.80080467307945</v>
      </c>
      <c r="QN21">
        <v>110.75321344522764</v>
      </c>
      <c r="QO21">
        <v>110.53558602536023</v>
      </c>
      <c r="QP21">
        <v>109.33208016376875</v>
      </c>
      <c r="QQ21">
        <v>109.31092501994762</v>
      </c>
      <c r="QR21">
        <v>109.88009030863084</v>
      </c>
      <c r="QS21">
        <v>110.91355969627085</v>
      </c>
      <c r="QT21">
        <v>111.39637305930015</v>
      </c>
      <c r="QU21">
        <v>110.47479872005709</v>
      </c>
      <c r="QV21">
        <v>110.4175283881417</v>
      </c>
      <c r="QW21">
        <v>109.03428499278169</v>
      </c>
      <c r="QX21">
        <v>109.33559704905157</v>
      </c>
      <c r="QY21">
        <v>109.16467855644727</v>
      </c>
      <c r="QZ21">
        <v>109.78933965525115</v>
      </c>
      <c r="RA21">
        <v>109.84837384826237</v>
      </c>
      <c r="RB21">
        <v>110.17523977607915</v>
      </c>
      <c r="RC21">
        <v>110.57259398091122</v>
      </c>
      <c r="RD21">
        <v>112.24658802788882</v>
      </c>
      <c r="RE21">
        <v>112.1505566281305</v>
      </c>
      <c r="RF21">
        <v>113.15319139784501</v>
      </c>
      <c r="RG21">
        <v>113.43776862373221</v>
      </c>
      <c r="RH21">
        <v>113.33115432171387</v>
      </c>
      <c r="RI21">
        <v>114.02542176698512</v>
      </c>
      <c r="RJ21">
        <v>113.56198884977235</v>
      </c>
      <c r="RK21">
        <v>114.4853377989151</v>
      </c>
      <c r="RL21">
        <v>111.78580081421485</v>
      </c>
      <c r="RM21">
        <v>112.50385835804214</v>
      </c>
      <c r="RN21">
        <v>114.12586273137802</v>
      </c>
      <c r="RO21">
        <v>112.33204718608606</v>
      </c>
      <c r="RP21">
        <v>112.58050922387899</v>
      </c>
      <c r="RQ21">
        <v>112.66508653963325</v>
      </c>
      <c r="RR21">
        <v>114.46066585791608</v>
      </c>
      <c r="RS21">
        <v>117.23597177790528</v>
      </c>
      <c r="RT21">
        <v>118.31084784882205</v>
      </c>
      <c r="RU21">
        <v>118.08265902430234</v>
      </c>
      <c r="RV21">
        <v>117.48530490933732</v>
      </c>
      <c r="RW21">
        <v>119.10732003147709</v>
      </c>
      <c r="RX21">
        <v>118.74697378219598</v>
      </c>
      <c r="RY21">
        <v>118.51349355059872</v>
      </c>
      <c r="RZ21">
        <v>119.41745112891118</v>
      </c>
      <c r="SA21">
        <v>119.33639069843974</v>
      </c>
      <c r="SB21">
        <v>120.13639060328637</v>
      </c>
      <c r="SC21">
        <v>121.29144517412669</v>
      </c>
      <c r="SD21">
        <v>120.99188623014875</v>
      </c>
      <c r="SE21">
        <v>119.95753491196082</v>
      </c>
      <c r="SF21">
        <v>115.34611408405112</v>
      </c>
      <c r="SG21">
        <v>113.32058216825772</v>
      </c>
      <c r="SH21">
        <v>113.24217827823387</v>
      </c>
      <c r="SI21">
        <v>110.07656267278207</v>
      </c>
      <c r="SJ21">
        <v>107.37349805399515</v>
      </c>
      <c r="SK21">
        <v>108.42547679381259</v>
      </c>
      <c r="SL21">
        <v>111.47655164732865</v>
      </c>
      <c r="SM21">
        <v>112.03248824210812</v>
      </c>
      <c r="SN21">
        <v>111.24042562408768</v>
      </c>
      <c r="SO21">
        <v>108.11799131181232</v>
      </c>
      <c r="SP21">
        <v>102.18324321210171</v>
      </c>
      <c r="SQ21">
        <v>100.71893938627026</v>
      </c>
      <c r="SR21">
        <v>98.695160494663853</v>
      </c>
      <c r="SS21">
        <v>90.771006504162912</v>
      </c>
      <c r="ST21">
        <v>91.762187189873345</v>
      </c>
      <c r="SU21">
        <v>89.630046346463516</v>
      </c>
      <c r="SV21">
        <v>90.976287160674488</v>
      </c>
      <c r="SW21">
        <v>88.725206749498199</v>
      </c>
      <c r="SX21">
        <v>89.50846107515828</v>
      </c>
      <c r="SY21">
        <v>90.868801676912099</v>
      </c>
      <c r="SZ21">
        <v>87.277643040346419</v>
      </c>
      <c r="TA21">
        <v>90.8441297359131</v>
      </c>
      <c r="TB21">
        <v>92.994774557098424</v>
      </c>
      <c r="TC21">
        <v>95.719865413345573</v>
      </c>
      <c r="TD21">
        <v>94.793881509467937</v>
      </c>
      <c r="TE21">
        <v>97.325134956298783</v>
      </c>
      <c r="TF21">
        <v>99.250225995804243</v>
      </c>
      <c r="TG21">
        <v>98.718950593219915</v>
      </c>
      <c r="TH21">
        <v>98.153323687427246</v>
      </c>
      <c r="TI21">
        <v>99.49692417250138</v>
      </c>
      <c r="TJ21">
        <v>100.69866617299704</v>
      </c>
      <c r="TK21">
        <v>102.18324321210173</v>
      </c>
      <c r="TL21">
        <v>101.43611499954966</v>
      </c>
      <c r="TM21">
        <v>104.02022930176625</v>
      </c>
      <c r="TN21">
        <v>102.66164709860136</v>
      </c>
      <c r="TO21">
        <v>103.84049176799772</v>
      </c>
      <c r="TP21">
        <v>106.13562994039145</v>
      </c>
      <c r="TQ21">
        <v>107.43341417755427</v>
      </c>
      <c r="TR21">
        <v>106.28452219553554</v>
      </c>
      <c r="TS21">
        <v>106.57791855069192</v>
      </c>
      <c r="TT21">
        <v>108.43075745208628</v>
      </c>
      <c r="TU21">
        <v>107.06513072955192</v>
      </c>
      <c r="TV21">
        <v>107.83516711011214</v>
      </c>
      <c r="TW21">
        <v>109.00255769550441</v>
      </c>
      <c r="TX21">
        <v>108.92943446375423</v>
      </c>
      <c r="TY21">
        <v>108.80608541945813</v>
      </c>
      <c r="TZ21">
        <v>105.96734649062701</v>
      </c>
      <c r="UA21">
        <v>107.14530922947546</v>
      </c>
      <c r="UB21">
        <v>107.74266343254543</v>
      </c>
      <c r="UC21">
        <v>109.22987542638501</v>
      </c>
      <c r="UD21">
        <v>110.7391135695799</v>
      </c>
      <c r="UE21">
        <v>111.02545465656291</v>
      </c>
      <c r="UF21">
        <v>110.54968581290311</v>
      </c>
      <c r="UG21">
        <v>108.94265240885409</v>
      </c>
      <c r="UH21">
        <v>109.47569167253423</v>
      </c>
      <c r="UI21">
        <v>112.30297642925633</v>
      </c>
      <c r="UJ21">
        <v>113.03953257645716</v>
      </c>
      <c r="UK21">
        <v>114.67651866788378</v>
      </c>
      <c r="UL21">
        <v>116.49236036253104</v>
      </c>
      <c r="UM21">
        <v>116.91526843891002</v>
      </c>
      <c r="UN21">
        <v>113.39811496464242</v>
      </c>
      <c r="UO21">
        <v>116.68796154493822</v>
      </c>
      <c r="UP21">
        <v>116.91615036945791</v>
      </c>
      <c r="UQ21">
        <v>117.32495857018912</v>
      </c>
      <c r="UR21">
        <v>118.01393460838283</v>
      </c>
      <c r="US21">
        <v>117.59191921135562</v>
      </c>
      <c r="UT21">
        <v>117.32495857018911</v>
      </c>
      <c r="UU21">
        <v>117.51438641497086</v>
      </c>
      <c r="UV21">
        <v>118.35313646264666</v>
      </c>
      <c r="UW21">
        <v>116.1848749686357</v>
      </c>
      <c r="UX21">
        <v>116.34258626494399</v>
      </c>
      <c r="UY21">
        <v>116.03069130641406</v>
      </c>
      <c r="UZ21">
        <v>117.76812911103745</v>
      </c>
      <c r="VA21">
        <v>119.61745112714901</v>
      </c>
      <c r="VB21">
        <v>118.72934636056638</v>
      </c>
      <c r="VC21">
        <v>119.52670047376931</v>
      </c>
      <c r="VD21">
        <v>121.52316163273301</v>
      </c>
      <c r="VE21">
        <v>119.39101541492124</v>
      </c>
      <c r="VF21">
        <v>119.00335143299743</v>
      </c>
      <c r="VG21">
        <v>118.30380332945251</v>
      </c>
      <c r="VH21">
        <v>118.43066925903142</v>
      </c>
      <c r="VI21">
        <v>118.75578216266121</v>
      </c>
      <c r="VJ21">
        <v>119.9222908175056</v>
      </c>
      <c r="VK21">
        <v>121.71522434414473</v>
      </c>
      <c r="VL21">
        <v>121.54870475547608</v>
      </c>
      <c r="VM21">
        <v>122.64561781265697</v>
      </c>
      <c r="VN21">
        <v>122.68702458403865</v>
      </c>
      <c r="VO21">
        <v>123.33194805920695</v>
      </c>
      <c r="VP21">
        <v>123.80507119932798</v>
      </c>
      <c r="VQ21">
        <v>124.12842024186197</v>
      </c>
      <c r="VR21">
        <v>125.50285534486163</v>
      </c>
      <c r="VS21">
        <v>124.09846755448434</v>
      </c>
      <c r="VT21">
        <v>126.88434562792969</v>
      </c>
      <c r="VU21">
        <v>126.5609965853957</v>
      </c>
      <c r="VV21">
        <v>127.31165252013939</v>
      </c>
      <c r="VW21">
        <v>129.04556269067612</v>
      </c>
      <c r="VX21">
        <v>129.81999788706702</v>
      </c>
      <c r="VY21">
        <v>129.16450217033761</v>
      </c>
      <c r="VZ21">
        <v>129.15128431334267</v>
      </c>
      <c r="WA21">
        <v>127.09227207608497</v>
      </c>
      <c r="WB21">
        <v>127.61561027994803</v>
      </c>
      <c r="WC21">
        <v>127.46936381644767</v>
      </c>
      <c r="WD21">
        <v>127.12398853645345</v>
      </c>
      <c r="WE21">
        <v>126.2015322666625</v>
      </c>
      <c r="WF21">
        <v>125.42885018256351</v>
      </c>
      <c r="WG21">
        <v>127.89490684756157</v>
      </c>
      <c r="WH21">
        <v>126.34073421079339</v>
      </c>
      <c r="WI21">
        <v>126.71341647462644</v>
      </c>
      <c r="WJ21">
        <v>126.18478677558089</v>
      </c>
      <c r="WK21">
        <v>127.65085446250816</v>
      </c>
      <c r="WL21">
        <v>126.82178380083181</v>
      </c>
      <c r="WM21">
        <v>129.57859111744747</v>
      </c>
      <c r="WN21">
        <v>129.96537316882339</v>
      </c>
      <c r="WO21">
        <v>130.58387167880568</v>
      </c>
      <c r="WP21">
        <v>128.69314289131242</v>
      </c>
      <c r="WQ21">
        <v>129.9873994062836</v>
      </c>
      <c r="WR21">
        <v>128.05789889024851</v>
      </c>
      <c r="WS21">
        <v>129.2534890507265</v>
      </c>
      <c r="WT21">
        <v>128.67111665385221</v>
      </c>
      <c r="WU21">
        <v>129.53365680008406</v>
      </c>
      <c r="WV21">
        <v>130.27903198844913</v>
      </c>
      <c r="WW21">
        <v>130.36977189302496</v>
      </c>
      <c r="WX21">
        <v>131.22703129287819</v>
      </c>
      <c r="WY21">
        <v>130.5230736246987</v>
      </c>
      <c r="WZ21">
        <v>129.50546788569733</v>
      </c>
      <c r="XA21">
        <v>130.34511070082985</v>
      </c>
      <c r="XB21">
        <v>129.11780399187845</v>
      </c>
      <c r="XC21">
        <v>130.97681631900321</v>
      </c>
      <c r="XD21">
        <v>129.66405036374965</v>
      </c>
      <c r="XE21">
        <v>126.56892303531315</v>
      </c>
      <c r="XF21">
        <v>129.0323447455763</v>
      </c>
      <c r="XG21">
        <v>126.8085766926408</v>
      </c>
      <c r="XH21">
        <v>129.91779305981629</v>
      </c>
      <c r="XI21">
        <v>129.42264368223502</v>
      </c>
      <c r="XJ21">
        <v>129.10282227378772</v>
      </c>
      <c r="XK21">
        <v>128.94247602274453</v>
      </c>
      <c r="XL21">
        <v>130.21823393434218</v>
      </c>
      <c r="XM21">
        <v>131.16977170976674</v>
      </c>
      <c r="XN21">
        <v>131.52395537022625</v>
      </c>
      <c r="XO21">
        <v>131.39619667319064</v>
      </c>
      <c r="XP21">
        <v>129.46845993014642</v>
      </c>
      <c r="XQ21">
        <v>129.97859111392336</v>
      </c>
      <c r="XR21">
        <v>130.6666851334642</v>
      </c>
      <c r="XS21">
        <v>129.09225012033158</v>
      </c>
      <c r="XT21">
        <v>129.74422886367324</v>
      </c>
      <c r="XU21">
        <v>131.77768722938404</v>
      </c>
      <c r="XV21">
        <v>133.25961856494996</v>
      </c>
      <c r="XW21">
        <v>132.89398082048638</v>
      </c>
      <c r="XX21">
        <v>134.41996463097277</v>
      </c>
      <c r="XY21">
        <v>133.72921407098431</v>
      </c>
      <c r="XZ21">
        <v>135.6666410369368</v>
      </c>
      <c r="YA21">
        <v>134.64991722848333</v>
      </c>
      <c r="YB21">
        <v>135.38470951458837</v>
      </c>
      <c r="YC21">
        <v>136.5018850362386</v>
      </c>
      <c r="YD21">
        <v>137.8912910204202</v>
      </c>
      <c r="YE21">
        <v>140.71329511886864</v>
      </c>
      <c r="YF21">
        <v>140.70360489596038</v>
      </c>
      <c r="YG21">
        <v>140.81549994435736</v>
      </c>
      <c r="YH21">
        <v>138.39437759672273</v>
      </c>
      <c r="YI21">
        <v>139.12916988282777</v>
      </c>
      <c r="YJ21">
        <v>138.30362694334303</v>
      </c>
      <c r="YK21">
        <v>138.05076617782433</v>
      </c>
      <c r="YL21">
        <v>135.78910823878994</v>
      </c>
      <c r="YM21">
        <v>134.47986991762306</v>
      </c>
      <c r="YN21">
        <v>134.73361261368967</v>
      </c>
      <c r="YO21">
        <v>132.31865294298157</v>
      </c>
      <c r="YP21">
        <v>132.30368197369469</v>
      </c>
      <c r="YQ21">
        <v>129.03058097258545</v>
      </c>
      <c r="YR21">
        <v>131.6208686124275</v>
      </c>
      <c r="YS21">
        <v>130.8455407366848</v>
      </c>
      <c r="YT21">
        <v>131.90103636178503</v>
      </c>
      <c r="YU21">
        <v>133.40058428207166</v>
      </c>
      <c r="YV21">
        <v>137.02434130955373</v>
      </c>
      <c r="YW21">
        <v>140.37409326460477</v>
      </c>
      <c r="YX21">
        <v>139.76352120453984</v>
      </c>
      <c r="YY21">
        <v>137.7071546708209</v>
      </c>
      <c r="YZ21">
        <v>136.75298194066144</v>
      </c>
      <c r="ZA21">
        <v>139.12828795227981</v>
      </c>
      <c r="ZB21">
        <v>139.69656056161125</v>
      </c>
      <c r="ZC21">
        <v>139.11242430364115</v>
      </c>
      <c r="ZD21">
        <v>138.38644039800141</v>
      </c>
      <c r="ZE21">
        <v>137.81816778866997</v>
      </c>
      <c r="ZF21">
        <v>137.84460359076479</v>
      </c>
      <c r="ZG21">
        <v>138.32212554671651</v>
      </c>
      <c r="ZH21">
        <v>140.59523756975497</v>
      </c>
      <c r="ZI21">
        <v>139.38732214352891</v>
      </c>
      <c r="ZJ21">
        <v>137.34592657909684</v>
      </c>
      <c r="ZK21">
        <v>137.69570058681683</v>
      </c>
      <c r="ZL21">
        <v>138.53269761030563</v>
      </c>
      <c r="ZM21">
        <v>140.36704874523528</v>
      </c>
      <c r="ZN21">
        <v>140.68422436203889</v>
      </c>
      <c r="ZO21">
        <v>139.34855032688213</v>
      </c>
      <c r="ZP21">
        <v>138.82608321665816</v>
      </c>
      <c r="ZQ21">
        <v>136.91861968688715</v>
      </c>
      <c r="ZR21">
        <v>137.00143314154559</v>
      </c>
      <c r="ZS21">
        <v>137.75738057147177</v>
      </c>
      <c r="ZT21">
        <v>139.17410428829609</v>
      </c>
      <c r="ZU21">
        <v>139.99347380205046</v>
      </c>
      <c r="ZV21">
        <v>138.93357944922442</v>
      </c>
      <c r="ZW21">
        <v>139.37938494480767</v>
      </c>
      <c r="ZX21">
        <v>140.99170984403915</v>
      </c>
      <c r="ZY21">
        <v>140.5547127289212</v>
      </c>
      <c r="ZZ21">
        <v>142.07980377195088</v>
      </c>
      <c r="AAA21">
        <v>142.58993486762287</v>
      </c>
      <c r="AAB21">
        <v>144.83043775094106</v>
      </c>
      <c r="AAC21">
        <v>144.03044868300321</v>
      </c>
      <c r="AAD21">
        <v>145.74320370971878</v>
      </c>
      <c r="AAE21">
        <v>145.32207024323949</v>
      </c>
      <c r="AAF21">
        <v>148.27446799345844</v>
      </c>
      <c r="AAG21">
        <v>148.74053586540612</v>
      </c>
      <c r="AAH21">
        <v>147.72293012640475</v>
      </c>
      <c r="AAI21">
        <v>149.91498171897175</v>
      </c>
      <c r="AAJ21">
        <v>148.06829465759509</v>
      </c>
      <c r="AAK21">
        <v>149.06388490794012</v>
      </c>
      <c r="AAL21">
        <v>150.35725949236343</v>
      </c>
      <c r="AAM21">
        <v>148.94494534017369</v>
      </c>
      <c r="AAN21">
        <v>146.6550985748575</v>
      </c>
      <c r="AAO21">
        <v>147.2788777431135</v>
      </c>
      <c r="AAP21">
        <v>147.70883033886196</v>
      </c>
      <c r="AAQ21">
        <v>146.04540844534051</v>
      </c>
      <c r="AAR21">
        <v>146.9467203201142</v>
      </c>
      <c r="AAS21">
        <v>148.61718673300513</v>
      </c>
      <c r="AAT21">
        <v>148.88943878124917</v>
      </c>
      <c r="AAU21">
        <v>148.99076167618995</v>
      </c>
      <c r="AAV21">
        <v>148.52027349080382</v>
      </c>
      <c r="AAW21">
        <v>148.78458834032659</v>
      </c>
      <c r="AAX21">
        <v>146.92645794374974</v>
      </c>
      <c r="AAY21">
        <v>143.44102092985062</v>
      </c>
      <c r="AAZ21">
        <v>144.85951925657463</v>
      </c>
      <c r="ABA21">
        <v>142.07011354904259</v>
      </c>
      <c r="ABB21">
        <v>144.44630140310392</v>
      </c>
      <c r="ABC21">
        <v>146.72733987605974</v>
      </c>
      <c r="ABD21">
        <v>147.59869915156077</v>
      </c>
      <c r="ABE21">
        <v>146.7150038615078</v>
      </c>
      <c r="ABF21">
        <v>147.96345487737153</v>
      </c>
      <c r="ABG21">
        <v>147.37843677695849</v>
      </c>
      <c r="ABH21">
        <v>146.25686243947754</v>
      </c>
      <c r="ABI21">
        <v>143.74057996193358</v>
      </c>
      <c r="ABJ21">
        <v>147.31235806457778</v>
      </c>
      <c r="ABK21">
        <v>149.42599493021214</v>
      </c>
      <c r="ABL21">
        <v>150.8295115388454</v>
      </c>
      <c r="ABM21">
        <v>147.85067798653162</v>
      </c>
      <c r="ABN21">
        <v>147.72997464577429</v>
      </c>
      <c r="ABO21">
        <v>144.95202302224632</v>
      </c>
      <c r="ABP21">
        <v>142.37495323939919</v>
      </c>
      <c r="ABQ21">
        <v>141.82694300643217</v>
      </c>
      <c r="ABR21">
        <v>143.40049608901688</v>
      </c>
      <c r="ABS21">
        <v>141.57231837981763</v>
      </c>
      <c r="ABT21">
        <v>143.8762650207816</v>
      </c>
      <c r="ABU21">
        <v>142.81196110332101</v>
      </c>
      <c r="ABV21">
        <v>139.28776310968394</v>
      </c>
      <c r="ABW21">
        <v>137.44460368239396</v>
      </c>
      <c r="ABX21">
        <v>135.57765415654794</v>
      </c>
      <c r="ABY21">
        <v>137.12654604693751</v>
      </c>
      <c r="ABZ21">
        <v>141.61372515119933</v>
      </c>
      <c r="ACA21">
        <v>142.90093714680103</v>
      </c>
      <c r="ACB21">
        <v>144.6912358068102</v>
      </c>
      <c r="ACC21">
        <v>143.09389262566944</v>
      </c>
      <c r="ACD21">
        <v>144.14674245912599</v>
      </c>
      <c r="ACE21">
        <v>145.8788887685669</v>
      </c>
      <c r="ACF21">
        <v>142.99962508700693</v>
      </c>
      <c r="ACG21">
        <v>143.66392909609667</v>
      </c>
      <c r="ACH21">
        <v>144.23044859313617</v>
      </c>
      <c r="ACI21">
        <v>145.30708852514877</v>
      </c>
      <c r="ACJ21">
        <v>144.50445375367218</v>
      </c>
      <c r="ACK21">
        <v>142.687730128477</v>
      </c>
      <c r="ACL21">
        <v>142.78905293531284</v>
      </c>
      <c r="ACM21">
        <v>145.48329842483056</v>
      </c>
      <c r="ACN21">
        <v>146.52469417428304</v>
      </c>
      <c r="ACO21">
        <v>146.72557610306882</v>
      </c>
      <c r="ACP21">
        <v>148.87974855834082</v>
      </c>
      <c r="ACQ21">
        <v>149.42246729612535</v>
      </c>
      <c r="ACR21">
        <v>147.98987993066237</v>
      </c>
      <c r="ACS21">
        <v>150.67884476190645</v>
      </c>
      <c r="ACT21">
        <v>151.92994148130893</v>
      </c>
      <c r="ACU21">
        <v>150.1096902220271</v>
      </c>
      <c r="ACV21">
        <v>151.50350577084328</v>
      </c>
      <c r="ACW21">
        <v>150.32818873553362</v>
      </c>
      <c r="ACX21">
        <v>151.47531694456148</v>
      </c>
      <c r="ACY21">
        <v>153.11671260062269</v>
      </c>
      <c r="ACZ21">
        <v>152.20394655374</v>
      </c>
      <c r="ADA21">
        <v>150.2418476467885</v>
      </c>
      <c r="ADB21">
        <v>151.96958439159485</v>
      </c>
      <c r="ADC21">
        <v>155.40391366240016</v>
      </c>
      <c r="ADD21">
        <v>155.20039677887945</v>
      </c>
      <c r="ADE21">
        <v>155.52373507260958</v>
      </c>
      <c r="ADF21">
        <v>157.573938929402</v>
      </c>
      <c r="ADG21">
        <v>156.92460588959912</v>
      </c>
      <c r="ADH21">
        <v>155.62505787944545</v>
      </c>
      <c r="ADI21">
        <v>155.89378229360281</v>
      </c>
      <c r="ADJ21">
        <v>152.82508001845724</v>
      </c>
      <c r="ADK21">
        <v>156.03651187182038</v>
      </c>
      <c r="ADL21">
        <v>154.22947855763843</v>
      </c>
      <c r="ADM21">
        <v>156.78540394546829</v>
      </c>
      <c r="ADN21">
        <v>156.19597628042064</v>
      </c>
      <c r="ADO21">
        <v>152.09293352399595</v>
      </c>
      <c r="ADP21">
        <v>151.4021937128114</v>
      </c>
      <c r="ADQ21">
        <v>153.51758360263275</v>
      </c>
      <c r="ADR21">
        <v>154.60745222854908</v>
      </c>
      <c r="ADS21">
        <v>153.6206702705644</v>
      </c>
      <c r="ADT21">
        <v>156.54839607978434</v>
      </c>
      <c r="ADU21">
        <v>158.31490464123746</v>
      </c>
      <c r="ADV21">
        <v>158.85410649373921</v>
      </c>
      <c r="ADW21">
        <v>158.72283099952571</v>
      </c>
      <c r="ADX21">
        <v>157.02945641862664</v>
      </c>
      <c r="ADY21">
        <v>159.10784918980579</v>
      </c>
      <c r="ADZ21">
        <v>157.97658462941658</v>
      </c>
      <c r="AEA21">
        <v>159.21621651601114</v>
      </c>
      <c r="AEB21">
        <v>157.38451117272524</v>
      </c>
      <c r="AEC21">
        <v>157.52812268149069</v>
      </c>
      <c r="AED21">
        <v>158.57041111029494</v>
      </c>
      <c r="AEE21">
        <v>159.14925587308255</v>
      </c>
      <c r="AEF21">
        <v>158.78538198971478</v>
      </c>
      <c r="AEG21">
        <v>159.94749191683337</v>
      </c>
      <c r="AEH21">
        <v>159.79947084343334</v>
      </c>
      <c r="AEI21">
        <v>159.84793288298837</v>
      </c>
      <c r="AEJ21">
        <v>161.28140217899923</v>
      </c>
      <c r="AEK21">
        <v>161.90429941670729</v>
      </c>
      <c r="AEL21">
        <v>163.38621991536439</v>
      </c>
      <c r="AEM21">
        <v>161.99505007008699</v>
      </c>
      <c r="AEN21">
        <v>161.07522884313587</v>
      </c>
      <c r="AEO21">
        <v>161.79152252586735</v>
      </c>
      <c r="AEP21">
        <v>162.09549103447989</v>
      </c>
      <c r="AEQ21">
        <v>160.8699481866243</v>
      </c>
      <c r="AER21">
        <v>162.57477676342248</v>
      </c>
      <c r="AES21">
        <v>163.5368866923032</v>
      </c>
      <c r="AET21">
        <v>164.63731663476688</v>
      </c>
      <c r="AEU21">
        <v>163.91133272912714</v>
      </c>
      <c r="AEV21">
        <v>166.41967809605478</v>
      </c>
      <c r="AEW21">
        <v>165.95008259002043</v>
      </c>
      <c r="AEX21">
        <v>166.20117949444335</v>
      </c>
      <c r="AEY21">
        <v>167.60821298835941</v>
      </c>
      <c r="AEZ21">
        <v>169.66634329506923</v>
      </c>
      <c r="AFA21">
        <v>167.69015534937878</v>
      </c>
      <c r="AFB21">
        <v>167.14830770523335</v>
      </c>
      <c r="AFC21">
        <v>169.48044317247914</v>
      </c>
      <c r="AFD21">
        <v>169.50158747939147</v>
      </c>
      <c r="AFE21">
        <v>169.16943014449714</v>
      </c>
      <c r="AFF21">
        <v>167.00293242347703</v>
      </c>
      <c r="AFG21">
        <v>166.90160961664117</v>
      </c>
      <c r="AFH21">
        <v>165.26197773357083</v>
      </c>
      <c r="AFI21">
        <v>164.99238222577438</v>
      </c>
      <c r="AFJ21">
        <v>167.80733105604946</v>
      </c>
      <c r="AFK21">
        <v>169.64784477980066</v>
      </c>
      <c r="AFL21">
        <v>169.3782384350954</v>
      </c>
      <c r="AFM21">
        <v>168.71040679191896</v>
      </c>
      <c r="AFN21">
        <v>167.6355307210022</v>
      </c>
      <c r="AFO21">
        <v>169.6073199389669</v>
      </c>
      <c r="AFP21">
        <v>168.81349345985063</v>
      </c>
      <c r="AFQ21">
        <v>169.65488929917015</v>
      </c>
      <c r="AFR21">
        <v>170.33505686879363</v>
      </c>
      <c r="AFS21">
        <v>170.59056342595608</v>
      </c>
      <c r="AFT21">
        <v>173.20023159971961</v>
      </c>
      <c r="AFU21">
        <v>174.47159078359149</v>
      </c>
      <c r="AFV21">
        <v>172.47512953652287</v>
      </c>
      <c r="AFW21">
        <v>174.15088744459629</v>
      </c>
      <c r="AFX21">
        <v>174.05309227184711</v>
      </c>
      <c r="AFY21">
        <v>173.53062516162313</v>
      </c>
      <c r="AFZ21">
        <v>173.10243633886554</v>
      </c>
      <c r="AGA21">
        <v>174.4566090655008</v>
      </c>
      <c r="AGB21">
        <v>174.24515498325883</v>
      </c>
      <c r="AGC21">
        <v>175.87509655531596</v>
      </c>
      <c r="AGD21">
        <v>177.01518024497435</v>
      </c>
      <c r="AGE21">
        <v>175.66893396825651</v>
      </c>
      <c r="AGF21">
        <v>176.86980487511309</v>
      </c>
      <c r="AGG21">
        <v>177.86274942191932</v>
      </c>
      <c r="AGH21">
        <v>176.32091279970311</v>
      </c>
      <c r="AGI21">
        <v>175.13854049622009</v>
      </c>
      <c r="AGJ21">
        <v>175.20110232331797</v>
      </c>
      <c r="AGK21">
        <v>174.76321252884821</v>
      </c>
      <c r="AGL21">
        <v>175.60461911697163</v>
      </c>
      <c r="AGM21">
        <v>174.02842024274321</v>
      </c>
      <c r="AGN21">
        <v>175.17995801640564</v>
      </c>
      <c r="AGO21">
        <v>177.29887554031365</v>
      </c>
      <c r="AGP21">
        <v>176.55086539721367</v>
      </c>
      <c r="AGQ21">
        <v>177.71825598260597</v>
      </c>
      <c r="AGR21">
        <v>177.23279682793296</v>
      </c>
      <c r="AGS21">
        <v>174.5878845597143</v>
      </c>
      <c r="AGT21">
        <v>174.33150690891276</v>
      </c>
      <c r="AGU21">
        <v>172.74648890541516</v>
      </c>
      <c r="AGV21">
        <v>173.43282990076904</v>
      </c>
      <c r="AGW21">
        <v>173.89979045206849</v>
      </c>
      <c r="AGX21">
        <v>172.01169670741507</v>
      </c>
      <c r="AGY21">
        <v>173.38437869812282</v>
      </c>
      <c r="AGZ21">
        <v>172.30244727092773</v>
      </c>
      <c r="AHA21">
        <v>169.83815446702548</v>
      </c>
      <c r="AHB21">
        <v>173.09098234296644</v>
      </c>
      <c r="AHC21">
        <v>173.48305580141988</v>
      </c>
      <c r="AHD21">
        <v>176.03898127735468</v>
      </c>
      <c r="AHE21">
        <v>173.07864632841446</v>
      </c>
      <c r="AHF21">
        <v>170.21611738913225</v>
      </c>
      <c r="AHG21">
        <v>165.96065474347679</v>
      </c>
      <c r="AHH21">
        <v>166.77562552950536</v>
      </c>
      <c r="AHI21">
        <v>165.6919303293194</v>
      </c>
      <c r="AHJ21">
        <v>163.58093916722382</v>
      </c>
      <c r="AHK21">
        <v>160.69638399048137</v>
      </c>
      <c r="AHL21">
        <v>162.1086981426711</v>
      </c>
      <c r="AHM21">
        <v>162.18711286960377</v>
      </c>
      <c r="AHN21">
        <v>164.15009370710317</v>
      </c>
      <c r="AHO21">
        <v>162.08843576630667</v>
      </c>
      <c r="AHP21">
        <v>160.88228411307148</v>
      </c>
      <c r="AHQ21">
        <v>162.35098675473367</v>
      </c>
      <c r="AHR21">
        <v>166.40381444741629</v>
      </c>
      <c r="AHS21">
        <v>165.08576783388907</v>
      </c>
      <c r="AHT21">
        <v>167.28046512999484</v>
      </c>
      <c r="AHU21">
        <v>167.31570931255496</v>
      </c>
      <c r="AHV21">
        <v>169.40555616773821</v>
      </c>
      <c r="AHW21">
        <v>170.73682063826038</v>
      </c>
      <c r="AHX21">
        <v>171.54033734028488</v>
      </c>
      <c r="AHY21">
        <v>173.24428407464012</v>
      </c>
      <c r="AHZ21">
        <v>173.4381213959515</v>
      </c>
      <c r="AIA21">
        <v>173.80903979868876</v>
      </c>
      <c r="AIB21">
        <v>173.13768052142564</v>
      </c>
      <c r="AIC21">
        <v>174.38964842257218</v>
      </c>
      <c r="AID21">
        <v>173.68304496274897</v>
      </c>
      <c r="AIE21">
        <v>174.70242531165002</v>
      </c>
      <c r="AIF21">
        <v>175.38612051536018</v>
      </c>
      <c r="AIG21">
        <v>174.11036260376255</v>
      </c>
      <c r="AIH21">
        <v>175.43281878192437</v>
      </c>
      <c r="AII21">
        <v>172.25927672655519</v>
      </c>
      <c r="AIJ21">
        <v>174.92445145924322</v>
      </c>
      <c r="AIK21">
        <v>175.56144857259906</v>
      </c>
      <c r="AIL21">
        <v>174.0539741142901</v>
      </c>
      <c r="AIM21">
        <v>176.49447690774124</v>
      </c>
      <c r="AIN21">
        <v>178.0327858958708</v>
      </c>
      <c r="AIO21">
        <v>177.07861316571135</v>
      </c>
      <c r="AIP21">
        <v>176.4195899030002</v>
      </c>
      <c r="AIQ21">
        <v>176.42575249182175</v>
      </c>
      <c r="AIR21">
        <v>175.85043536312082</v>
      </c>
      <c r="AIS21">
        <v>175.23017308014764</v>
      </c>
      <c r="AIT21">
        <v>173.85397420415711</v>
      </c>
      <c r="AIU21">
        <v>168.22230193370729</v>
      </c>
      <c r="AIV21">
        <v>167.90071666416418</v>
      </c>
      <c r="AIW21">
        <v>169.61876318606224</v>
      </c>
      <c r="AIX21">
        <v>168.0742916091111</v>
      </c>
      <c r="AIY21">
        <v>167.12451769478236</v>
      </c>
      <c r="AIZ21">
        <v>165.86197764017965</v>
      </c>
      <c r="AJA21">
        <v>167.30600825273785</v>
      </c>
      <c r="AJB21">
        <v>163.03556397709661</v>
      </c>
      <c r="AJC21">
        <v>161.90253555561159</v>
      </c>
      <c r="AJD21">
        <v>162.50077160112451</v>
      </c>
      <c r="AJE21">
        <v>168.15534129077861</v>
      </c>
      <c r="AJF21">
        <v>169.54387618132111</v>
      </c>
      <c r="AJG21">
        <v>170.05224341589732</v>
      </c>
      <c r="AJH21">
        <v>168.23111022606759</v>
      </c>
      <c r="AJI21">
        <v>168.53331496168923</v>
      </c>
      <c r="AJJ21">
        <v>164.70251350470471</v>
      </c>
      <c r="AJK21">
        <v>166.8839928557106</v>
      </c>
      <c r="AJL21">
        <v>169.28836962415866</v>
      </c>
      <c r="AJM21">
        <v>167.62054900291145</v>
      </c>
      <c r="AJN21">
        <v>164.36331156233592</v>
      </c>
      <c r="AJO21">
        <v>166.5024915507133</v>
      </c>
      <c r="AJP21">
        <v>169.51568735503926</v>
      </c>
      <c r="AJQ21">
        <v>170.04696275762359</v>
      </c>
      <c r="AJR21">
        <v>172.07161274286912</v>
      </c>
      <c r="AJS21">
        <v>172.2865837103939</v>
      </c>
      <c r="AJT21">
        <v>172.57468857036778</v>
      </c>
      <c r="AJU21">
        <v>173.18349676933687</v>
      </c>
      <c r="AJV21">
        <v>173.65044657183245</v>
      </c>
      <c r="AJW21">
        <v>172.0522322970526</v>
      </c>
      <c r="AJX21">
        <v>171.59584389920931</v>
      </c>
      <c r="AJY21">
        <v>164.57916437230367</v>
      </c>
      <c r="AJZ21">
        <v>160.83646786516007</v>
      </c>
      <c r="AKA21">
        <v>162.33777964654251</v>
      </c>
      <c r="AKB21">
        <v>164.26815134432167</v>
      </c>
      <c r="AKC21">
        <v>163.72543260653714</v>
      </c>
      <c r="AKD21">
        <v>159.90607439664788</v>
      </c>
      <c r="AKE21">
        <v>160.32017409256156</v>
      </c>
      <c r="AKF21">
        <v>158.18714594420189</v>
      </c>
      <c r="AKG21">
        <v>159.39066264270221</v>
      </c>
      <c r="AKH21">
        <v>161.33689790101505</v>
      </c>
      <c r="AKI21">
        <v>156.87350889530927</v>
      </c>
      <c r="AKJ21">
        <v>151.46033522647087</v>
      </c>
      <c r="AKK21">
        <v>150.71056122227509</v>
      </c>
      <c r="AKL21">
        <v>153.9334471596423</v>
      </c>
      <c r="AKM21">
        <v>155.05061193248866</v>
      </c>
      <c r="AKN21">
        <v>152.54226656556102</v>
      </c>
      <c r="AKO21">
        <v>156.49465329385075</v>
      </c>
      <c r="AKP21">
        <v>156.81888426693263</v>
      </c>
      <c r="AKQ21">
        <v>160.23295107326857</v>
      </c>
      <c r="AKR21">
        <v>155.81007615959268</v>
      </c>
      <c r="AKS21">
        <v>151.82685481337742</v>
      </c>
      <c r="AKT21">
        <v>152.92552098285023</v>
      </c>
      <c r="AKU21">
        <v>149.67797376518297</v>
      </c>
      <c r="AKV21">
        <v>155.50964603387069</v>
      </c>
      <c r="AKW21">
        <v>154.62947846600935</v>
      </c>
      <c r="AKX21">
        <v>152.75107485615925</v>
      </c>
      <c r="AKY21">
        <v>149.15022599668532</v>
      </c>
      <c r="AKZ21">
        <v>153.4911586374468</v>
      </c>
      <c r="ALA21">
        <v>153.14313756580887</v>
      </c>
      <c r="ALB21">
        <v>151.49029866265241</v>
      </c>
      <c r="ALC21">
        <v>148.44891403204463</v>
      </c>
      <c r="ALD21">
        <v>146.19871017701431</v>
      </c>
      <c r="ALE21">
        <v>146.36963941842251</v>
      </c>
      <c r="ALF21">
        <v>145.49828014292149</v>
      </c>
      <c r="ALG21">
        <v>146.01633768851087</v>
      </c>
      <c r="ALH21">
        <v>150.9369969345029</v>
      </c>
      <c r="ALI21">
        <v>155.48850172695845</v>
      </c>
      <c r="ALJ21">
        <v>154.36163598239995</v>
      </c>
      <c r="ALK21">
        <v>151.68940589343359</v>
      </c>
      <c r="ALL21">
        <v>151.07091822036011</v>
      </c>
      <c r="ALM21">
        <v>148.28504014691475</v>
      </c>
      <c r="ALN21">
        <v>149.46651977104599</v>
      </c>
      <c r="ALO21">
        <v>149.1643257842282</v>
      </c>
      <c r="ALP21">
        <v>151.25858220404604</v>
      </c>
      <c r="ALQ21">
        <v>148.94141770608712</v>
      </c>
      <c r="ALR21">
        <v>150.15109690530409</v>
      </c>
      <c r="ALS21">
        <v>151.40306480645063</v>
      </c>
      <c r="ALT21">
        <v>150.95725939897233</v>
      </c>
      <c r="ALU21">
        <v>154.77044418313119</v>
      </c>
      <c r="ALV21">
        <v>157.95014882732198</v>
      </c>
      <c r="ALW21">
        <v>159.11401177862757</v>
      </c>
      <c r="ALX21">
        <v>158.85322456319147</v>
      </c>
      <c r="ALY21">
        <v>157.70169762643786</v>
      </c>
      <c r="ALZ21">
        <v>155.63123130517607</v>
      </c>
      <c r="AMA21">
        <v>153.09996702143641</v>
      </c>
      <c r="AMB21">
        <v>152.00218278251151</v>
      </c>
      <c r="AMC21">
        <v>154.7854151524181</v>
      </c>
      <c r="AMD21">
        <v>156.08056434674106</v>
      </c>
      <c r="AME21">
        <v>158.15719334492934</v>
      </c>
      <c r="AMF21">
        <v>157.36513063880398</v>
      </c>
      <c r="AMG21">
        <v>158.83648982091373</v>
      </c>
      <c r="AMH21">
        <v>157.63913579933995</v>
      </c>
      <c r="AMI21">
        <v>160.17656267190119</v>
      </c>
      <c r="AMJ21">
        <v>156.96689459152893</v>
      </c>
      <c r="AMK21">
        <v>158.74309337589031</v>
      </c>
      <c r="AML21">
        <v>159.06203285378973</v>
      </c>
      <c r="AMM21">
        <v>156.00831229673491</v>
      </c>
      <c r="AMN21">
        <v>154.42330513014613</v>
      </c>
      <c r="AMO21">
        <v>154.36691664067371</v>
      </c>
      <c r="AMP21">
        <v>156.20478457278122</v>
      </c>
      <c r="AMQ21">
        <v>158.40653722516529</v>
      </c>
      <c r="AMR21">
        <v>157.04795502200039</v>
      </c>
      <c r="AMS21">
        <v>154.50964621889125</v>
      </c>
      <c r="AMT21">
        <v>153.27089626284459</v>
      </c>
      <c r="AMU21">
        <v>151.09998897718992</v>
      </c>
      <c r="AMV21">
        <v>152.4911695712712</v>
      </c>
      <c r="AMW21">
        <v>152.41363677488644</v>
      </c>
      <c r="AMX21">
        <v>155.47352000886778</v>
      </c>
      <c r="AMY21">
        <v>152.41803559071712</v>
      </c>
      <c r="AMZ21">
        <v>152.59953698558147</v>
      </c>
      <c r="ANA21">
        <v>152.45416161572021</v>
      </c>
      <c r="ANB21">
        <v>151.61981029577018</v>
      </c>
      <c r="ANC21">
        <v>146.47712481408001</v>
      </c>
      <c r="AND21">
        <v>139.13093365581878</v>
      </c>
      <c r="ANE21">
        <v>140.21286508301387</v>
      </c>
      <c r="ANF21">
        <v>140.21110122191806</v>
      </c>
      <c r="ANG21">
        <v>139.63400948331744</v>
      </c>
      <c r="ANH21">
        <v>141.82870686752818</v>
      </c>
      <c r="ANI21">
        <v>144.28154558742636</v>
      </c>
      <c r="ANJ21">
        <v>143.47979274649768</v>
      </c>
      <c r="ANK21">
        <v>141.7670268828733</v>
      </c>
      <c r="ANL21">
        <v>145.72205940280676</v>
      </c>
      <c r="ANM21">
        <v>145.26215411968067</v>
      </c>
      <c r="ANN21">
        <v>143.8718554561473</v>
      </c>
      <c r="ANO21">
        <v>144.16436988075577</v>
      </c>
      <c r="ANP21">
        <v>150.00308666881298</v>
      </c>
      <c r="ANQ21">
        <v>148.20926037471713</v>
      </c>
      <c r="ANR21">
        <v>146.66918761359673</v>
      </c>
      <c r="ANS21">
        <v>147.05068891859403</v>
      </c>
      <c r="ANT21">
        <v>147.7070664777664</v>
      </c>
      <c r="ANU21">
        <v>149.58634118125559</v>
      </c>
      <c r="ANV21">
        <v>148.23041551853828</v>
      </c>
      <c r="ANW21">
        <v>145.47360820192262</v>
      </c>
      <c r="ANX21">
        <v>142.65424980701295</v>
      </c>
      <c r="ANY21">
        <v>139.1802668771179</v>
      </c>
      <c r="ANZ21">
        <v>136.58558042144514</v>
      </c>
      <c r="AOA21">
        <v>138.24547468087991</v>
      </c>
      <c r="AOB21">
        <v>133.41996481599335</v>
      </c>
      <c r="AOC21">
        <v>134.33361270531904</v>
      </c>
      <c r="AOD21">
        <v>137.721254458364</v>
      </c>
      <c r="AOE21">
        <v>139.42608312326712</v>
      </c>
      <c r="AOF21">
        <v>137.92037252605397</v>
      </c>
      <c r="AOG21">
        <v>136.99966936855495</v>
      </c>
      <c r="AOH21">
        <v>143.39696845493043</v>
      </c>
      <c r="AOI21">
        <v>141.7679088134212</v>
      </c>
      <c r="AOJ21">
        <v>140.53973101083071</v>
      </c>
      <c r="AOK21">
        <v>138.7362252426305</v>
      </c>
      <c r="AOL21">
        <v>141.01901673977335</v>
      </c>
      <c r="AOM21">
        <v>140.91417704765468</v>
      </c>
      <c r="AON21">
        <v>140.61814564965846</v>
      </c>
      <c r="AOO21">
        <v>141.78024482797318</v>
      </c>
      <c r="AOP21">
        <v>144.12824385575269</v>
      </c>
      <c r="AOQ21">
        <v>145.66831670497803</v>
      </c>
      <c r="AOR21">
        <v>145.4507000339145</v>
      </c>
      <c r="AOS21">
        <v>145.44893617281869</v>
      </c>
      <c r="AOT21">
        <v>144.8348473155759</v>
      </c>
      <c r="AOU21">
        <v>142.94675348281754</v>
      </c>
      <c r="AOV21">
        <v>145.13704121428876</v>
      </c>
      <c r="AOW21">
        <v>148.06389584176466</v>
      </c>
      <c r="AOX21">
        <v>148.46300307078374</v>
      </c>
      <c r="AOY21">
        <v>148.35728144811716</v>
      </c>
      <c r="AOZ21">
        <v>149.55903428552165</v>
      </c>
      <c r="APA21">
        <v>151.26121715878108</v>
      </c>
      <c r="APB21">
        <v>149.18194245705399</v>
      </c>
      <c r="APC21">
        <v>149.65330182418415</v>
      </c>
      <c r="APD21">
        <v>149.26123911453456</v>
      </c>
      <c r="APE21">
        <v>153.60921618656056</v>
      </c>
      <c r="APF21">
        <v>155.99950391626965</v>
      </c>
      <c r="APG21">
        <v>155.62153024535903</v>
      </c>
      <c r="APH21">
        <v>155.48761979641066</v>
      </c>
      <c r="API21">
        <v>153.5704552068226</v>
      </c>
      <c r="APJ21">
        <v>155.86999228315202</v>
      </c>
      <c r="APK21">
        <v>152.62156322304179</v>
      </c>
      <c r="APL21">
        <v>152.12200428082593</v>
      </c>
      <c r="APM21">
        <v>151.26386286231985</v>
      </c>
      <c r="APN21">
        <v>155.02065924511123</v>
      </c>
      <c r="APO21">
        <v>156.02064831128695</v>
      </c>
      <c r="APP21">
        <v>152.6955682972349</v>
      </c>
      <c r="APQ21">
        <v>154.15106383070602</v>
      </c>
      <c r="APR21">
        <v>152.97838175013123</v>
      </c>
      <c r="APS21">
        <v>153.53080154773284</v>
      </c>
      <c r="APT21">
        <v>152.04799911852783</v>
      </c>
      <c r="APU21">
        <v>153.23477014973662</v>
      </c>
      <c r="APV21">
        <v>151.18985778812669</v>
      </c>
      <c r="APW21">
        <v>149.25419459516507</v>
      </c>
      <c r="APX21">
        <v>151.0559365022695</v>
      </c>
      <c r="APY21">
        <v>152.12993064263836</v>
      </c>
      <c r="APZ21">
        <v>149.29295557490303</v>
      </c>
      <c r="AQA21">
        <v>145.54233261784205</v>
      </c>
      <c r="AQB21">
        <v>145.8885790795803</v>
      </c>
      <c r="AQC21">
        <v>145.60664746912693</v>
      </c>
      <c r="AQD21">
        <v>140.79435554934022</v>
      </c>
      <c r="AQE21">
        <v>143.6762650225439</v>
      </c>
      <c r="AQF21">
        <v>142.76702669785283</v>
      </c>
      <c r="AQG21">
        <v>141.76702688287324</v>
      </c>
      <c r="AQH21">
        <v>141.66571482484125</v>
      </c>
      <c r="AQI21">
        <v>143.47979274649765</v>
      </c>
      <c r="AQJ21">
        <v>145.33968691606538</v>
      </c>
      <c r="AQK21">
        <v>146.59253674775979</v>
      </c>
      <c r="AQL21">
        <v>143.43485834102927</v>
      </c>
      <c r="AQM21">
        <v>142.51504786288203</v>
      </c>
      <c r="AQN21">
        <v>139.80845561000842</v>
      </c>
      <c r="AQO21">
        <v>136.14064610760587</v>
      </c>
      <c r="AQP21">
        <v>135.16972779825988</v>
      </c>
      <c r="AQQ21">
        <v>132.71512521726589</v>
      </c>
      <c r="AQR21">
        <v>134.24287280074316</v>
      </c>
      <c r="AQS21">
        <v>130.6834307126509</v>
      </c>
      <c r="AQT21">
        <v>128.42706418069406</v>
      </c>
      <c r="AQU21">
        <v>128.51868601581779</v>
      </c>
      <c r="AQV21">
        <v>128.96626603319581</v>
      </c>
      <c r="AQW21">
        <v>128.75040247442419</v>
      </c>
      <c r="AQX21">
        <v>125.05087651165316</v>
      </c>
      <c r="AQY21">
        <v>126.79094927101148</v>
      </c>
      <c r="AQZ21">
        <v>128.75922160369339</v>
      </c>
      <c r="ARA21">
        <v>132.50280004138489</v>
      </c>
      <c r="ARB21">
        <v>130.15391908305747</v>
      </c>
      <c r="ARC21">
        <v>131.04730450791376</v>
      </c>
      <c r="ARD21">
        <v>128.23322685938271</v>
      </c>
      <c r="ARE21">
        <v>128.05701695970086</v>
      </c>
      <c r="ARF21">
        <v>127.75570490343098</v>
      </c>
      <c r="ARG21">
        <v>129.17507432379406</v>
      </c>
      <c r="ARH21">
        <v>128.23587256292149</v>
      </c>
      <c r="ARI21">
        <v>131.57328850342057</v>
      </c>
      <c r="ARJ21">
        <v>132.68252682634957</v>
      </c>
      <c r="ARK21">
        <v>135.40144425686634</v>
      </c>
      <c r="ARL21">
        <v>132.86755585530059</v>
      </c>
      <c r="ARM21">
        <v>132.81732995464975</v>
      </c>
      <c r="ARN21">
        <v>131.30632795035905</v>
      </c>
      <c r="ARO21">
        <v>134.13714042927279</v>
      </c>
      <c r="ARP21">
        <v>136.41201622530212</v>
      </c>
      <c r="ARQ21">
        <v>138.30362694334329</v>
      </c>
      <c r="ARR21">
        <v>137.89040908987258</v>
      </c>
      <c r="ARS21">
        <v>138.0366663021768</v>
      </c>
      <c r="ART21">
        <v>138.73622524263052</v>
      </c>
      <c r="ARU21">
        <v>138.59173180331717</v>
      </c>
      <c r="ARV21">
        <v>139.51330614256022</v>
      </c>
      <c r="ARW21">
        <v>138.94326976023791</v>
      </c>
      <c r="ARX21">
        <v>139.35119603042119</v>
      </c>
      <c r="ARY21">
        <v>141.40491686060136</v>
      </c>
      <c r="ARZ21">
        <v>144.11590784120074</v>
      </c>
      <c r="ASA21">
        <v>143.39080586610891</v>
      </c>
      <c r="ASB21">
        <v>148.86653061324134</v>
      </c>
      <c r="ASC21">
        <v>146.88944998819909</v>
      </c>
      <c r="ASD21">
        <v>146.90707740982859</v>
      </c>
      <c r="ASE21">
        <v>146.89826911746823</v>
      </c>
      <c r="ASF21">
        <v>144.6868262421759</v>
      </c>
      <c r="ASG21">
        <v>144.47009150166025</v>
      </c>
      <c r="ASH21">
        <v>145.12646906083262</v>
      </c>
      <c r="ASI21">
        <v>144.71854270254437</v>
      </c>
      <c r="ASJ21">
        <v>145.47888886019632</v>
      </c>
      <c r="ASK21">
        <v>146.12294124172556</v>
      </c>
      <c r="ASL21">
        <v>147.76080926370008</v>
      </c>
      <c r="ASM21">
        <v>147.86742356571841</v>
      </c>
      <c r="ASN21">
        <v>147.43658903942205</v>
      </c>
      <c r="ASO21">
        <v>147.31940258394752</v>
      </c>
      <c r="ASP21">
        <v>148.59868812963182</v>
      </c>
      <c r="ASQ21">
        <v>150.94580531496837</v>
      </c>
      <c r="ASR21">
        <v>151.35373167325659</v>
      </c>
      <c r="ASS21">
        <v>151.44976307301491</v>
      </c>
      <c r="AST21">
        <v>150.10439872684495</v>
      </c>
      <c r="ASU21">
        <v>149.60220482989419</v>
      </c>
      <c r="ASV21">
        <v>149.3123361088245</v>
      </c>
      <c r="ASW21">
        <v>151.54667631521616</v>
      </c>
      <c r="ASX21">
        <v>150.13787904830923</v>
      </c>
      <c r="ASY21">
        <v>152.1713481628239</v>
      </c>
      <c r="ASZ21">
        <v>152.89380443437696</v>
      </c>
      <c r="ATA21">
        <v>150.35814142291153</v>
      </c>
      <c r="ATB21">
        <v>147.68680410140192</v>
      </c>
      <c r="ATC21">
        <v>147.91940240245125</v>
      </c>
      <c r="ATD21">
        <v>147.23747097173197</v>
      </c>
      <c r="ATE21">
        <v>148.6180686635532</v>
      </c>
      <c r="ATF21">
        <v>148.4242420910457</v>
      </c>
      <c r="ATG21">
        <v>149.35550665319704</v>
      </c>
      <c r="ATH21">
        <v>149.92202623834149</v>
      </c>
      <c r="ATI21">
        <v>149.35638858374494</v>
      </c>
      <c r="ATJ21">
        <v>150.90967928996523</v>
      </c>
      <c r="ATK21">
        <v>149.82775869967895</v>
      </c>
      <c r="ATL21">
        <v>152.52288603163967</v>
      </c>
      <c r="ATM21">
        <v>153.52111123671961</v>
      </c>
      <c r="ATN21">
        <v>152.29821418050773</v>
      </c>
      <c r="ATO21">
        <v>151.35108596971776</v>
      </c>
      <c r="ATP21">
        <v>153.35282778695515</v>
      </c>
      <c r="ATQ21">
        <v>151.1026346807287</v>
      </c>
      <c r="ATR21">
        <v>151.29293361914952</v>
      </c>
      <c r="ATS21">
        <v>151.80130094183065</v>
      </c>
      <c r="ATT21">
        <v>151.67883373997751</v>
      </c>
      <c r="ATU21">
        <v>154.48322116560033</v>
      </c>
      <c r="ATV21">
        <v>154.59863309928011</v>
      </c>
      <c r="ATW21">
        <v>154.90260160789265</v>
      </c>
      <c r="ATX21">
        <v>151.86561579311555</v>
      </c>
      <c r="ATY21">
        <v>151.79249256136538</v>
      </c>
      <c r="ATZ21">
        <v>152.37662881933548</v>
      </c>
      <c r="AUA21">
        <v>151.58809383540171</v>
      </c>
      <c r="AUB21">
        <v>148.12556498951074</v>
      </c>
      <c r="AUC21">
        <v>149.08943877948724</v>
      </c>
      <c r="AUD21">
        <v>148.99692426501173</v>
      </c>
      <c r="AUE21">
        <v>149.88678205578134</v>
      </c>
      <c r="AUF21">
        <v>149.63921278544512</v>
      </c>
      <c r="AUG21">
        <v>151.26650865396348</v>
      </c>
      <c r="AUH21">
        <v>154.23740491945105</v>
      </c>
      <c r="AUI21">
        <v>155.63563003290182</v>
      </c>
      <c r="AUJ21">
        <v>154.92639170644864</v>
      </c>
      <c r="AUK21">
        <v>154.81008709341708</v>
      </c>
      <c r="AUL21">
        <v>156.38893167118428</v>
      </c>
      <c r="AUM21">
        <v>157.64619106751331</v>
      </c>
      <c r="AUN21">
        <v>155.56074302816077</v>
      </c>
      <c r="AUO21">
        <v>156.60038575342625</v>
      </c>
      <c r="AUP21">
        <v>156.52108909594568</v>
      </c>
      <c r="AUQ21">
        <v>156.89024372569207</v>
      </c>
      <c r="AUR21">
        <v>157.1016977198291</v>
      </c>
      <c r="AUS21">
        <v>157.24883686268123</v>
      </c>
      <c r="AUT21">
        <v>157.84618022884237</v>
      </c>
      <c r="AUU21">
        <v>158.01269990561596</v>
      </c>
      <c r="AUV21">
        <v>156.47086328339972</v>
      </c>
      <c r="AUW21">
        <v>156.81535663284603</v>
      </c>
      <c r="AUX21">
        <v>156.180123380586</v>
      </c>
      <c r="AUY21">
        <v>157.26468976251596</v>
      </c>
      <c r="AUZ21">
        <v>156.85588147367983</v>
      </c>
    </row>
    <row r="22" spans="1:1248" x14ac:dyDescent="0.45">
      <c r="A22" s="15">
        <v>43193</v>
      </c>
      <c r="B22">
        <v>84.006409000000005</v>
      </c>
      <c r="C22" t="b">
        <f t="shared" si="0"/>
        <v>1</v>
      </c>
      <c r="E22" s="15">
        <v>43193</v>
      </c>
      <c r="F22">
        <f t="shared" si="1"/>
        <v>84.006409000000005</v>
      </c>
      <c r="G22">
        <v>1110.4399410000001</v>
      </c>
      <c r="I22" s="13">
        <f t="shared" si="2"/>
        <v>3.3038718411563472E-2</v>
      </c>
      <c r="J22" s="13">
        <f t="shared" si="3"/>
        <v>-3.9288900559373285E-3</v>
      </c>
      <c r="L22" s="15">
        <v>43193</v>
      </c>
      <c r="M22">
        <f t="shared" si="4"/>
        <v>100.33899331476766</v>
      </c>
      <c r="N22">
        <f t="shared" si="5"/>
        <v>97.835255303166903</v>
      </c>
    </row>
    <row r="23" spans="1:1248" x14ac:dyDescent="0.45">
      <c r="A23" s="15">
        <v>43194</v>
      </c>
      <c r="B23">
        <v>81.616280000000003</v>
      </c>
      <c r="C23" t="b">
        <f t="shared" si="0"/>
        <v>1</v>
      </c>
      <c r="E23" s="15">
        <v>43194</v>
      </c>
      <c r="F23">
        <f t="shared" si="1"/>
        <v>81.616280000000003</v>
      </c>
      <c r="G23">
        <v>1092.030029</v>
      </c>
      <c r="I23" s="13">
        <f t="shared" si="2"/>
        <v>-2.8451745866199363E-2</v>
      </c>
      <c r="J23" s="13">
        <f t="shared" si="3"/>
        <v>-1.6578935357297375E-2</v>
      </c>
      <c r="L23" s="15">
        <v>43194</v>
      </c>
      <c r="M23">
        <f t="shared" si="4"/>
        <v>97.484173776505614</v>
      </c>
      <c r="N23">
        <f t="shared" si="5"/>
        <v>96.21325092983102</v>
      </c>
    </row>
    <row r="24" spans="1:1248" x14ac:dyDescent="0.45">
      <c r="A24" s="15">
        <v>43195</v>
      </c>
      <c r="B24">
        <v>82.852881999999994</v>
      </c>
      <c r="C24" t="b">
        <f t="shared" si="0"/>
        <v>1</v>
      </c>
      <c r="E24" s="15">
        <v>43195</v>
      </c>
      <c r="F24">
        <f t="shared" si="1"/>
        <v>82.852881999999994</v>
      </c>
      <c r="G24">
        <v>1110.040039</v>
      </c>
      <c r="I24" s="13">
        <f t="shared" si="2"/>
        <v>1.5151413418989401E-2</v>
      </c>
      <c r="J24" s="13">
        <f t="shared" si="3"/>
        <v>1.6492229628971122E-2</v>
      </c>
      <c r="L24" s="15">
        <v>43195</v>
      </c>
      <c r="M24">
        <f t="shared" si="4"/>
        <v>98.961196795202056</v>
      </c>
      <c r="N24">
        <f t="shared" si="5"/>
        <v>97.800021957515611</v>
      </c>
      <c r="R24" s="15">
        <v>43160</v>
      </c>
      <c r="S24" s="15">
        <v>44985</v>
      </c>
    </row>
    <row r="25" spans="1:1248" x14ac:dyDescent="0.45">
      <c r="A25" s="15">
        <v>43196</v>
      </c>
      <c r="B25">
        <v>84.224739</v>
      </c>
      <c r="C25" t="b">
        <f t="shared" si="0"/>
        <v>1</v>
      </c>
      <c r="E25" s="15">
        <v>43196</v>
      </c>
      <c r="F25">
        <f t="shared" si="1"/>
        <v>84.224739</v>
      </c>
      <c r="G25">
        <v>1109.579956</v>
      </c>
      <c r="I25" s="13">
        <f t="shared" si="2"/>
        <v>1.6557746295415621E-2</v>
      </c>
      <c r="J25" s="13">
        <f t="shared" si="3"/>
        <v>-4.1447423861795674E-4</v>
      </c>
      <c r="L25" s="15">
        <v>43196</v>
      </c>
      <c r="M25">
        <f t="shared" si="4"/>
        <v>100.59977118482772</v>
      </c>
      <c r="N25">
        <f t="shared" si="5"/>
        <v>97.759486367877955</v>
      </c>
      <c r="Q25" t="str">
        <f>M1</f>
        <v>Vestas</v>
      </c>
      <c r="R25">
        <v>-100</v>
      </c>
      <c r="S25">
        <f>M1234</f>
        <v>239.60079832690309</v>
      </c>
      <c r="T25" s="13">
        <f>XIRR(R25:S25,$R$24:$S$24)</f>
        <v>0.19096130728721619</v>
      </c>
    </row>
    <row r="26" spans="1:1248" x14ac:dyDescent="0.45">
      <c r="A26" s="15">
        <v>43199</v>
      </c>
      <c r="B26">
        <v>84.533905000000004</v>
      </c>
      <c r="C26" t="b">
        <f t="shared" si="0"/>
        <v>1</v>
      </c>
      <c r="E26" s="15">
        <v>43199</v>
      </c>
      <c r="F26">
        <f t="shared" si="1"/>
        <v>84.533905000000004</v>
      </c>
      <c r="G26">
        <v>1112.75</v>
      </c>
      <c r="I26" s="13">
        <f t="shared" si="2"/>
        <v>3.6707267208035965E-3</v>
      </c>
      <c r="J26" s="13">
        <f t="shared" si="3"/>
        <v>2.8569766269281871E-3</v>
      </c>
      <c r="L26" s="15">
        <v>43199</v>
      </c>
      <c r="M26">
        <f t="shared" si="4"/>
        <v>100.96904545302259</v>
      </c>
      <c r="N26">
        <f t="shared" si="5"/>
        <v>98.038782935491483</v>
      </c>
      <c r="Q26" t="str">
        <f>N1</f>
        <v>OMXC25</v>
      </c>
      <c r="R26">
        <v>-100</v>
      </c>
      <c r="S26">
        <f>N1234</f>
        <v>156.85588147367983</v>
      </c>
      <c r="T26" s="13">
        <f>XIRR(R26:S26,$R$24:$S$24)</f>
        <v>9.4208696484565743E-2</v>
      </c>
    </row>
    <row r="27" spans="1:1248" x14ac:dyDescent="0.45">
      <c r="A27" s="15">
        <v>43200</v>
      </c>
      <c r="B27">
        <v>83.567802</v>
      </c>
      <c r="C27" t="b">
        <f t="shared" si="0"/>
        <v>1</v>
      </c>
      <c r="E27" s="15">
        <v>43200</v>
      </c>
      <c r="F27">
        <f t="shared" si="1"/>
        <v>83.567802</v>
      </c>
      <c r="G27">
        <v>1116.6400149999999</v>
      </c>
      <c r="I27" s="13">
        <f t="shared" si="2"/>
        <v>-1.1428585962046878E-2</v>
      </c>
      <c r="J27" s="13">
        <f t="shared" si="3"/>
        <v>3.4958571107615022E-3</v>
      </c>
      <c r="L27" s="15">
        <v>43200</v>
      </c>
      <c r="M27">
        <f t="shared" si="4"/>
        <v>99.815112037556901</v>
      </c>
      <c r="N27">
        <f t="shared" si="5"/>
        <v>98.381512511946923</v>
      </c>
    </row>
    <row r="28" spans="1:1248" x14ac:dyDescent="0.45">
      <c r="A28" s="15">
        <v>43201</v>
      </c>
      <c r="B28">
        <v>81.017287999999994</v>
      </c>
      <c r="C28" t="b">
        <f t="shared" si="0"/>
        <v>1</v>
      </c>
      <c r="E28" s="15">
        <v>43201</v>
      </c>
      <c r="F28">
        <f t="shared" si="1"/>
        <v>81.017287999999994</v>
      </c>
      <c r="G28">
        <v>1102.880005</v>
      </c>
      <c r="I28" s="13">
        <f t="shared" si="2"/>
        <v>-3.0520295364475536E-2</v>
      </c>
      <c r="J28" s="13">
        <f t="shared" si="3"/>
        <v>-1.2322691122617524E-2</v>
      </c>
      <c r="L28" s="15">
        <v>43201</v>
      </c>
      <c r="M28">
        <f t="shared" si="4"/>
        <v>96.768725336332452</v>
      </c>
      <c r="N28">
        <f t="shared" si="5"/>
        <v>97.169187521086272</v>
      </c>
    </row>
    <row r="29" spans="1:1248" x14ac:dyDescent="0.45">
      <c r="A29" s="15">
        <v>43202</v>
      </c>
      <c r="B29">
        <v>79.722710000000006</v>
      </c>
      <c r="C29" t="b">
        <f t="shared" si="0"/>
        <v>1</v>
      </c>
      <c r="E29" s="15">
        <v>43202</v>
      </c>
      <c r="F29">
        <f t="shared" si="1"/>
        <v>79.722710000000006</v>
      </c>
      <c r="G29">
        <v>1105.160034</v>
      </c>
      <c r="I29" s="13">
        <f t="shared" si="2"/>
        <v>-1.5979034005680237E-2</v>
      </c>
      <c r="J29" s="13">
        <f t="shared" si="3"/>
        <v>2.0673409524729625E-3</v>
      </c>
      <c r="L29" s="15">
        <v>43202</v>
      </c>
      <c r="M29">
        <f t="shared" si="4"/>
        <v>95.222454583496869</v>
      </c>
      <c r="N29">
        <f t="shared" si="5"/>
        <v>97.370069361767136</v>
      </c>
    </row>
    <row r="30" spans="1:1248" x14ac:dyDescent="0.45">
      <c r="A30" s="15">
        <v>43203</v>
      </c>
      <c r="B30">
        <v>80.244399999999999</v>
      </c>
      <c r="C30" t="b">
        <f t="shared" si="0"/>
        <v>1</v>
      </c>
      <c r="E30" s="15">
        <v>43203</v>
      </c>
      <c r="F30">
        <f t="shared" si="1"/>
        <v>80.244399999999999</v>
      </c>
      <c r="G30">
        <v>1102.9499510000001</v>
      </c>
      <c r="I30" s="13">
        <f t="shared" si="2"/>
        <v>6.5438066518310745E-3</v>
      </c>
      <c r="J30" s="13">
        <f t="shared" si="3"/>
        <v>-1.9997854898903267E-3</v>
      </c>
      <c r="L30" s="15">
        <v>43203</v>
      </c>
      <c r="M30">
        <f t="shared" si="4"/>
        <v>95.845571915204033</v>
      </c>
      <c r="N30">
        <f t="shared" si="5"/>
        <v>97.175350109907853</v>
      </c>
    </row>
    <row r="31" spans="1:1248" x14ac:dyDescent="0.45">
      <c r="A31" s="15">
        <v>43206</v>
      </c>
      <c r="B31">
        <v>80.572884000000002</v>
      </c>
      <c r="C31" t="b">
        <f t="shared" si="0"/>
        <v>1</v>
      </c>
      <c r="E31" s="15">
        <v>43206</v>
      </c>
      <c r="F31">
        <f t="shared" si="1"/>
        <v>80.572884000000002</v>
      </c>
      <c r="G31">
        <v>1099.790039</v>
      </c>
      <c r="I31" s="13">
        <f t="shared" si="2"/>
        <v>4.0935442224006025E-3</v>
      </c>
      <c r="J31" s="13">
        <f t="shared" si="3"/>
        <v>-2.8649640875682003E-3</v>
      </c>
      <c r="L31" s="15">
        <v>43206</v>
      </c>
      <c r="M31">
        <f t="shared" si="4"/>
        <v>96.237920002360198</v>
      </c>
      <c r="N31">
        <f t="shared" si="5"/>
        <v>96.896946221646104</v>
      </c>
    </row>
    <row r="32" spans="1:1248" x14ac:dyDescent="0.45">
      <c r="A32" s="15">
        <v>43207</v>
      </c>
      <c r="B32">
        <v>79.471519000000001</v>
      </c>
      <c r="C32" t="b">
        <f t="shared" si="0"/>
        <v>1</v>
      </c>
      <c r="E32" s="15">
        <v>43207</v>
      </c>
      <c r="F32">
        <f t="shared" si="1"/>
        <v>79.471519000000001</v>
      </c>
      <c r="G32">
        <v>1111.7700199999999</v>
      </c>
      <c r="I32" s="13">
        <f t="shared" si="2"/>
        <v>-1.3669176841181518E-2</v>
      </c>
      <c r="J32" s="13">
        <f t="shared" si="3"/>
        <v>1.0892970999167195E-2</v>
      </c>
      <c r="L32" s="15">
        <v>43207</v>
      </c>
      <c r="M32">
        <f t="shared" si="4"/>
        <v>94.922426855020461</v>
      </c>
      <c r="N32">
        <f t="shared" si="5"/>
        <v>97.952441846746353</v>
      </c>
    </row>
    <row r="33" spans="1:14" x14ac:dyDescent="0.45">
      <c r="A33" s="15">
        <v>43208</v>
      </c>
      <c r="B33">
        <v>79.220344999999995</v>
      </c>
      <c r="C33" t="b">
        <f t="shared" si="0"/>
        <v>1</v>
      </c>
      <c r="E33" s="15">
        <v>43208</v>
      </c>
      <c r="F33">
        <f t="shared" si="1"/>
        <v>79.220344999999995</v>
      </c>
      <c r="G33">
        <v>1115.0200199999999</v>
      </c>
      <c r="I33" s="13">
        <f t="shared" si="2"/>
        <v>-3.1605536569648818E-3</v>
      </c>
      <c r="J33" s="13">
        <f t="shared" si="3"/>
        <v>2.9232664503762162E-3</v>
      </c>
      <c r="L33" s="15">
        <v>43208</v>
      </c>
      <c r="M33">
        <f t="shared" si="4"/>
        <v>94.622419431695846</v>
      </c>
      <c r="N33">
        <f t="shared" si="5"/>
        <v>98.238782933729368</v>
      </c>
    </row>
    <row r="34" spans="1:14" ht="15.75" x14ac:dyDescent="0.55000000000000004">
      <c r="A34" s="15">
        <v>43209</v>
      </c>
      <c r="B34">
        <v>80.418304000000006</v>
      </c>
      <c r="C34" t="b">
        <f t="shared" si="0"/>
        <v>1</v>
      </c>
      <c r="E34" s="15">
        <v>43209</v>
      </c>
      <c r="F34">
        <f t="shared" si="1"/>
        <v>80.418304000000006</v>
      </c>
      <c r="G34">
        <v>1111.9300539999999</v>
      </c>
      <c r="I34" s="46">
        <f t="shared" si="2"/>
        <v>1.5121860426131839E-2</v>
      </c>
      <c r="J34" s="13">
        <f t="shared" si="3"/>
        <v>-2.7712201974633421E-3</v>
      </c>
      <c r="L34" s="15">
        <v>43209</v>
      </c>
      <c r="M34">
        <f t="shared" si="4"/>
        <v>96.053286451524855</v>
      </c>
      <c r="N34">
        <f t="shared" si="5"/>
        <v>97.9665416342892</v>
      </c>
    </row>
    <row r="35" spans="1:14" x14ac:dyDescent="0.45">
      <c r="A35" s="15">
        <v>43210</v>
      </c>
      <c r="B35">
        <v>79.413559000000006</v>
      </c>
      <c r="C35" t="b">
        <f t="shared" si="0"/>
        <v>1</v>
      </c>
      <c r="E35" s="15">
        <v>43210</v>
      </c>
      <c r="F35">
        <f t="shared" si="1"/>
        <v>79.413559000000006</v>
      </c>
      <c r="G35">
        <v>1110.619995</v>
      </c>
      <c r="I35" s="13">
        <f t="shared" si="2"/>
        <v>-1.2493983956687216E-2</v>
      </c>
      <c r="J35" s="13">
        <f t="shared" si="3"/>
        <v>-1.1781847206010498E-3</v>
      </c>
      <c r="L35" s="15">
        <v>43210</v>
      </c>
      <c r="M35">
        <f t="shared" si="4"/>
        <v>94.853198231612424</v>
      </c>
      <c r="N35">
        <f t="shared" si="5"/>
        <v>97.85111895180556</v>
      </c>
    </row>
    <row r="36" spans="1:14" x14ac:dyDescent="0.45">
      <c r="A36" s="15">
        <v>43213</v>
      </c>
      <c r="B36">
        <v>79.742035000000001</v>
      </c>
      <c r="C36" t="b">
        <f t="shared" si="0"/>
        <v>1</v>
      </c>
      <c r="E36" s="15">
        <v>43213</v>
      </c>
      <c r="F36">
        <f t="shared" si="1"/>
        <v>79.742035000000001</v>
      </c>
      <c r="G36">
        <v>1114.869995</v>
      </c>
      <c r="I36" s="13">
        <f t="shared" si="2"/>
        <v>4.1362709861674229E-3</v>
      </c>
      <c r="J36" s="13">
        <f t="shared" si="3"/>
        <v>3.8266914148255005E-3</v>
      </c>
      <c r="L36" s="15">
        <v>43213</v>
      </c>
      <c r="M36">
        <f t="shared" si="4"/>
        <v>95.245536763403024</v>
      </c>
      <c r="N36">
        <f t="shared" si="5"/>
        <v>98.2255649886295</v>
      </c>
    </row>
    <row r="37" spans="1:14" x14ac:dyDescent="0.45">
      <c r="A37" s="15">
        <v>43214</v>
      </c>
      <c r="B37">
        <v>78.254242000000005</v>
      </c>
      <c r="C37" t="b">
        <f t="shared" si="0"/>
        <v>1</v>
      </c>
      <c r="E37" s="15">
        <v>43214</v>
      </c>
      <c r="F37">
        <f t="shared" si="1"/>
        <v>78.254242000000005</v>
      </c>
      <c r="G37">
        <v>1114.599976</v>
      </c>
      <c r="I37" s="13">
        <f t="shared" si="2"/>
        <v>-1.8657575016739925E-2</v>
      </c>
      <c r="J37" s="13">
        <f t="shared" si="3"/>
        <v>-2.4219774611478062E-4</v>
      </c>
      <c r="L37" s="15">
        <v>43214</v>
      </c>
      <c r="M37">
        <f t="shared" si="4"/>
        <v>93.468486016230173</v>
      </c>
      <c r="N37">
        <f t="shared" si="5"/>
        <v>98.201774978178406</v>
      </c>
    </row>
    <row r="38" spans="1:14" x14ac:dyDescent="0.45">
      <c r="A38" s="15">
        <v>43215</v>
      </c>
      <c r="B38">
        <v>78.621346000000003</v>
      </c>
      <c r="C38" t="b">
        <f t="shared" si="0"/>
        <v>1</v>
      </c>
      <c r="E38" s="15">
        <v>43215</v>
      </c>
      <c r="F38">
        <f t="shared" si="1"/>
        <v>78.621346000000003</v>
      </c>
      <c r="G38">
        <v>1101.8000489999999</v>
      </c>
      <c r="I38" s="13">
        <f t="shared" si="2"/>
        <v>4.6911706077223947E-3</v>
      </c>
      <c r="J38" s="13">
        <f t="shared" si="3"/>
        <v>-1.1483875179986613E-2</v>
      </c>
      <c r="L38" s="15">
        <v>43215</v>
      </c>
      <c r="M38">
        <f t="shared" si="4"/>
        <v>93.906962630577823</v>
      </c>
      <c r="N38">
        <f t="shared" si="5"/>
        <v>97.074038051875874</v>
      </c>
    </row>
    <row r="39" spans="1:14" x14ac:dyDescent="0.45">
      <c r="A39" s="15">
        <v>43216</v>
      </c>
      <c r="B39">
        <v>78.853217999999998</v>
      </c>
      <c r="C39" t="b">
        <f t="shared" si="0"/>
        <v>1</v>
      </c>
      <c r="E39" s="15">
        <v>43216</v>
      </c>
      <c r="F39">
        <f t="shared" si="1"/>
        <v>78.853217999999998</v>
      </c>
      <c r="G39">
        <v>1114.380005</v>
      </c>
      <c r="I39" s="13">
        <f t="shared" si="2"/>
        <v>2.9492245019564489E-3</v>
      </c>
      <c r="J39" s="13">
        <f t="shared" si="3"/>
        <v>1.1417639717313133E-2</v>
      </c>
      <c r="L39" s="15">
        <v>43216</v>
      </c>
      <c r="M39">
        <f t="shared" si="4"/>
        <v>94.183915345672233</v>
      </c>
      <c r="N39">
        <f t="shared" si="5"/>
        <v>98.182394444256943</v>
      </c>
    </row>
    <row r="40" spans="1:14" x14ac:dyDescent="0.45">
      <c r="A40" s="15">
        <v>43220</v>
      </c>
      <c r="B40">
        <v>77.326781999999994</v>
      </c>
      <c r="C40" t="b">
        <f t="shared" si="0"/>
        <v>1</v>
      </c>
      <c r="E40" s="15">
        <v>43220</v>
      </c>
      <c r="F40">
        <f t="shared" si="1"/>
        <v>77.326781999999994</v>
      </c>
      <c r="G40">
        <v>1113.0200199999999</v>
      </c>
      <c r="I40" s="13">
        <f t="shared" si="2"/>
        <v>-1.9357941739295947E-2</v>
      </c>
      <c r="J40" s="13">
        <f t="shared" si="3"/>
        <v>-1.22039608921376E-3</v>
      </c>
      <c r="L40" s="15">
        <v>43220</v>
      </c>
      <c r="M40">
        <f t="shared" si="4"/>
        <v>92.360708599631934</v>
      </c>
      <c r="N40">
        <f t="shared" si="5"/>
        <v>98.062573034047531</v>
      </c>
    </row>
    <row r="41" spans="1:14" x14ac:dyDescent="0.45">
      <c r="A41" s="15">
        <v>43222</v>
      </c>
      <c r="B41">
        <v>79.336281</v>
      </c>
      <c r="C41" t="b">
        <f t="shared" si="0"/>
        <v>1</v>
      </c>
      <c r="E41" s="15">
        <v>43222</v>
      </c>
      <c r="F41">
        <f t="shared" si="1"/>
        <v>79.336281</v>
      </c>
      <c r="G41">
        <v>1133.839966</v>
      </c>
      <c r="I41" s="13">
        <f t="shared" si="2"/>
        <v>2.5987102372888149E-2</v>
      </c>
      <c r="J41" s="13">
        <f t="shared" si="3"/>
        <v>1.8705814474029081E-2</v>
      </c>
      <c r="L41" s="15">
        <v>43222</v>
      </c>
      <c r="M41">
        <f t="shared" si="4"/>
        <v>94.760895789243065</v>
      </c>
      <c r="N41">
        <f t="shared" si="5"/>
        <v>99.896913332068351</v>
      </c>
    </row>
    <row r="42" spans="1:14" x14ac:dyDescent="0.45">
      <c r="A42" s="15">
        <v>43223</v>
      </c>
      <c r="B42">
        <v>79.645424000000006</v>
      </c>
      <c r="C42" t="b">
        <f t="shared" si="0"/>
        <v>1</v>
      </c>
      <c r="E42" s="15">
        <v>43223</v>
      </c>
      <c r="F42">
        <f t="shared" si="1"/>
        <v>79.645424000000006</v>
      </c>
      <c r="G42">
        <v>1132.4300539999999</v>
      </c>
      <c r="I42" s="13">
        <f t="shared" si="2"/>
        <v>3.8966157236435262E-3</v>
      </c>
      <c r="J42" s="13">
        <f t="shared" si="3"/>
        <v>-1.2434841267537911E-3</v>
      </c>
      <c r="L42" s="15">
        <v>43223</v>
      </c>
      <c r="M42">
        <f t="shared" si="4"/>
        <v>95.130142585761973</v>
      </c>
      <c r="N42">
        <f t="shared" si="5"/>
        <v>99.772693106028228</v>
      </c>
    </row>
    <row r="43" spans="1:14" x14ac:dyDescent="0.45">
      <c r="A43" s="15">
        <v>43224</v>
      </c>
      <c r="B43">
        <v>79.915931999999998</v>
      </c>
      <c r="C43" t="b">
        <f t="shared" si="0"/>
        <v>1</v>
      </c>
      <c r="E43" s="15">
        <v>43224</v>
      </c>
      <c r="F43">
        <f t="shared" si="1"/>
        <v>79.915931999999998</v>
      </c>
      <c r="G43">
        <v>1130.7700199999999</v>
      </c>
      <c r="I43" s="13">
        <f t="shared" si="2"/>
        <v>3.3964035397688885E-3</v>
      </c>
      <c r="J43" s="13">
        <f t="shared" si="3"/>
        <v>-1.4659042244034026E-3</v>
      </c>
      <c r="L43" s="15">
        <v>43224</v>
      </c>
      <c r="M43">
        <f t="shared" si="4"/>
        <v>95.45324293877897</v>
      </c>
      <c r="N43">
        <f t="shared" si="5"/>
        <v>99.626435893723993</v>
      </c>
    </row>
    <row r="44" spans="1:14" x14ac:dyDescent="0.45">
      <c r="A44" s="15">
        <v>43227</v>
      </c>
      <c r="B44">
        <v>83.471183999999994</v>
      </c>
      <c r="C44" t="b">
        <f t="shared" si="0"/>
        <v>1</v>
      </c>
      <c r="E44" s="15">
        <v>43227</v>
      </c>
      <c r="F44">
        <f t="shared" si="1"/>
        <v>83.471183999999994</v>
      </c>
      <c r="G44">
        <v>1147.8199460000001</v>
      </c>
      <c r="I44" s="13">
        <f t="shared" si="2"/>
        <v>4.4487399583852616E-2</v>
      </c>
      <c r="J44" s="13">
        <f t="shared" si="3"/>
        <v>1.507815532640322E-2</v>
      </c>
      <c r="L44" s="15">
        <v>43227</v>
      </c>
      <c r="M44">
        <f t="shared" si="4"/>
        <v>99.699709498970989</v>
      </c>
      <c r="N44">
        <f t="shared" si="5"/>
        <v>101.12861876874551</v>
      </c>
    </row>
    <row r="45" spans="1:14" x14ac:dyDescent="0.45">
      <c r="A45" s="15">
        <v>43228</v>
      </c>
      <c r="B45">
        <v>84.012198999999995</v>
      </c>
      <c r="C45" t="b">
        <f t="shared" si="0"/>
        <v>1</v>
      </c>
      <c r="E45" s="15">
        <v>43228</v>
      </c>
      <c r="F45">
        <f t="shared" si="1"/>
        <v>84.012198999999995</v>
      </c>
      <c r="G45">
        <v>1157.48999</v>
      </c>
      <c r="I45" s="13">
        <f t="shared" si="2"/>
        <v>6.481458319795852E-3</v>
      </c>
      <c r="J45" s="13">
        <f t="shared" si="3"/>
        <v>8.4247046182623908E-3</v>
      </c>
      <c r="L45" s="15">
        <v>43228</v>
      </c>
      <c r="M45">
        <f t="shared" si="4"/>
        <v>100.34590901058432</v>
      </c>
      <c r="N45">
        <f t="shared" si="5"/>
        <v>101.98059751032505</v>
      </c>
    </row>
    <row r="46" spans="1:14" x14ac:dyDescent="0.45">
      <c r="A46" s="15">
        <v>43229</v>
      </c>
      <c r="B46">
        <v>85.036270000000002</v>
      </c>
      <c r="C46" t="b">
        <f t="shared" si="0"/>
        <v>1</v>
      </c>
      <c r="E46" s="15">
        <v>43229</v>
      </c>
      <c r="F46">
        <f t="shared" si="1"/>
        <v>85.036270000000002</v>
      </c>
      <c r="G46">
        <v>1157.23999</v>
      </c>
      <c r="I46" s="13">
        <f t="shared" si="2"/>
        <v>1.2189551186489123E-2</v>
      </c>
      <c r="J46" s="13">
        <f t="shared" si="3"/>
        <v>-2.1598458920579766E-4</v>
      </c>
      <c r="L46" s="15">
        <v>43229</v>
      </c>
      <c r="M46">
        <f t="shared" si="4"/>
        <v>101.56908060482363</v>
      </c>
      <c r="N46">
        <f t="shared" si="5"/>
        <v>101.95857127286483</v>
      </c>
    </row>
    <row r="47" spans="1:14" x14ac:dyDescent="0.45">
      <c r="A47" s="15">
        <v>43234</v>
      </c>
      <c r="B47">
        <v>84.514579999999995</v>
      </c>
      <c r="C47" t="b">
        <f t="shared" si="0"/>
        <v>1</v>
      </c>
      <c r="E47" s="15">
        <v>43234</v>
      </c>
      <c r="F47">
        <f t="shared" si="1"/>
        <v>84.514579999999995</v>
      </c>
      <c r="G47">
        <v>1161.73999</v>
      </c>
      <c r="I47" s="13">
        <f t="shared" si="2"/>
        <v>-6.1349116088935673E-3</v>
      </c>
      <c r="J47" s="13">
        <f t="shared" si="3"/>
        <v>3.8885624752735826E-3</v>
      </c>
      <c r="L47" s="15">
        <v>43234</v>
      </c>
      <c r="M47">
        <f t="shared" si="4"/>
        <v>100.94596327311645</v>
      </c>
      <c r="N47">
        <f t="shared" si="5"/>
        <v>102.35504354714899</v>
      </c>
    </row>
    <row r="48" spans="1:14" x14ac:dyDescent="0.45">
      <c r="A48" s="15">
        <v>43235</v>
      </c>
      <c r="B48">
        <v>84.533905000000004</v>
      </c>
      <c r="C48" t="b">
        <f t="shared" si="0"/>
        <v>1</v>
      </c>
      <c r="E48" s="15">
        <v>43235</v>
      </c>
      <c r="F48">
        <f t="shared" si="1"/>
        <v>84.533905000000004</v>
      </c>
      <c r="G48">
        <v>1144.209961</v>
      </c>
      <c r="I48" s="13">
        <f t="shared" si="2"/>
        <v>2.2865877106648114E-4</v>
      </c>
      <c r="J48" s="13">
        <f t="shared" si="3"/>
        <v>-1.5089459905740177E-2</v>
      </c>
      <c r="L48" s="15">
        <v>43235</v>
      </c>
      <c r="M48">
        <f t="shared" si="4"/>
        <v>100.9690454530226</v>
      </c>
      <c r="N48">
        <f t="shared" si="5"/>
        <v>100.810561221394</v>
      </c>
    </row>
    <row r="49" spans="1:14" x14ac:dyDescent="0.45">
      <c r="A49" s="15">
        <v>43236</v>
      </c>
      <c r="B49">
        <v>84.591865999999996</v>
      </c>
      <c r="C49" t="b">
        <f t="shared" si="0"/>
        <v>1</v>
      </c>
      <c r="E49" s="15">
        <v>43236</v>
      </c>
      <c r="F49">
        <f t="shared" si="1"/>
        <v>84.591865999999996</v>
      </c>
      <c r="G49">
        <v>1143.73999</v>
      </c>
      <c r="I49" s="13">
        <f t="shared" si="2"/>
        <v>6.8565388053465348E-4</v>
      </c>
      <c r="J49" s="13">
        <f t="shared" si="3"/>
        <v>-4.1073842740302346E-4</v>
      </c>
      <c r="L49" s="15">
        <v>43236</v>
      </c>
      <c r="M49">
        <f t="shared" si="4"/>
        <v>101.03827527085134</v>
      </c>
      <c r="N49">
        <f t="shared" si="5"/>
        <v>100.76915445001231</v>
      </c>
    </row>
    <row r="50" spans="1:14" x14ac:dyDescent="0.45">
      <c r="A50" s="15">
        <v>43237</v>
      </c>
      <c r="B50">
        <v>87.528808999999995</v>
      </c>
      <c r="C50" t="b">
        <f t="shared" si="0"/>
        <v>1</v>
      </c>
      <c r="E50" s="15">
        <v>43237</v>
      </c>
      <c r="F50">
        <f t="shared" si="1"/>
        <v>87.528808999999995</v>
      </c>
      <c r="G50">
        <v>1143.0200199999999</v>
      </c>
      <c r="I50" s="13">
        <f t="shared" si="2"/>
        <v>3.4718976408441016E-2</v>
      </c>
      <c r="J50" s="13">
        <f t="shared" si="3"/>
        <v>-6.2948747643254421E-4</v>
      </c>
      <c r="L50" s="15">
        <v>43237</v>
      </c>
      <c r="M50">
        <f t="shared" si="4"/>
        <v>104.5462207663296</v>
      </c>
      <c r="N50">
        <f t="shared" si="5"/>
        <v>100.70572152927532</v>
      </c>
    </row>
    <row r="51" spans="1:14" x14ac:dyDescent="0.45">
      <c r="A51" s="15">
        <v>43238</v>
      </c>
      <c r="B51">
        <v>87.103736999999995</v>
      </c>
      <c r="C51" t="b">
        <f t="shared" si="0"/>
        <v>1</v>
      </c>
      <c r="E51" s="15">
        <v>43238</v>
      </c>
      <c r="F51">
        <f t="shared" si="1"/>
        <v>87.103736999999995</v>
      </c>
      <c r="G51">
        <v>1139.540039</v>
      </c>
      <c r="I51" s="13">
        <f t="shared" si="2"/>
        <v>-4.8563667763376062E-3</v>
      </c>
      <c r="J51" s="13">
        <f t="shared" si="3"/>
        <v>-3.044549473420366E-3</v>
      </c>
      <c r="L51" s="15">
        <v>43238</v>
      </c>
      <c r="M51">
        <f t="shared" si="4"/>
        <v>104.03850597320833</v>
      </c>
      <c r="N51">
        <f t="shared" si="5"/>
        <v>100.39911797782295</v>
      </c>
    </row>
    <row r="52" spans="1:14" x14ac:dyDescent="0.45">
      <c r="A52" s="15">
        <v>43242</v>
      </c>
      <c r="B52">
        <v>87.644745</v>
      </c>
      <c r="C52" t="b">
        <f t="shared" si="0"/>
        <v>1</v>
      </c>
      <c r="E52" s="15">
        <v>43242</v>
      </c>
      <c r="F52">
        <f t="shared" si="1"/>
        <v>87.644745</v>
      </c>
      <c r="G52">
        <v>1143.9799800000001</v>
      </c>
      <c r="I52" s="13">
        <f t="shared" si="2"/>
        <v>6.2110767991505611E-3</v>
      </c>
      <c r="J52" s="13">
        <f t="shared" si="3"/>
        <v>3.8962571283553959E-3</v>
      </c>
      <c r="L52" s="15">
        <v>43242</v>
      </c>
      <c r="M52">
        <f t="shared" si="4"/>
        <v>104.68469712387682</v>
      </c>
      <c r="N52">
        <f t="shared" si="5"/>
        <v>100.79029875692464</v>
      </c>
    </row>
    <row r="53" spans="1:14" x14ac:dyDescent="0.45">
      <c r="A53" s="15">
        <v>43243</v>
      </c>
      <c r="B53">
        <v>85.442038999999994</v>
      </c>
      <c r="C53" t="b">
        <f t="shared" si="0"/>
        <v>1</v>
      </c>
      <c r="E53" s="15">
        <v>43243</v>
      </c>
      <c r="F53">
        <f t="shared" si="1"/>
        <v>85.442038999999994</v>
      </c>
      <c r="G53">
        <v>1142.650024</v>
      </c>
      <c r="I53" s="13">
        <f t="shared" si="2"/>
        <v>-2.5132208439878623E-2</v>
      </c>
      <c r="J53" s="13">
        <f t="shared" si="3"/>
        <v>-1.1625692960116618E-3</v>
      </c>
      <c r="L53" s="15">
        <v>43243</v>
      </c>
      <c r="M53">
        <f t="shared" si="4"/>
        <v>102.05373949529398</v>
      </c>
      <c r="N53">
        <f t="shared" si="5"/>
        <v>100.67312305025401</v>
      </c>
    </row>
    <row r="54" spans="1:14" x14ac:dyDescent="0.45">
      <c r="A54" s="15">
        <v>43244</v>
      </c>
      <c r="B54">
        <v>82.910858000000005</v>
      </c>
      <c r="C54" t="b">
        <f t="shared" si="0"/>
        <v>1</v>
      </c>
      <c r="E54" s="15">
        <v>43244</v>
      </c>
      <c r="F54">
        <f t="shared" si="1"/>
        <v>82.910858000000005</v>
      </c>
      <c r="G54">
        <v>1129.6899410000001</v>
      </c>
      <c r="I54" s="13">
        <f t="shared" si="2"/>
        <v>-2.9624538805774425E-2</v>
      </c>
      <c r="J54" s="13">
        <f t="shared" si="3"/>
        <v>-1.1342128147541986E-2</v>
      </c>
      <c r="L54" s="15">
        <v>43244</v>
      </c>
      <c r="M54">
        <f t="shared" si="4"/>
        <v>99.030444529341253</v>
      </c>
      <c r="N54">
        <f t="shared" si="5"/>
        <v>99.531275587604767</v>
      </c>
    </row>
    <row r="55" spans="1:14" x14ac:dyDescent="0.45">
      <c r="A55" s="15">
        <v>43245</v>
      </c>
      <c r="B55">
        <v>82.930160999999998</v>
      </c>
      <c r="C55" t="b">
        <f t="shared" si="0"/>
        <v>1</v>
      </c>
      <c r="E55" s="15">
        <v>43245</v>
      </c>
      <c r="F55">
        <f t="shared" si="1"/>
        <v>82.930160999999998</v>
      </c>
      <c r="G55">
        <v>1134.280029</v>
      </c>
      <c r="I55" s="13">
        <f t="shared" si="2"/>
        <v>2.3281630977689538E-4</v>
      </c>
      <c r="J55" s="13">
        <f t="shared" si="3"/>
        <v>4.0631396575390166E-3</v>
      </c>
      <c r="L55" s="15">
        <v>43245</v>
      </c>
      <c r="M55">
        <f t="shared" si="4"/>
        <v>99.053500431992134</v>
      </c>
      <c r="N55">
        <f t="shared" si="5"/>
        <v>99.935685060610211</v>
      </c>
    </row>
    <row r="56" spans="1:14" x14ac:dyDescent="0.45">
      <c r="A56" s="15">
        <v>43248</v>
      </c>
      <c r="B56">
        <v>80.804741000000007</v>
      </c>
      <c r="C56" t="b">
        <f t="shared" si="0"/>
        <v>1</v>
      </c>
      <c r="E56" s="15">
        <v>43248</v>
      </c>
      <c r="F56">
        <f t="shared" si="1"/>
        <v>80.804741000000007</v>
      </c>
      <c r="G56">
        <v>1119.170044</v>
      </c>
      <c r="I56" s="13">
        <f t="shared" si="2"/>
        <v>-2.5629035014172796E-2</v>
      </c>
      <c r="J56" s="13">
        <f t="shared" si="3"/>
        <v>-1.3321212234796431E-2</v>
      </c>
      <c r="L56" s="15">
        <v>43248</v>
      </c>
      <c r="M56">
        <f t="shared" si="4"/>
        <v>96.514854801144224</v>
      </c>
      <c r="N56">
        <f t="shared" si="5"/>
        <v>98.604420590088054</v>
      </c>
    </row>
    <row r="57" spans="1:14" x14ac:dyDescent="0.45">
      <c r="A57" s="15">
        <v>43249</v>
      </c>
      <c r="B57">
        <v>79.838645999999997</v>
      </c>
      <c r="C57" t="b">
        <f t="shared" si="0"/>
        <v>1</v>
      </c>
      <c r="E57" s="15">
        <v>43249</v>
      </c>
      <c r="F57">
        <f t="shared" si="1"/>
        <v>79.838645999999997</v>
      </c>
      <c r="G57">
        <v>1107.089966</v>
      </c>
      <c r="I57" s="13">
        <f t="shared" si="2"/>
        <v>-1.1955919764658485E-2</v>
      </c>
      <c r="J57" s="13">
        <f t="shared" si="3"/>
        <v>-1.079378246832341E-2</v>
      </c>
      <c r="L57" s="15">
        <v>43249</v>
      </c>
      <c r="M57">
        <f t="shared" si="4"/>
        <v>95.360930941044074</v>
      </c>
      <c r="N57">
        <f t="shared" si="5"/>
        <v>97.540105923823575</v>
      </c>
    </row>
    <row r="58" spans="1:14" x14ac:dyDescent="0.45">
      <c r="A58" s="15">
        <v>43250</v>
      </c>
      <c r="B58">
        <v>79.510170000000002</v>
      </c>
      <c r="C58" t="b">
        <f t="shared" si="0"/>
        <v>1</v>
      </c>
      <c r="E58" s="15">
        <v>43250</v>
      </c>
      <c r="F58">
        <f t="shared" si="1"/>
        <v>79.510170000000002</v>
      </c>
      <c r="G58">
        <v>1109.3000489999999</v>
      </c>
      <c r="I58" s="13">
        <f t="shared" si="2"/>
        <v>-4.1142481299093481E-3</v>
      </c>
      <c r="J58" s="13">
        <f t="shared" si="3"/>
        <v>1.9962993685012087E-3</v>
      </c>
      <c r="L58" s="15">
        <v>43250</v>
      </c>
      <c r="M58">
        <f t="shared" si="4"/>
        <v>94.968592409253475</v>
      </c>
      <c r="N58">
        <f t="shared" si="5"/>
        <v>97.734825175682843</v>
      </c>
    </row>
    <row r="59" spans="1:14" x14ac:dyDescent="0.45">
      <c r="A59" s="15">
        <v>43251</v>
      </c>
      <c r="B59">
        <v>80.669494999999998</v>
      </c>
      <c r="C59" t="b">
        <f t="shared" si="0"/>
        <v>1</v>
      </c>
      <c r="E59" s="15">
        <v>43251</v>
      </c>
      <c r="F59">
        <f t="shared" si="1"/>
        <v>80.669494999999998</v>
      </c>
      <c r="G59">
        <v>1113.589966</v>
      </c>
      <c r="I59" s="13">
        <f t="shared" si="2"/>
        <v>1.4580839155544423E-2</v>
      </c>
      <c r="J59" s="13">
        <f t="shared" si="3"/>
        <v>3.8672287122563098E-3</v>
      </c>
      <c r="L59" s="15">
        <v>43251</v>
      </c>
      <c r="M59">
        <f t="shared" si="4"/>
        <v>96.353314180001263</v>
      </c>
      <c r="N59">
        <f t="shared" si="5"/>
        <v>98.11278809778959</v>
      </c>
    </row>
    <row r="60" spans="1:14" x14ac:dyDescent="0.45">
      <c r="A60" s="15">
        <v>43252</v>
      </c>
      <c r="B60">
        <v>81.886780000000002</v>
      </c>
      <c r="C60" t="b">
        <f t="shared" si="0"/>
        <v>1</v>
      </c>
      <c r="E60" s="15">
        <v>43252</v>
      </c>
      <c r="F60">
        <f t="shared" si="1"/>
        <v>81.886780000000002</v>
      </c>
      <c r="G60">
        <v>1129.98999</v>
      </c>
      <c r="I60" s="13">
        <f t="shared" si="2"/>
        <v>1.5089780839709022E-2</v>
      </c>
      <c r="J60" s="13">
        <f t="shared" si="3"/>
        <v>1.472716574387678E-2</v>
      </c>
      <c r="L60" s="15">
        <v>43252</v>
      </c>
      <c r="M60">
        <f t="shared" si="4"/>
        <v>97.807264574157116</v>
      </c>
      <c r="N60">
        <f t="shared" si="5"/>
        <v>99.557711389699591</v>
      </c>
    </row>
    <row r="61" spans="1:14" x14ac:dyDescent="0.45">
      <c r="A61" s="15">
        <v>43255</v>
      </c>
      <c r="B61">
        <v>81.171867000000006</v>
      </c>
      <c r="C61" t="b">
        <f t="shared" si="0"/>
        <v>1</v>
      </c>
      <c r="E61" s="15">
        <v>43255</v>
      </c>
      <c r="F61">
        <f t="shared" si="1"/>
        <v>81.171867000000006</v>
      </c>
      <c r="G61">
        <v>1132.880005</v>
      </c>
      <c r="I61" s="13">
        <f t="shared" si="2"/>
        <v>-8.730505705560776E-3</v>
      </c>
      <c r="J61" s="13">
        <f t="shared" si="3"/>
        <v>2.5575580541203902E-3</v>
      </c>
      <c r="L61" s="15">
        <v>43255</v>
      </c>
      <c r="M61">
        <f t="shared" si="4"/>
        <v>96.953357692747147</v>
      </c>
      <c r="N61">
        <f t="shared" si="5"/>
        <v>99.812336016314106</v>
      </c>
    </row>
    <row r="62" spans="1:14" x14ac:dyDescent="0.45">
      <c r="A62" s="15">
        <v>43257</v>
      </c>
      <c r="B62">
        <v>80.456947</v>
      </c>
      <c r="C62" t="b">
        <f t="shared" si="0"/>
        <v>1</v>
      </c>
      <c r="E62" s="15">
        <v>43257</v>
      </c>
      <c r="F62">
        <f t="shared" si="1"/>
        <v>80.456947</v>
      </c>
      <c r="G62">
        <v>1125.040039</v>
      </c>
      <c r="I62" s="13">
        <f t="shared" si="2"/>
        <v>-8.8074849873788219E-3</v>
      </c>
      <c r="J62" s="13">
        <f t="shared" si="3"/>
        <v>-6.9203851823653739E-3</v>
      </c>
      <c r="L62" s="15">
        <v>43257</v>
      </c>
      <c r="M62">
        <f t="shared" si="4"/>
        <v>96.099442450392303</v>
      </c>
      <c r="N62">
        <f t="shared" si="5"/>
        <v>99.121596205129535</v>
      </c>
    </row>
    <row r="63" spans="1:14" x14ac:dyDescent="0.45">
      <c r="A63" s="15">
        <v>43258</v>
      </c>
      <c r="B63">
        <v>79.684066999999999</v>
      </c>
      <c r="C63" t="b">
        <f t="shared" si="0"/>
        <v>1</v>
      </c>
      <c r="E63" s="15">
        <v>43258</v>
      </c>
      <c r="F63">
        <f t="shared" si="1"/>
        <v>79.684066999999999</v>
      </c>
      <c r="G63">
        <v>1118.099976</v>
      </c>
      <c r="I63" s="13">
        <f t="shared" si="2"/>
        <v>-9.6061313387891811E-3</v>
      </c>
      <c r="J63" s="13">
        <f t="shared" si="3"/>
        <v>-6.1687253425831701E-3</v>
      </c>
      <c r="L63" s="15">
        <v>43258</v>
      </c>
      <c r="M63">
        <f t="shared" si="4"/>
        <v>95.176298584629421</v>
      </c>
      <c r="N63">
        <f t="shared" si="5"/>
        <v>98.510142302621659</v>
      </c>
    </row>
    <row r="64" spans="1:14" x14ac:dyDescent="0.45">
      <c r="A64" s="15">
        <v>43259</v>
      </c>
      <c r="B64">
        <v>78.756607000000002</v>
      </c>
      <c r="C64" t="b">
        <f t="shared" si="0"/>
        <v>1</v>
      </c>
      <c r="E64" s="15">
        <v>43259</v>
      </c>
      <c r="F64">
        <f t="shared" si="1"/>
        <v>78.756607000000002</v>
      </c>
      <c r="G64">
        <v>1112.119995</v>
      </c>
      <c r="I64" s="13">
        <f t="shared" si="2"/>
        <v>-1.163921515200772E-2</v>
      </c>
      <c r="J64" s="13">
        <f t="shared" si="3"/>
        <v>-5.3483419446920255E-3</v>
      </c>
      <c r="L64" s="15">
        <v>43259</v>
      </c>
      <c r="M64">
        <f t="shared" si="4"/>
        <v>94.068521168031197</v>
      </c>
      <c r="N64">
        <f t="shared" si="5"/>
        <v>97.983276376566963</v>
      </c>
    </row>
    <row r="65" spans="1:14" x14ac:dyDescent="0.45">
      <c r="A65" s="15">
        <v>43262</v>
      </c>
      <c r="B65">
        <v>80.360336000000004</v>
      </c>
      <c r="C65" t="b">
        <f t="shared" si="0"/>
        <v>1</v>
      </c>
      <c r="E65" s="15">
        <v>43262</v>
      </c>
      <c r="F65">
        <f t="shared" si="1"/>
        <v>80.360336000000004</v>
      </c>
      <c r="G65">
        <v>1119.420044</v>
      </c>
      <c r="I65" s="13">
        <f t="shared" si="2"/>
        <v>2.0363104266287069E-2</v>
      </c>
      <c r="J65" s="13">
        <f t="shared" si="3"/>
        <v>6.5640839413196872E-3</v>
      </c>
      <c r="L65" s="15">
        <v>43262</v>
      </c>
      <c r="M65">
        <f t="shared" si="4"/>
        <v>95.984048272751252</v>
      </c>
      <c r="N65">
        <f t="shared" si="5"/>
        <v>98.626446827548278</v>
      </c>
    </row>
    <row r="66" spans="1:14" x14ac:dyDescent="0.45">
      <c r="A66" s="15">
        <v>43263</v>
      </c>
      <c r="B66">
        <v>79.838645999999997</v>
      </c>
      <c r="C66" t="b">
        <f t="shared" si="0"/>
        <v>1</v>
      </c>
      <c r="E66" s="15">
        <v>43263</v>
      </c>
      <c r="F66">
        <f t="shared" si="1"/>
        <v>79.838645999999997</v>
      </c>
      <c r="G66">
        <v>1121.2299800000001</v>
      </c>
      <c r="I66" s="13">
        <f t="shared" si="2"/>
        <v>-6.4918842549389622E-3</v>
      </c>
      <c r="J66" s="13">
        <f t="shared" si="3"/>
        <v>1.6168515203038858E-3</v>
      </c>
      <c r="L66" s="15">
        <v>43263</v>
      </c>
      <c r="M66">
        <f t="shared" si="4"/>
        <v>95.360930941044074</v>
      </c>
      <c r="N66">
        <f t="shared" si="5"/>
        <v>98.785911148043567</v>
      </c>
    </row>
    <row r="67" spans="1:14" x14ac:dyDescent="0.45">
      <c r="A67" s="15">
        <v>43264</v>
      </c>
      <c r="B67">
        <v>79.452202</v>
      </c>
      <c r="C67" t="b">
        <f t="shared" ref="C67:C130" si="6">E67=A67</f>
        <v>1</v>
      </c>
      <c r="E67" s="15">
        <v>43264</v>
      </c>
      <c r="F67">
        <f t="shared" ref="F67:F130" si="7">VLOOKUP(E67,A67:B1306,2,0)</f>
        <v>79.452202</v>
      </c>
      <c r="G67">
        <v>1125.2299800000001</v>
      </c>
      <c r="I67" s="13">
        <f t="shared" si="2"/>
        <v>-4.8403125473845954E-3</v>
      </c>
      <c r="J67" s="13">
        <f t="shared" si="3"/>
        <v>3.5675107438708498E-3</v>
      </c>
      <c r="L67" s="15">
        <v>43264</v>
      </c>
      <c r="M67">
        <f t="shared" si="4"/>
        <v>94.899354230479858</v>
      </c>
      <c r="N67">
        <f t="shared" si="5"/>
        <v>99.138330947407283</v>
      </c>
    </row>
    <row r="68" spans="1:14" x14ac:dyDescent="0.45">
      <c r="A68" s="15">
        <v>43265</v>
      </c>
      <c r="B68">
        <v>80.031859999999995</v>
      </c>
      <c r="C68" t="b">
        <f t="shared" si="6"/>
        <v>1</v>
      </c>
      <c r="E68" s="15">
        <v>43265</v>
      </c>
      <c r="F68">
        <f t="shared" si="7"/>
        <v>80.031859999999995</v>
      </c>
      <c r="G68">
        <v>1134.160034</v>
      </c>
      <c r="I68" s="13">
        <f t="shared" ref="I68:I131" si="8">F68/F67-1</f>
        <v>7.2956820001035538E-3</v>
      </c>
      <c r="J68" s="13">
        <f t="shared" ref="J68:J131" si="9">G68/G67-1</f>
        <v>7.9362034061694064E-3</v>
      </c>
      <c r="L68" s="15">
        <v>43265</v>
      </c>
      <c r="M68">
        <f t="shared" ref="M68:M131" si="10">M67*(1+I68)</f>
        <v>95.591709740960624</v>
      </c>
      <c r="N68">
        <f t="shared" ref="N68:N131" si="11">N67*(1+J68)</f>
        <v>99.925112907154045</v>
      </c>
    </row>
    <row r="69" spans="1:14" x14ac:dyDescent="0.45">
      <c r="A69" s="15">
        <v>43266</v>
      </c>
      <c r="B69">
        <v>81.036606000000006</v>
      </c>
      <c r="C69" t="b">
        <f t="shared" si="6"/>
        <v>1</v>
      </c>
      <c r="E69" s="15">
        <v>43266</v>
      </c>
      <c r="F69">
        <f t="shared" si="7"/>
        <v>81.036606000000006</v>
      </c>
      <c r="G69">
        <v>1134.650024</v>
      </c>
      <c r="I69" s="13">
        <f t="shared" si="8"/>
        <v>1.2554325239973352E-2</v>
      </c>
      <c r="J69" s="13">
        <f t="shared" si="9"/>
        <v>4.3202897766714266E-4</v>
      </c>
      <c r="L69" s="15">
        <v>43266</v>
      </c>
      <c r="M69">
        <f t="shared" si="10"/>
        <v>96.791799155293774</v>
      </c>
      <c r="N69">
        <f t="shared" si="11"/>
        <v>99.968283451526602</v>
      </c>
    </row>
    <row r="70" spans="1:14" x14ac:dyDescent="0.45">
      <c r="A70" s="15">
        <v>43269</v>
      </c>
      <c r="B70">
        <v>80.766098</v>
      </c>
      <c r="C70" t="b">
        <f t="shared" si="6"/>
        <v>1</v>
      </c>
      <c r="E70" s="15">
        <v>43269</v>
      </c>
      <c r="F70">
        <f t="shared" si="7"/>
        <v>80.766098</v>
      </c>
      <c r="G70">
        <v>1120.170044</v>
      </c>
      <c r="I70" s="13">
        <f t="shared" si="8"/>
        <v>-3.3380963659807028E-3</v>
      </c>
      <c r="J70" s="13">
        <f t="shared" si="9"/>
        <v>-1.2761626663483017E-2</v>
      </c>
      <c r="L70" s="15">
        <v>43269</v>
      </c>
      <c r="M70">
        <f t="shared" si="10"/>
        <v>96.468698802276748</v>
      </c>
      <c r="N70">
        <f t="shared" si="11"/>
        <v>98.692525539928965</v>
      </c>
    </row>
    <row r="71" spans="1:14" x14ac:dyDescent="0.45">
      <c r="A71" s="15">
        <v>43270</v>
      </c>
      <c r="B71">
        <v>80.688805000000002</v>
      </c>
      <c r="C71" t="b">
        <f t="shared" si="6"/>
        <v>1</v>
      </c>
      <c r="E71" s="15">
        <v>43270</v>
      </c>
      <c r="F71">
        <f t="shared" si="7"/>
        <v>80.688805000000002</v>
      </c>
      <c r="G71">
        <v>1111.130005</v>
      </c>
      <c r="I71" s="13">
        <f t="shared" si="8"/>
        <v>-9.5699807114613122E-4</v>
      </c>
      <c r="J71" s="13">
        <f t="shared" si="9"/>
        <v>-8.0702381289532443E-3</v>
      </c>
      <c r="L71" s="15">
        <v>43270</v>
      </c>
      <c r="M71">
        <f t="shared" si="10"/>
        <v>96.376378443596991</v>
      </c>
      <c r="N71">
        <f t="shared" si="11"/>
        <v>97.896053357273942</v>
      </c>
    </row>
    <row r="72" spans="1:14" x14ac:dyDescent="0.45">
      <c r="A72" s="15">
        <v>43271</v>
      </c>
      <c r="B72">
        <v>79.220344999999995</v>
      </c>
      <c r="C72" t="b">
        <f t="shared" si="6"/>
        <v>1</v>
      </c>
      <c r="E72" s="15">
        <v>43271</v>
      </c>
      <c r="F72">
        <f t="shared" si="7"/>
        <v>79.220344999999995</v>
      </c>
      <c r="G72">
        <v>1121.839966</v>
      </c>
      <c r="I72" s="13">
        <f t="shared" si="8"/>
        <v>-1.8199054999017639E-2</v>
      </c>
      <c r="J72" s="13">
        <f t="shared" si="9"/>
        <v>9.6388009970085342E-3</v>
      </c>
      <c r="L72" s="15">
        <v>43271</v>
      </c>
      <c r="M72">
        <f t="shared" si="10"/>
        <v>94.622419431695832</v>
      </c>
      <c r="N72">
        <f t="shared" si="11"/>
        <v>98.839653933977232</v>
      </c>
    </row>
    <row r="73" spans="1:14" x14ac:dyDescent="0.45">
      <c r="A73" s="15">
        <v>43272</v>
      </c>
      <c r="B73">
        <v>78.891861000000006</v>
      </c>
      <c r="C73" t="b">
        <f t="shared" si="6"/>
        <v>1</v>
      </c>
      <c r="E73" s="15">
        <v>43272</v>
      </c>
      <c r="F73">
        <f t="shared" si="7"/>
        <v>78.891861000000006</v>
      </c>
      <c r="G73">
        <v>1119.1400149999999</v>
      </c>
      <c r="I73" s="13">
        <f t="shared" si="8"/>
        <v>-4.1464601044086669E-3</v>
      </c>
      <c r="J73" s="13">
        <f t="shared" si="9"/>
        <v>-2.4067167170259696E-3</v>
      </c>
      <c r="L73" s="15">
        <v>43272</v>
      </c>
      <c r="M73">
        <f t="shared" si="10"/>
        <v>94.230071344539681</v>
      </c>
      <c r="N73">
        <f t="shared" si="11"/>
        <v>98.601774886549265</v>
      </c>
    </row>
    <row r="74" spans="1:14" x14ac:dyDescent="0.45">
      <c r="A74" s="15">
        <v>43273</v>
      </c>
      <c r="B74">
        <v>79.374915999999999</v>
      </c>
      <c r="C74" t="b">
        <f t="shared" si="6"/>
        <v>1</v>
      </c>
      <c r="E74" s="15">
        <v>43273</v>
      </c>
      <c r="F74">
        <f t="shared" si="7"/>
        <v>79.374915999999999</v>
      </c>
      <c r="G74">
        <v>1124.369995</v>
      </c>
      <c r="I74" s="13">
        <f t="shared" si="8"/>
        <v>6.1230017124325187E-3</v>
      </c>
      <c r="J74" s="13">
        <f t="shared" si="9"/>
        <v>4.6732132976230467E-3</v>
      </c>
      <c r="L74" s="15">
        <v>43273</v>
      </c>
      <c r="M74">
        <f t="shared" si="10"/>
        <v>94.807042232744934</v>
      </c>
      <c r="N74">
        <f t="shared" si="11"/>
        <v>99.06256201211832</v>
      </c>
    </row>
    <row r="75" spans="1:14" x14ac:dyDescent="0.45">
      <c r="A75" s="15">
        <v>43276</v>
      </c>
      <c r="B75">
        <v>77.983727000000002</v>
      </c>
      <c r="C75" t="b">
        <f t="shared" si="6"/>
        <v>1</v>
      </c>
      <c r="E75" s="15">
        <v>43276</v>
      </c>
      <c r="F75">
        <f t="shared" si="7"/>
        <v>77.983727000000002</v>
      </c>
      <c r="G75">
        <v>1114.6899410000001</v>
      </c>
      <c r="I75" s="13">
        <f t="shared" si="8"/>
        <v>-1.7526809099237317E-2</v>
      </c>
      <c r="J75" s="13">
        <f t="shared" si="9"/>
        <v>-8.6093136983791396E-3</v>
      </c>
      <c r="L75" s="15">
        <v>43276</v>
      </c>
      <c r="M75">
        <f t="shared" si="10"/>
        <v>93.145377302268287</v>
      </c>
      <c r="N75">
        <f t="shared" si="11"/>
        <v>98.209701339990858</v>
      </c>
    </row>
    <row r="76" spans="1:14" x14ac:dyDescent="0.45">
      <c r="A76" s="15">
        <v>43277</v>
      </c>
      <c r="B76">
        <v>76.399322999999995</v>
      </c>
      <c r="C76" t="b">
        <f t="shared" si="6"/>
        <v>1</v>
      </c>
      <c r="E76" s="15">
        <v>43277</v>
      </c>
      <c r="F76">
        <f t="shared" si="7"/>
        <v>76.399322999999995</v>
      </c>
      <c r="G76">
        <v>1098.619995</v>
      </c>
      <c r="I76" s="13">
        <f t="shared" si="8"/>
        <v>-2.0317110517172443E-2</v>
      </c>
      <c r="J76" s="13">
        <f t="shared" si="9"/>
        <v>-1.4416516565659121E-2</v>
      </c>
      <c r="L76" s="15">
        <v>43277</v>
      </c>
      <c r="M76">
        <f t="shared" si="10"/>
        <v>91.252932377454371</v>
      </c>
      <c r="N76">
        <f t="shared" si="11"/>
        <v>96.793859553714441</v>
      </c>
    </row>
    <row r="77" spans="1:14" x14ac:dyDescent="0.45">
      <c r="A77" s="15">
        <v>43278</v>
      </c>
      <c r="B77">
        <v>76.051520999999994</v>
      </c>
      <c r="C77" t="b">
        <f t="shared" si="6"/>
        <v>1</v>
      </c>
      <c r="E77" s="15">
        <v>43278</v>
      </c>
      <c r="F77">
        <f t="shared" si="7"/>
        <v>76.051520999999994</v>
      </c>
      <c r="G77">
        <v>1101.3199460000001</v>
      </c>
      <c r="I77" s="13">
        <f t="shared" si="8"/>
        <v>-4.5524225391369022E-3</v>
      </c>
      <c r="J77" s="13">
        <f t="shared" si="9"/>
        <v>2.4575840711875685E-3</v>
      </c>
      <c r="L77" s="15">
        <v>43278</v>
      </c>
      <c r="M77">
        <f t="shared" si="10"/>
        <v>90.837510471336913</v>
      </c>
      <c r="N77">
        <f t="shared" si="11"/>
        <v>97.031738601142422</v>
      </c>
    </row>
    <row r="78" spans="1:14" x14ac:dyDescent="0.45">
      <c r="A78" s="15">
        <v>43279</v>
      </c>
      <c r="B78">
        <v>75.124077</v>
      </c>
      <c r="C78" t="b">
        <f t="shared" si="6"/>
        <v>1</v>
      </c>
      <c r="E78" s="15">
        <v>43279</v>
      </c>
      <c r="F78">
        <f t="shared" si="7"/>
        <v>75.124077</v>
      </c>
      <c r="G78">
        <v>1087.23999</v>
      </c>
      <c r="I78" s="13">
        <f t="shared" si="8"/>
        <v>-1.2194943477856213E-2</v>
      </c>
      <c r="J78" s="13">
        <f t="shared" si="9"/>
        <v>-1.2784619084706961E-2</v>
      </c>
      <c r="L78" s="15">
        <v>43279</v>
      </c>
      <c r="M78">
        <f t="shared" si="10"/>
        <v>89.72975216546979</v>
      </c>
      <c r="N78">
        <f t="shared" si="11"/>
        <v>95.791224783999965</v>
      </c>
    </row>
    <row r="79" spans="1:14" x14ac:dyDescent="0.45">
      <c r="A79" s="15">
        <v>43280</v>
      </c>
      <c r="B79">
        <v>76.322036999999995</v>
      </c>
      <c r="C79" t="b">
        <f t="shared" si="6"/>
        <v>1</v>
      </c>
      <c r="E79" s="15">
        <v>43280</v>
      </c>
      <c r="F79">
        <f t="shared" si="7"/>
        <v>76.322036999999995</v>
      </c>
      <c r="G79">
        <v>1097.23999</v>
      </c>
      <c r="I79" s="13">
        <f t="shared" si="8"/>
        <v>1.5946418882457625E-2</v>
      </c>
      <c r="J79" s="13">
        <f t="shared" si="9"/>
        <v>9.197601350185769E-3</v>
      </c>
      <c r="L79" s="15">
        <v>43280</v>
      </c>
      <c r="M79">
        <f t="shared" si="10"/>
        <v>91.160620379719475</v>
      </c>
      <c r="N79">
        <f t="shared" si="11"/>
        <v>96.672274282409234</v>
      </c>
    </row>
    <row r="80" spans="1:14" x14ac:dyDescent="0.45">
      <c r="A80" s="15">
        <v>43283</v>
      </c>
      <c r="B80">
        <v>74.389824000000004</v>
      </c>
      <c r="C80" t="b">
        <f t="shared" si="6"/>
        <v>1</v>
      </c>
      <c r="E80" s="15">
        <v>43283</v>
      </c>
      <c r="F80">
        <f t="shared" si="7"/>
        <v>74.389824000000004</v>
      </c>
      <c r="G80">
        <v>1089.920044</v>
      </c>
      <c r="I80" s="13">
        <f t="shared" si="8"/>
        <v>-2.5316580583403359E-2</v>
      </c>
      <c r="J80" s="13">
        <f t="shared" si="9"/>
        <v>-6.6712351597758568E-3</v>
      </c>
      <c r="L80" s="15">
        <v>43283</v>
      </c>
      <c r="M80">
        <f t="shared" si="10"/>
        <v>88.852745187843269</v>
      </c>
      <c r="N80">
        <f t="shared" si="11"/>
        <v>96.027350807240936</v>
      </c>
    </row>
    <row r="81" spans="1:14" x14ac:dyDescent="0.45">
      <c r="A81" s="15">
        <v>43284</v>
      </c>
      <c r="B81">
        <v>75.819655999999995</v>
      </c>
      <c r="C81" t="b">
        <f t="shared" si="6"/>
        <v>1</v>
      </c>
      <c r="E81" s="15">
        <v>43284</v>
      </c>
      <c r="F81">
        <f t="shared" si="7"/>
        <v>75.819655999999995</v>
      </c>
      <c r="G81">
        <v>1098.9799800000001</v>
      </c>
      <c r="I81" s="13">
        <f t="shared" si="8"/>
        <v>1.9220800952560291E-2</v>
      </c>
      <c r="J81" s="13">
        <f t="shared" si="9"/>
        <v>8.3124776444611914E-3</v>
      </c>
      <c r="L81" s="15">
        <v>43284</v>
      </c>
      <c r="M81">
        <f t="shared" si="10"/>
        <v>90.560566117187363</v>
      </c>
      <c r="N81">
        <f t="shared" si="11"/>
        <v>96.825576014082955</v>
      </c>
    </row>
    <row r="82" spans="1:14" x14ac:dyDescent="0.45">
      <c r="A82" s="15">
        <v>43285</v>
      </c>
      <c r="B82">
        <v>75.896941999999996</v>
      </c>
      <c r="C82" t="b">
        <f t="shared" si="6"/>
        <v>1</v>
      </c>
      <c r="E82" s="15">
        <v>43285</v>
      </c>
      <c r="F82">
        <f t="shared" si="7"/>
        <v>75.896941999999996</v>
      </c>
      <c r="G82">
        <v>1099.650024</v>
      </c>
      <c r="I82" s="13">
        <f t="shared" si="8"/>
        <v>1.0193398925470998E-3</v>
      </c>
      <c r="J82" s="13">
        <f t="shared" si="9"/>
        <v>6.0969627490381484E-4</v>
      </c>
      <c r="L82" s="15">
        <v>43285</v>
      </c>
      <c r="M82">
        <f t="shared" si="10"/>
        <v>90.65287811492226</v>
      </c>
      <c r="N82">
        <f t="shared" si="11"/>
        <v>96.884610207094155</v>
      </c>
    </row>
    <row r="83" spans="1:14" x14ac:dyDescent="0.45">
      <c r="A83" s="15">
        <v>43286</v>
      </c>
      <c r="B83">
        <v>74.370514</v>
      </c>
      <c r="C83" t="b">
        <f t="shared" si="6"/>
        <v>1</v>
      </c>
      <c r="E83" s="15">
        <v>43286</v>
      </c>
      <c r="F83">
        <f t="shared" si="7"/>
        <v>74.370514</v>
      </c>
      <c r="G83">
        <v>1094</v>
      </c>
      <c r="I83" s="13">
        <f t="shared" si="8"/>
        <v>-2.01118511467826E-2</v>
      </c>
      <c r="J83" s="13">
        <f t="shared" si="9"/>
        <v>-5.1380201670417902E-3</v>
      </c>
      <c r="L83" s="15">
        <v>43286</v>
      </c>
      <c r="M83">
        <f t="shared" si="10"/>
        <v>88.829680924247512</v>
      </c>
      <c r="N83">
        <f t="shared" si="11"/>
        <v>96.386815125974124</v>
      </c>
    </row>
    <row r="84" spans="1:14" x14ac:dyDescent="0.45">
      <c r="A84" s="15">
        <v>43287</v>
      </c>
      <c r="B84">
        <v>74.486427000000006</v>
      </c>
      <c r="C84" t="b">
        <f t="shared" si="6"/>
        <v>1</v>
      </c>
      <c r="E84" s="15">
        <v>43287</v>
      </c>
      <c r="F84">
        <f t="shared" si="7"/>
        <v>74.486427000000006</v>
      </c>
      <c r="G84">
        <v>1100</v>
      </c>
      <c r="I84" s="13">
        <f t="shared" si="8"/>
        <v>1.5585881253961098E-3</v>
      </c>
      <c r="J84" s="13">
        <f t="shared" si="9"/>
        <v>5.4844606946984342E-3</v>
      </c>
      <c r="L84" s="15">
        <v>43287</v>
      </c>
      <c r="M84">
        <f t="shared" si="10"/>
        <v>88.968129810118768</v>
      </c>
      <c r="N84">
        <f t="shared" si="11"/>
        <v>96.915444825019691</v>
      </c>
    </row>
    <row r="85" spans="1:14" x14ac:dyDescent="0.45">
      <c r="A85" s="15">
        <v>43290</v>
      </c>
      <c r="B85">
        <v>76.264069000000006</v>
      </c>
      <c r="C85" t="b">
        <f t="shared" si="6"/>
        <v>1</v>
      </c>
      <c r="E85" s="15">
        <v>43290</v>
      </c>
      <c r="F85">
        <f t="shared" si="7"/>
        <v>76.264069000000006</v>
      </c>
      <c r="G85">
        <v>1109.3100589999999</v>
      </c>
      <c r="I85" s="13">
        <f t="shared" si="8"/>
        <v>2.3865314414933669E-2</v>
      </c>
      <c r="J85" s="13">
        <f t="shared" si="9"/>
        <v>8.4636899999999127E-3</v>
      </c>
      <c r="L85" s="15">
        <v>43290</v>
      </c>
      <c r="M85">
        <f t="shared" si="10"/>
        <v>91.091382200945887</v>
      </c>
      <c r="N85">
        <f t="shared" si="11"/>
        <v>97.735707106230748</v>
      </c>
    </row>
    <row r="86" spans="1:14" x14ac:dyDescent="0.45">
      <c r="A86" s="15">
        <v>43291</v>
      </c>
      <c r="B86">
        <v>76.863051999999996</v>
      </c>
      <c r="C86" t="b">
        <f t="shared" si="6"/>
        <v>1</v>
      </c>
      <c r="E86" s="15">
        <v>43291</v>
      </c>
      <c r="F86">
        <f t="shared" si="7"/>
        <v>76.863051999999996</v>
      </c>
      <c r="G86">
        <v>1120.8900149999999</v>
      </c>
      <c r="I86" s="13">
        <f t="shared" si="8"/>
        <v>7.8540655888683641E-3</v>
      </c>
      <c r="J86" s="13">
        <f t="shared" si="9"/>
        <v>1.0438881272237799E-2</v>
      </c>
      <c r="L86" s="15">
        <v>43291</v>
      </c>
      <c r="M86">
        <f t="shared" si="10"/>
        <v>91.806819891332793</v>
      </c>
      <c r="N86">
        <f t="shared" si="11"/>
        <v>98.755958548770906</v>
      </c>
    </row>
    <row r="87" spans="1:14" x14ac:dyDescent="0.45">
      <c r="A87" s="15">
        <v>43292</v>
      </c>
      <c r="B87">
        <v>75.066092999999995</v>
      </c>
      <c r="C87" t="b">
        <f t="shared" si="6"/>
        <v>1</v>
      </c>
      <c r="E87" s="15">
        <v>43292</v>
      </c>
      <c r="F87">
        <f t="shared" si="7"/>
        <v>75.066092999999995</v>
      </c>
      <c r="G87">
        <v>1114.76001</v>
      </c>
      <c r="I87" s="13">
        <f t="shared" si="8"/>
        <v>-2.3378709968477462E-2</v>
      </c>
      <c r="J87" s="13">
        <f t="shared" si="9"/>
        <v>-5.4688728759886285E-3</v>
      </c>
      <c r="L87" s="15">
        <v>43292</v>
      </c>
      <c r="M87">
        <f t="shared" si="10"/>
        <v>89.660494875965071</v>
      </c>
      <c r="N87">
        <f t="shared" si="11"/>
        <v>98.215874765721281</v>
      </c>
    </row>
    <row r="88" spans="1:14" x14ac:dyDescent="0.45">
      <c r="A88" s="15">
        <v>43293</v>
      </c>
      <c r="B88">
        <v>75.452545000000001</v>
      </c>
      <c r="C88" t="b">
        <f t="shared" si="6"/>
        <v>1</v>
      </c>
      <c r="E88" s="15">
        <v>43293</v>
      </c>
      <c r="F88">
        <f t="shared" si="7"/>
        <v>75.452545000000001</v>
      </c>
      <c r="G88">
        <v>1128.5</v>
      </c>
      <c r="I88" s="13">
        <f t="shared" si="8"/>
        <v>5.1481565718360933E-3</v>
      </c>
      <c r="J88" s="13">
        <f t="shared" si="9"/>
        <v>1.2325513901418228E-2</v>
      </c>
      <c r="L88" s="15">
        <v>43293</v>
      </c>
      <c r="M88">
        <f t="shared" si="10"/>
        <v>90.122081141894853</v>
      </c>
      <c r="N88">
        <f t="shared" si="11"/>
        <v>99.426435895486136</v>
      </c>
    </row>
    <row r="89" spans="1:14" x14ac:dyDescent="0.45">
      <c r="A89" s="15">
        <v>43294</v>
      </c>
      <c r="B89">
        <v>75.201346999999998</v>
      </c>
      <c r="C89" t="b">
        <f t="shared" si="6"/>
        <v>1</v>
      </c>
      <c r="E89" s="15">
        <v>43294</v>
      </c>
      <c r="F89">
        <f t="shared" si="7"/>
        <v>75.201346999999998</v>
      </c>
      <c r="G89">
        <v>1129.8000489999999</v>
      </c>
      <c r="I89" s="13">
        <f t="shared" si="8"/>
        <v>-3.3292183848802059E-3</v>
      </c>
      <c r="J89" s="13">
        <f t="shared" si="9"/>
        <v>1.1520150642445603E-3</v>
      </c>
      <c r="L89" s="15">
        <v>43294</v>
      </c>
      <c r="M89">
        <f t="shared" si="10"/>
        <v>89.822045052473584</v>
      </c>
      <c r="N89">
        <f t="shared" si="11"/>
        <v>99.540976647421886</v>
      </c>
    </row>
    <row r="90" spans="1:14" x14ac:dyDescent="0.45">
      <c r="A90" s="15">
        <v>43297</v>
      </c>
      <c r="B90">
        <v>75.297966000000002</v>
      </c>
      <c r="C90" t="b">
        <f t="shared" si="6"/>
        <v>1</v>
      </c>
      <c r="E90" s="15">
        <v>43297</v>
      </c>
      <c r="F90">
        <f t="shared" si="7"/>
        <v>75.297966000000002</v>
      </c>
      <c r="G90">
        <v>1127.5200199999999</v>
      </c>
      <c r="I90" s="13">
        <f t="shared" si="8"/>
        <v>1.2848041139477129E-3</v>
      </c>
      <c r="J90" s="13">
        <f t="shared" si="9"/>
        <v>-2.0180818738838591E-3</v>
      </c>
      <c r="L90" s="15">
        <v>43297</v>
      </c>
      <c r="M90">
        <f t="shared" si="10"/>
        <v>89.9374487854802</v>
      </c>
      <c r="N90">
        <f t="shared" si="11"/>
        <v>99.340094806741021</v>
      </c>
    </row>
    <row r="91" spans="1:14" x14ac:dyDescent="0.45">
      <c r="A91" s="15">
        <v>43298</v>
      </c>
      <c r="B91">
        <v>76.708472999999998</v>
      </c>
      <c r="C91" t="b">
        <f t="shared" si="6"/>
        <v>1</v>
      </c>
      <c r="E91" s="15">
        <v>43298</v>
      </c>
      <c r="F91">
        <f t="shared" si="7"/>
        <v>76.708472999999998</v>
      </c>
      <c r="G91">
        <v>1138.709961</v>
      </c>
      <c r="I91" s="13">
        <f t="shared" si="8"/>
        <v>1.873233866635915E-2</v>
      </c>
      <c r="J91" s="13">
        <f t="shared" si="9"/>
        <v>9.9243834269124864E-3</v>
      </c>
      <c r="L91" s="15">
        <v>43298</v>
      </c>
      <c r="M91">
        <f t="shared" si="10"/>
        <v>91.62218753491814</v>
      </c>
      <c r="N91">
        <f t="shared" si="11"/>
        <v>100.32598399726896</v>
      </c>
    </row>
    <row r="92" spans="1:14" x14ac:dyDescent="0.45">
      <c r="A92" s="15">
        <v>43299</v>
      </c>
      <c r="B92">
        <v>77.249495999999994</v>
      </c>
      <c r="C92" t="b">
        <f t="shared" si="6"/>
        <v>1</v>
      </c>
      <c r="E92" s="15">
        <v>43299</v>
      </c>
      <c r="F92">
        <f t="shared" si="7"/>
        <v>77.249495999999994</v>
      </c>
      <c r="G92">
        <v>1132.3000489999999</v>
      </c>
      <c r="I92" s="13">
        <f t="shared" si="8"/>
        <v>7.0529757514530278E-3</v>
      </c>
      <c r="J92" s="13">
        <f t="shared" si="9"/>
        <v>-5.629099787948566E-3</v>
      </c>
      <c r="L92" s="15">
        <v>43299</v>
      </c>
      <c r="M92">
        <f t="shared" si="10"/>
        <v>92.268396601896995</v>
      </c>
      <c r="N92">
        <f t="shared" si="11"/>
        <v>99.761239022024199</v>
      </c>
    </row>
    <row r="93" spans="1:14" x14ac:dyDescent="0.45">
      <c r="A93" s="15">
        <v>43300</v>
      </c>
      <c r="B93">
        <v>77.500679000000005</v>
      </c>
      <c r="C93" t="b">
        <f t="shared" si="6"/>
        <v>1</v>
      </c>
      <c r="E93" s="15">
        <v>43300</v>
      </c>
      <c r="F93">
        <f t="shared" si="7"/>
        <v>77.500679000000005</v>
      </c>
      <c r="G93">
        <v>1136.790039</v>
      </c>
      <c r="I93" s="13">
        <f t="shared" si="8"/>
        <v>3.2515810847493221E-3</v>
      </c>
      <c r="J93" s="13">
        <f t="shared" si="9"/>
        <v>3.9653711964116045E-3</v>
      </c>
      <c r="L93" s="15">
        <v>43300</v>
      </c>
      <c r="M93">
        <f t="shared" si="10"/>
        <v>92.568414775007867</v>
      </c>
      <c r="N93">
        <f t="shared" si="11"/>
        <v>100.15682936576047</v>
      </c>
    </row>
    <row r="94" spans="1:14" x14ac:dyDescent="0.45">
      <c r="A94" s="15">
        <v>43301</v>
      </c>
      <c r="B94">
        <v>80.959327999999999</v>
      </c>
      <c r="C94" t="b">
        <f t="shared" si="6"/>
        <v>1</v>
      </c>
      <c r="E94" s="15">
        <v>43301</v>
      </c>
      <c r="F94">
        <f t="shared" si="7"/>
        <v>80.959327999999999</v>
      </c>
      <c r="G94">
        <v>1146.51001</v>
      </c>
      <c r="I94" s="13">
        <f t="shared" si="8"/>
        <v>4.4627338039193054E-2</v>
      </c>
      <c r="J94" s="13">
        <f t="shared" si="9"/>
        <v>8.5503660891947941E-3</v>
      </c>
      <c r="L94" s="15">
        <v>43301</v>
      </c>
      <c r="M94">
        <f t="shared" si="10"/>
        <v>96.699496712924372</v>
      </c>
      <c r="N94">
        <f t="shared" si="11"/>
        <v>101.01320692317074</v>
      </c>
    </row>
    <row r="95" spans="1:14" x14ac:dyDescent="0.45">
      <c r="A95" s="15">
        <v>43304</v>
      </c>
      <c r="B95">
        <v>79.954575000000006</v>
      </c>
      <c r="C95" t="b">
        <f t="shared" si="6"/>
        <v>1</v>
      </c>
      <c r="E95" s="15">
        <v>43304</v>
      </c>
      <c r="F95">
        <f t="shared" si="7"/>
        <v>79.954575000000006</v>
      </c>
      <c r="G95">
        <v>1143.6400149999999</v>
      </c>
      <c r="I95" s="13">
        <f t="shared" si="8"/>
        <v>-1.2410589672878669E-2</v>
      </c>
      <c r="J95" s="13">
        <f t="shared" si="9"/>
        <v>-2.5032446075198278E-3</v>
      </c>
      <c r="L95" s="15">
        <v>43304</v>
      </c>
      <c r="M95">
        <f t="shared" si="10"/>
        <v>95.49939893764639</v>
      </c>
      <c r="N95">
        <f t="shared" si="11"/>
        <v>100.76034615765202</v>
      </c>
    </row>
    <row r="96" spans="1:14" x14ac:dyDescent="0.45">
      <c r="A96" s="15">
        <v>43305</v>
      </c>
      <c r="B96">
        <v>79.935248999999999</v>
      </c>
      <c r="C96" t="b">
        <f t="shared" si="6"/>
        <v>1</v>
      </c>
      <c r="E96" s="15">
        <v>43305</v>
      </c>
      <c r="F96">
        <f t="shared" si="7"/>
        <v>79.935248999999999</v>
      </c>
      <c r="G96">
        <v>1153.2299800000001</v>
      </c>
      <c r="I96" s="13">
        <f t="shared" si="8"/>
        <v>-2.4171224723545937E-4</v>
      </c>
      <c r="J96" s="13">
        <f t="shared" si="9"/>
        <v>8.3854752144187916E-3</v>
      </c>
      <c r="L96" s="15">
        <v>43305</v>
      </c>
      <c r="M96">
        <f t="shared" si="10"/>
        <v>95.476315563319531</v>
      </c>
      <c r="N96">
        <f t="shared" si="11"/>
        <v>101.60526954295327</v>
      </c>
    </row>
    <row r="97" spans="1:14" x14ac:dyDescent="0.45">
      <c r="A97" s="15">
        <v>43306</v>
      </c>
      <c r="B97">
        <v>79.510170000000002</v>
      </c>
      <c r="C97" t="b">
        <f t="shared" si="6"/>
        <v>1</v>
      </c>
      <c r="E97" s="15">
        <v>43306</v>
      </c>
      <c r="F97">
        <f t="shared" si="7"/>
        <v>79.510170000000002</v>
      </c>
      <c r="G97">
        <v>1156.420044</v>
      </c>
      <c r="I97" s="13">
        <f t="shared" si="8"/>
        <v>-5.3177916540924075E-3</v>
      </c>
      <c r="J97" s="13">
        <f t="shared" si="9"/>
        <v>2.7661993317238398E-3</v>
      </c>
      <c r="L97" s="15">
        <v>43306</v>
      </c>
      <c r="M97">
        <f t="shared" si="10"/>
        <v>94.968592409253418</v>
      </c>
      <c r="N97">
        <f t="shared" si="11"/>
        <v>101.8863299716626</v>
      </c>
    </row>
    <row r="98" spans="1:14" x14ac:dyDescent="0.45">
      <c r="A98" s="15">
        <v>43307</v>
      </c>
      <c r="B98">
        <v>81.481009999999998</v>
      </c>
      <c r="C98" t="b">
        <f t="shared" si="6"/>
        <v>1</v>
      </c>
      <c r="E98" s="15">
        <v>43307</v>
      </c>
      <c r="F98">
        <f t="shared" si="7"/>
        <v>81.481009999999998</v>
      </c>
      <c r="G98">
        <v>1170.3900149999999</v>
      </c>
      <c r="I98" s="13">
        <f t="shared" si="8"/>
        <v>2.4787269351832508E-2</v>
      </c>
      <c r="J98" s="13">
        <f t="shared" si="9"/>
        <v>1.208036048188732E-2</v>
      </c>
      <c r="L98" s="15">
        <v>43307</v>
      </c>
      <c r="M98">
        <f t="shared" si="10"/>
        <v>97.322604489265984</v>
      </c>
      <c r="N98">
        <f t="shared" si="11"/>
        <v>103.11715356589681</v>
      </c>
    </row>
    <row r="99" spans="1:14" x14ac:dyDescent="0.45">
      <c r="A99" s="15">
        <v>43308</v>
      </c>
      <c r="B99">
        <v>77.829155</v>
      </c>
      <c r="C99" t="b">
        <f t="shared" si="6"/>
        <v>1</v>
      </c>
      <c r="E99" s="15">
        <v>43308</v>
      </c>
      <c r="F99">
        <f t="shared" si="7"/>
        <v>77.829155</v>
      </c>
      <c r="G99">
        <v>1169.410034</v>
      </c>
      <c r="I99" s="13">
        <f t="shared" si="8"/>
        <v>-4.4818479790567078E-2</v>
      </c>
      <c r="J99" s="13">
        <f t="shared" si="9"/>
        <v>-8.3731148372789832E-4</v>
      </c>
      <c r="L99" s="15">
        <v>43308</v>
      </c>
      <c r="M99">
        <f t="shared" si="10"/>
        <v>92.960753306798466</v>
      </c>
      <c r="N99">
        <f t="shared" si="11"/>
        <v>103.03081238904676</v>
      </c>
    </row>
    <row r="100" spans="1:14" x14ac:dyDescent="0.45">
      <c r="A100" s="15">
        <v>43311</v>
      </c>
      <c r="B100">
        <v>78.698646999999994</v>
      </c>
      <c r="C100" t="b">
        <f t="shared" si="6"/>
        <v>1</v>
      </c>
      <c r="E100" s="15">
        <v>43311</v>
      </c>
      <c r="F100">
        <f t="shared" si="7"/>
        <v>78.698646999999994</v>
      </c>
      <c r="G100">
        <v>1164.5699460000001</v>
      </c>
      <c r="I100" s="13">
        <f t="shared" si="8"/>
        <v>1.1171803162966398E-2</v>
      </c>
      <c r="J100" s="13">
        <f t="shared" si="9"/>
        <v>-4.138914375006908E-3</v>
      </c>
      <c r="L100" s="15">
        <v>43311</v>
      </c>
      <c r="M100">
        <f t="shared" si="10"/>
        <v>93.999292544623103</v>
      </c>
      <c r="N100">
        <f t="shared" si="11"/>
        <v>102.60437667858109</v>
      </c>
    </row>
    <row r="101" spans="1:14" x14ac:dyDescent="0.45">
      <c r="A101" s="15">
        <v>43312</v>
      </c>
      <c r="B101">
        <v>79.432884000000001</v>
      </c>
      <c r="C101" t="b">
        <f t="shared" si="6"/>
        <v>1</v>
      </c>
      <c r="E101" s="15">
        <v>43312</v>
      </c>
      <c r="F101">
        <f t="shared" si="7"/>
        <v>79.432884000000001</v>
      </c>
      <c r="G101">
        <v>1157.030029</v>
      </c>
      <c r="I101" s="13">
        <f t="shared" si="8"/>
        <v>9.3297283751270221E-3</v>
      </c>
      <c r="J101" s="13">
        <f t="shared" si="9"/>
        <v>-6.4744217604942866E-3</v>
      </c>
      <c r="L101" s="15">
        <v>43312</v>
      </c>
      <c r="M101">
        <f t="shared" si="10"/>
        <v>94.876280411518536</v>
      </c>
      <c r="N101">
        <f t="shared" si="11"/>
        <v>101.94007266949133</v>
      </c>
    </row>
    <row r="102" spans="1:14" x14ac:dyDescent="0.45">
      <c r="A102" s="15">
        <v>43313</v>
      </c>
      <c r="B102">
        <v>78.833893000000003</v>
      </c>
      <c r="C102" t="b">
        <f t="shared" si="6"/>
        <v>1</v>
      </c>
      <c r="E102" s="15">
        <v>43313</v>
      </c>
      <c r="F102">
        <f t="shared" si="7"/>
        <v>78.833893000000003</v>
      </c>
      <c r="G102">
        <v>1160.4799800000001</v>
      </c>
      <c r="I102" s="13">
        <f t="shared" si="8"/>
        <v>-7.5408441672594195E-3</v>
      </c>
      <c r="J102" s="13">
        <f t="shared" si="9"/>
        <v>2.9817298717664809E-3</v>
      </c>
      <c r="L102" s="15">
        <v>43313</v>
      </c>
      <c r="M102">
        <f t="shared" si="10"/>
        <v>94.160833165766064</v>
      </c>
      <c r="N102">
        <f t="shared" si="11"/>
        <v>102.2440304293</v>
      </c>
    </row>
    <row r="103" spans="1:14" x14ac:dyDescent="0.45">
      <c r="A103" s="15">
        <v>43314</v>
      </c>
      <c r="B103">
        <v>77.655258000000003</v>
      </c>
      <c r="C103" t="b">
        <f t="shared" si="6"/>
        <v>1</v>
      </c>
      <c r="E103" s="15">
        <v>43314</v>
      </c>
      <c r="F103">
        <f t="shared" si="7"/>
        <v>77.655258000000003</v>
      </c>
      <c r="G103">
        <v>1157.219971</v>
      </c>
      <c r="I103" s="13">
        <f t="shared" si="8"/>
        <v>-1.4950866374187521E-2</v>
      </c>
      <c r="J103" s="13">
        <f t="shared" si="9"/>
        <v>-2.8091902111057054E-3</v>
      </c>
      <c r="L103" s="15">
        <v>43314</v>
      </c>
      <c r="M103">
        <f t="shared" si="10"/>
        <v>92.753047131422534</v>
      </c>
      <c r="N103">
        <f t="shared" si="11"/>
        <v>101.95680749987402</v>
      </c>
    </row>
    <row r="104" spans="1:14" x14ac:dyDescent="0.45">
      <c r="A104" s="15">
        <v>43315</v>
      </c>
      <c r="B104">
        <v>78.254242000000005</v>
      </c>
      <c r="C104" t="b">
        <f t="shared" si="6"/>
        <v>1</v>
      </c>
      <c r="E104" s="15">
        <v>43315</v>
      </c>
      <c r="F104">
        <f t="shared" si="7"/>
        <v>78.254242000000005</v>
      </c>
      <c r="G104">
        <v>1159.1899410000001</v>
      </c>
      <c r="I104" s="13">
        <f t="shared" si="8"/>
        <v>7.7133733816194816E-3</v>
      </c>
      <c r="J104" s="13">
        <f t="shared" si="9"/>
        <v>1.7023297638889545E-3</v>
      </c>
      <c r="L104" s="15">
        <v>43315</v>
      </c>
      <c r="M104">
        <f t="shared" si="10"/>
        <v>93.468486016230145</v>
      </c>
      <c r="N104">
        <f t="shared" si="11"/>
        <v>102.13037160791215</v>
      </c>
    </row>
    <row r="105" spans="1:14" x14ac:dyDescent="0.45">
      <c r="A105" s="15">
        <v>43318</v>
      </c>
      <c r="B105">
        <v>78.254242000000005</v>
      </c>
      <c r="C105" t="b">
        <f t="shared" si="6"/>
        <v>1</v>
      </c>
      <c r="E105" s="15">
        <v>43318</v>
      </c>
      <c r="F105">
        <f t="shared" si="7"/>
        <v>78.254242000000005</v>
      </c>
      <c r="G105">
        <v>1153.670044</v>
      </c>
      <c r="I105" s="13">
        <f t="shared" si="8"/>
        <v>0</v>
      </c>
      <c r="J105" s="13">
        <f t="shared" si="9"/>
        <v>-4.7618572287111416E-3</v>
      </c>
      <c r="L105" s="15">
        <v>43318</v>
      </c>
      <c r="M105">
        <f t="shared" si="10"/>
        <v>93.468486016230145</v>
      </c>
      <c r="N105">
        <f t="shared" si="11"/>
        <v>101.64404135960007</v>
      </c>
    </row>
    <row r="106" spans="1:14" x14ac:dyDescent="0.45">
      <c r="A106" s="15">
        <v>43319</v>
      </c>
      <c r="B106">
        <v>77.577972000000003</v>
      </c>
      <c r="C106" t="b">
        <f t="shared" si="6"/>
        <v>1</v>
      </c>
      <c r="E106" s="15">
        <v>43319</v>
      </c>
      <c r="F106">
        <f t="shared" si="7"/>
        <v>77.577972000000003</v>
      </c>
      <c r="G106">
        <v>1148.5200199999999</v>
      </c>
      <c r="I106" s="13">
        <f t="shared" si="8"/>
        <v>-8.6419596269299293E-3</v>
      </c>
      <c r="J106" s="13">
        <f t="shared" si="9"/>
        <v>-4.464035472520278E-3</v>
      </c>
      <c r="L106" s="15">
        <v>43319</v>
      </c>
      <c r="M106">
        <f t="shared" si="10"/>
        <v>92.660735133687623</v>
      </c>
      <c r="N106">
        <f t="shared" si="11"/>
        <v>101.1902987534005</v>
      </c>
    </row>
    <row r="107" spans="1:14" x14ac:dyDescent="0.45">
      <c r="A107" s="15">
        <v>43320</v>
      </c>
      <c r="B107">
        <v>78.833893000000003</v>
      </c>
      <c r="C107" t="b">
        <f t="shared" si="6"/>
        <v>1</v>
      </c>
      <c r="E107" s="15">
        <v>43320</v>
      </c>
      <c r="F107">
        <f t="shared" si="7"/>
        <v>78.833893000000003</v>
      </c>
      <c r="G107">
        <v>1131.3000489999999</v>
      </c>
      <c r="I107" s="13">
        <f t="shared" si="8"/>
        <v>1.6189144516435716E-2</v>
      </c>
      <c r="J107" s="13">
        <f t="shared" si="9"/>
        <v>-1.4993183140159738E-2</v>
      </c>
      <c r="L107" s="15">
        <v>43320</v>
      </c>
      <c r="M107">
        <f t="shared" si="10"/>
        <v>94.160833165766064</v>
      </c>
      <c r="N107">
        <f t="shared" si="11"/>
        <v>99.673134072183288</v>
      </c>
    </row>
    <row r="108" spans="1:14" x14ac:dyDescent="0.45">
      <c r="A108" s="15">
        <v>43321</v>
      </c>
      <c r="B108">
        <v>79.587456000000003</v>
      </c>
      <c r="C108" t="b">
        <f t="shared" si="6"/>
        <v>1</v>
      </c>
      <c r="E108" s="15">
        <v>43321</v>
      </c>
      <c r="F108">
        <f t="shared" si="7"/>
        <v>79.587456000000003</v>
      </c>
      <c r="G108">
        <v>1140.349976</v>
      </c>
      <c r="I108" s="13">
        <f t="shared" si="8"/>
        <v>9.5588708272975609E-3</v>
      </c>
      <c r="J108" s="13">
        <f t="shared" si="9"/>
        <v>7.9995815504467771E-3</v>
      </c>
      <c r="L108" s="15">
        <v>43321</v>
      </c>
      <c r="M108">
        <f t="shared" si="10"/>
        <v>95.060904406988342</v>
      </c>
      <c r="N108">
        <f t="shared" si="11"/>
        <v>100.47047743658233</v>
      </c>
    </row>
    <row r="109" spans="1:14" x14ac:dyDescent="0.45">
      <c r="A109" s="15">
        <v>43322</v>
      </c>
      <c r="B109">
        <v>78.196274000000003</v>
      </c>
      <c r="C109" t="b">
        <f t="shared" si="6"/>
        <v>1</v>
      </c>
      <c r="E109" s="15">
        <v>43322</v>
      </c>
      <c r="F109">
        <f t="shared" si="7"/>
        <v>78.196274000000003</v>
      </c>
      <c r="G109">
        <v>1134.7299800000001</v>
      </c>
      <c r="I109" s="13">
        <f t="shared" si="8"/>
        <v>-1.7479915427878523E-2</v>
      </c>
      <c r="J109" s="13">
        <f t="shared" si="9"/>
        <v>-4.9283080793434131E-3</v>
      </c>
      <c r="L109" s="15">
        <v>43322</v>
      </c>
      <c r="M109">
        <f t="shared" si="10"/>
        <v>93.399247837456542</v>
      </c>
      <c r="N109">
        <f t="shared" si="11"/>
        <v>99.975327970896132</v>
      </c>
    </row>
    <row r="110" spans="1:14" x14ac:dyDescent="0.45">
      <c r="A110" s="15">
        <v>43325</v>
      </c>
      <c r="B110">
        <v>77.732535999999996</v>
      </c>
      <c r="C110" t="b">
        <f t="shared" si="6"/>
        <v>1</v>
      </c>
      <c r="E110" s="15">
        <v>43325</v>
      </c>
      <c r="F110">
        <f t="shared" si="7"/>
        <v>77.732535999999996</v>
      </c>
      <c r="G110">
        <v>1142.170044</v>
      </c>
      <c r="I110" s="13">
        <f t="shared" si="8"/>
        <v>-5.9304360205194584E-3</v>
      </c>
      <c r="J110" s="13">
        <f t="shared" si="9"/>
        <v>6.5566823219034287E-3</v>
      </c>
      <c r="L110" s="15">
        <v>43325</v>
      </c>
      <c r="M110">
        <f t="shared" si="10"/>
        <v>92.845349573791864</v>
      </c>
      <c r="N110">
        <f t="shared" si="11"/>
        <v>100.63083443642941</v>
      </c>
    </row>
    <row r="111" spans="1:14" x14ac:dyDescent="0.45">
      <c r="A111" s="15">
        <v>43326</v>
      </c>
      <c r="B111">
        <v>76.322036999999995</v>
      </c>
      <c r="C111" t="b">
        <f t="shared" si="6"/>
        <v>1</v>
      </c>
      <c r="E111" s="15">
        <v>43326</v>
      </c>
      <c r="F111">
        <f t="shared" si="7"/>
        <v>76.322036999999995</v>
      </c>
      <c r="G111">
        <v>1142.910034</v>
      </c>
      <c r="I111" s="13">
        <f t="shared" si="8"/>
        <v>-1.8145542041752005E-2</v>
      </c>
      <c r="J111" s="13">
        <f t="shared" si="9"/>
        <v>6.4788076336563805E-4</v>
      </c>
      <c r="L111" s="15">
        <v>43326</v>
      </c>
      <c r="M111">
        <f t="shared" si="10"/>
        <v>91.160620379719461</v>
      </c>
      <c r="N111">
        <f t="shared" si="11"/>
        <v>100.69603121826221</v>
      </c>
    </row>
    <row r="112" spans="1:14" x14ac:dyDescent="0.45">
      <c r="A112" s="15">
        <v>43327</v>
      </c>
      <c r="B112">
        <v>78.679328999999996</v>
      </c>
      <c r="C112" t="b">
        <f t="shared" si="6"/>
        <v>1</v>
      </c>
      <c r="E112" s="15">
        <v>43327</v>
      </c>
      <c r="F112">
        <f t="shared" si="7"/>
        <v>78.679328999999996</v>
      </c>
      <c r="G112">
        <v>1129.170044</v>
      </c>
      <c r="I112" s="13">
        <f t="shared" si="8"/>
        <v>3.0886125327079572E-2</v>
      </c>
      <c r="J112" s="13">
        <f t="shared" si="9"/>
        <v>-1.2021934877859408E-2</v>
      </c>
      <c r="L112" s="15">
        <v>43327</v>
      </c>
      <c r="M112">
        <f t="shared" si="10"/>
        <v>93.976218725661795</v>
      </c>
      <c r="N112">
        <f t="shared" si="11"/>
        <v>99.485470088497365</v>
      </c>
    </row>
    <row r="113" spans="1:14" x14ac:dyDescent="0.45">
      <c r="A113" s="15">
        <v>43328</v>
      </c>
      <c r="B113">
        <v>77.307449000000005</v>
      </c>
      <c r="C113" t="b">
        <f t="shared" si="6"/>
        <v>1</v>
      </c>
      <c r="E113" s="15">
        <v>43328</v>
      </c>
      <c r="F113">
        <f t="shared" si="7"/>
        <v>77.307449000000005</v>
      </c>
      <c r="G113">
        <v>1140.349976</v>
      </c>
      <c r="I113" s="13">
        <f t="shared" si="8"/>
        <v>-1.743634595561927E-2</v>
      </c>
      <c r="J113" s="13">
        <f t="shared" si="9"/>
        <v>9.9010171757620835E-3</v>
      </c>
      <c r="L113" s="15">
        <v>43328</v>
      </c>
      <c r="M113">
        <f t="shared" si="10"/>
        <v>92.337616864360214</v>
      </c>
      <c r="N113">
        <f t="shared" si="11"/>
        <v>100.47047743658234</v>
      </c>
    </row>
    <row r="114" spans="1:14" x14ac:dyDescent="0.45">
      <c r="A114" s="15">
        <v>43329</v>
      </c>
      <c r="B114">
        <v>79.316947999999996</v>
      </c>
      <c r="C114" t="b">
        <f t="shared" si="6"/>
        <v>1</v>
      </c>
      <c r="E114" s="15">
        <v>43329</v>
      </c>
      <c r="F114">
        <f t="shared" si="7"/>
        <v>79.316947999999996</v>
      </c>
      <c r="G114">
        <v>1140.040039</v>
      </c>
      <c r="I114" s="13">
        <f t="shared" si="8"/>
        <v>2.5993601211701911E-2</v>
      </c>
      <c r="J114" s="13">
        <f t="shared" si="9"/>
        <v>-2.7179112248254533E-4</v>
      </c>
      <c r="L114" s="15">
        <v>43329</v>
      </c>
      <c r="M114">
        <f t="shared" si="10"/>
        <v>94.737804053971317</v>
      </c>
      <c r="N114">
        <f t="shared" si="11"/>
        <v>100.4431704527435</v>
      </c>
    </row>
    <row r="115" spans="1:14" x14ac:dyDescent="0.45">
      <c r="A115" s="15">
        <v>43332</v>
      </c>
      <c r="B115">
        <v>81.384406999999996</v>
      </c>
      <c r="C115" t="b">
        <f t="shared" si="6"/>
        <v>1</v>
      </c>
      <c r="E115" s="15">
        <v>43332</v>
      </c>
      <c r="F115">
        <f t="shared" si="7"/>
        <v>81.384406999999996</v>
      </c>
      <c r="G115">
        <v>1148.26001</v>
      </c>
      <c r="I115" s="13">
        <f t="shared" si="8"/>
        <v>2.6065791134575633E-2</v>
      </c>
      <c r="J115" s="13">
        <f t="shared" si="9"/>
        <v>7.2102476393813841E-3</v>
      </c>
      <c r="L115" s="15">
        <v>43332</v>
      </c>
      <c r="M115">
        <f t="shared" si="10"/>
        <v>97.207219866990485</v>
      </c>
      <c r="N115">
        <f t="shared" si="11"/>
        <v>101.16739058539238</v>
      </c>
    </row>
    <row r="116" spans="1:14" x14ac:dyDescent="0.45">
      <c r="A116" s="15">
        <v>43333</v>
      </c>
      <c r="B116">
        <v>83.954239000000001</v>
      </c>
      <c r="C116" t="b">
        <f t="shared" si="6"/>
        <v>1</v>
      </c>
      <c r="E116" s="15">
        <v>43333</v>
      </c>
      <c r="F116">
        <f t="shared" si="7"/>
        <v>83.954239000000001</v>
      </c>
      <c r="G116">
        <v>1152.540039</v>
      </c>
      <c r="I116" s="13">
        <f t="shared" si="8"/>
        <v>3.1576466484544152E-2</v>
      </c>
      <c r="J116" s="13">
        <f t="shared" si="9"/>
        <v>3.7274040397872188E-3</v>
      </c>
      <c r="L116" s="15">
        <v>43333</v>
      </c>
      <c r="M116">
        <f t="shared" si="10"/>
        <v>100.27668038717623</v>
      </c>
      <c r="N116">
        <f t="shared" si="11"/>
        <v>101.54448232575511</v>
      </c>
    </row>
    <row r="117" spans="1:14" x14ac:dyDescent="0.45">
      <c r="A117" s="15">
        <v>43334</v>
      </c>
      <c r="B117">
        <v>84.012198999999995</v>
      </c>
      <c r="C117" t="b">
        <f t="shared" si="6"/>
        <v>1</v>
      </c>
      <c r="E117" s="15">
        <v>43334</v>
      </c>
      <c r="F117">
        <f t="shared" si="7"/>
        <v>84.012198999999995</v>
      </c>
      <c r="G117">
        <v>1159.119995</v>
      </c>
      <c r="I117" s="13">
        <f t="shared" si="8"/>
        <v>6.9037609881728024E-4</v>
      </c>
      <c r="J117" s="13">
        <f t="shared" si="9"/>
        <v>5.7090910314137044E-3</v>
      </c>
      <c r="L117" s="15">
        <v>43334</v>
      </c>
      <c r="M117">
        <f t="shared" si="10"/>
        <v>100.34590901058428</v>
      </c>
      <c r="N117">
        <f t="shared" si="11"/>
        <v>102.12420901909063</v>
      </c>
    </row>
    <row r="118" spans="1:14" x14ac:dyDescent="0.45">
      <c r="A118" s="15">
        <v>43335</v>
      </c>
      <c r="B118">
        <v>84.089500000000001</v>
      </c>
      <c r="C118" t="b">
        <f t="shared" si="6"/>
        <v>1</v>
      </c>
      <c r="E118" s="15">
        <v>43335</v>
      </c>
      <c r="F118">
        <f t="shared" si="7"/>
        <v>84.089500000000001</v>
      </c>
      <c r="G118">
        <v>1156.5200199999999</v>
      </c>
      <c r="I118" s="13">
        <f t="shared" si="8"/>
        <v>9.201163750041097E-4</v>
      </c>
      <c r="J118" s="13">
        <f t="shared" si="9"/>
        <v>-2.2430593995577119E-3</v>
      </c>
      <c r="L118" s="15">
        <v>43335</v>
      </c>
      <c r="M118">
        <f t="shared" si="10"/>
        <v>100.43823892462959</v>
      </c>
      <c r="N118">
        <f t="shared" si="11"/>
        <v>101.89513835212796</v>
      </c>
    </row>
    <row r="119" spans="1:14" x14ac:dyDescent="0.45">
      <c r="A119" s="15">
        <v>43336</v>
      </c>
      <c r="B119">
        <v>84.282707000000002</v>
      </c>
      <c r="C119" t="b">
        <f t="shared" si="6"/>
        <v>1</v>
      </c>
      <c r="E119" s="15">
        <v>43336</v>
      </c>
      <c r="F119">
        <f t="shared" si="7"/>
        <v>84.282707000000002</v>
      </c>
      <c r="G119">
        <v>1163.48999</v>
      </c>
      <c r="I119" s="13">
        <f t="shared" si="8"/>
        <v>2.2976352576717929E-3</v>
      </c>
      <c r="J119" s="13">
        <f t="shared" si="9"/>
        <v>6.0266747479218452E-3</v>
      </c>
      <c r="L119" s="15">
        <v>43336</v>
      </c>
      <c r="M119">
        <f t="shared" si="10"/>
        <v>100.66900936360128</v>
      </c>
      <c r="N119">
        <f t="shared" si="11"/>
        <v>102.50922720937074</v>
      </c>
    </row>
    <row r="120" spans="1:14" x14ac:dyDescent="0.45">
      <c r="A120" s="15">
        <v>43339</v>
      </c>
      <c r="B120">
        <v>86.833220999999995</v>
      </c>
      <c r="C120" t="b">
        <f t="shared" si="6"/>
        <v>1</v>
      </c>
      <c r="E120" s="15">
        <v>43339</v>
      </c>
      <c r="F120">
        <f t="shared" si="7"/>
        <v>86.833220999999995</v>
      </c>
      <c r="G120">
        <v>1174.7299800000001</v>
      </c>
      <c r="I120" s="13">
        <f t="shared" si="8"/>
        <v>3.0261415310260498E-2</v>
      </c>
      <c r="J120" s="13">
        <f t="shared" si="9"/>
        <v>9.6605816093011665E-3</v>
      </c>
      <c r="L120" s="15">
        <v>43339</v>
      </c>
      <c r="M120">
        <f t="shared" si="10"/>
        <v>103.71539606482571</v>
      </c>
      <c r="N120">
        <f t="shared" si="11"/>
        <v>103.49952596453326</v>
      </c>
    </row>
    <row r="121" spans="1:14" x14ac:dyDescent="0.45">
      <c r="A121" s="15">
        <v>43340</v>
      </c>
      <c r="B121">
        <v>88.147118000000006</v>
      </c>
      <c r="C121" t="b">
        <f t="shared" si="6"/>
        <v>1</v>
      </c>
      <c r="E121" s="15">
        <v>43340</v>
      </c>
      <c r="F121">
        <f t="shared" si="7"/>
        <v>88.147118000000006</v>
      </c>
      <c r="G121">
        <v>1176.650024</v>
      </c>
      <c r="I121" s="13">
        <f t="shared" si="8"/>
        <v>1.5131271014350745E-2</v>
      </c>
      <c r="J121" s="13">
        <f t="shared" si="9"/>
        <v>1.6344556048530912E-3</v>
      </c>
      <c r="L121" s="15">
        <v>43340</v>
      </c>
      <c r="M121">
        <f t="shared" si="10"/>
        <v>105.28474183104332</v>
      </c>
      <c r="N121">
        <f t="shared" si="11"/>
        <v>103.66869134484563</v>
      </c>
    </row>
    <row r="122" spans="1:14" x14ac:dyDescent="0.45">
      <c r="A122" s="15">
        <v>43341</v>
      </c>
      <c r="B122">
        <v>86.871864000000002</v>
      </c>
      <c r="C122" t="b">
        <f t="shared" si="6"/>
        <v>1</v>
      </c>
      <c r="E122" s="15">
        <v>43341</v>
      </c>
      <c r="F122">
        <f t="shared" si="7"/>
        <v>86.871864000000002</v>
      </c>
      <c r="G122">
        <v>1176.1400149999999</v>
      </c>
      <c r="I122" s="13">
        <f t="shared" si="8"/>
        <v>-1.446733630020669E-2</v>
      </c>
      <c r="J122" s="13">
        <f t="shared" si="9"/>
        <v>-4.3344154132285428E-4</v>
      </c>
      <c r="L122" s="15">
        <v>43341</v>
      </c>
      <c r="M122">
        <f t="shared" si="10"/>
        <v>103.76155206369317</v>
      </c>
      <c r="N122">
        <f t="shared" si="11"/>
        <v>103.6237570274822</v>
      </c>
    </row>
    <row r="123" spans="1:14" x14ac:dyDescent="0.45">
      <c r="A123" s="15">
        <v>43342</v>
      </c>
      <c r="B123">
        <v>86.427459999999996</v>
      </c>
      <c r="C123" t="b">
        <f t="shared" si="6"/>
        <v>1</v>
      </c>
      <c r="E123" s="15">
        <v>43342</v>
      </c>
      <c r="F123">
        <f t="shared" si="7"/>
        <v>86.427459999999996</v>
      </c>
      <c r="G123">
        <v>1178</v>
      </c>
      <c r="I123" s="13">
        <f t="shared" si="8"/>
        <v>-5.1156263896905418E-3</v>
      </c>
      <c r="J123" s="13">
        <f t="shared" si="9"/>
        <v>1.5814316121198768E-3</v>
      </c>
      <c r="L123" s="15">
        <v>43342</v>
      </c>
      <c r="M123">
        <f t="shared" si="10"/>
        <v>103.23074672972089</v>
      </c>
      <c r="N123">
        <f t="shared" si="11"/>
        <v>103.78763091261209</v>
      </c>
    </row>
    <row r="124" spans="1:14" x14ac:dyDescent="0.45">
      <c r="A124" s="15">
        <v>43343</v>
      </c>
      <c r="B124">
        <v>86.466103000000004</v>
      </c>
      <c r="C124" t="b">
        <f t="shared" si="6"/>
        <v>1</v>
      </c>
      <c r="E124" s="15">
        <v>43343</v>
      </c>
      <c r="F124">
        <f t="shared" si="7"/>
        <v>86.466103000000004</v>
      </c>
      <c r="G124">
        <v>1171.540039</v>
      </c>
      <c r="I124" s="13">
        <f t="shared" si="8"/>
        <v>4.4711484058423956E-4</v>
      </c>
      <c r="J124" s="13">
        <f t="shared" si="9"/>
        <v>-5.4838378607809934E-3</v>
      </c>
      <c r="L124" s="15">
        <v>43343</v>
      </c>
      <c r="M124">
        <f t="shared" si="10"/>
        <v>103.27690272858834</v>
      </c>
      <c r="N124">
        <f t="shared" si="11"/>
        <v>103.21847637273274</v>
      </c>
    </row>
    <row r="125" spans="1:14" x14ac:dyDescent="0.45">
      <c r="A125" s="15">
        <v>43346</v>
      </c>
      <c r="B125">
        <v>85.132880999999998</v>
      </c>
      <c r="C125" t="b">
        <f t="shared" si="6"/>
        <v>1</v>
      </c>
      <c r="E125" s="15">
        <v>43346</v>
      </c>
      <c r="F125">
        <f t="shared" si="7"/>
        <v>85.132880999999998</v>
      </c>
      <c r="G125">
        <v>1167.670044</v>
      </c>
      <c r="I125" s="13">
        <f t="shared" si="8"/>
        <v>-1.5419013390715719E-2</v>
      </c>
      <c r="J125" s="13">
        <f t="shared" si="9"/>
        <v>-3.3033399381752204E-3</v>
      </c>
      <c r="L125" s="15">
        <v>43346</v>
      </c>
      <c r="M125">
        <f t="shared" si="10"/>
        <v>101.68447478246459</v>
      </c>
      <c r="N125">
        <f t="shared" si="11"/>
        <v>102.87751065737309</v>
      </c>
    </row>
    <row r="126" spans="1:14" x14ac:dyDescent="0.45">
      <c r="A126" s="15">
        <v>43347</v>
      </c>
      <c r="B126">
        <v>83.393889999999999</v>
      </c>
      <c r="C126" t="b">
        <f t="shared" si="6"/>
        <v>1</v>
      </c>
      <c r="E126" s="15">
        <v>43347</v>
      </c>
      <c r="F126">
        <f t="shared" si="7"/>
        <v>83.393889999999999</v>
      </c>
      <c r="G126">
        <v>1154.5200199999999</v>
      </c>
      <c r="I126" s="13">
        <f t="shared" si="8"/>
        <v>-2.0426784334950376E-2</v>
      </c>
      <c r="J126" s="13">
        <f t="shared" si="9"/>
        <v>-1.1261763601430608E-2</v>
      </c>
      <c r="L126" s="15">
        <v>43347</v>
      </c>
      <c r="M126">
        <f t="shared" si="10"/>
        <v>99.607387945870485</v>
      </c>
      <c r="N126">
        <f t="shared" si="11"/>
        <v>101.71892845244609</v>
      </c>
    </row>
    <row r="127" spans="1:14" x14ac:dyDescent="0.45">
      <c r="A127" s="15">
        <v>43348</v>
      </c>
      <c r="B127">
        <v>82.524405999999999</v>
      </c>
      <c r="C127" t="b">
        <f t="shared" si="6"/>
        <v>1</v>
      </c>
      <c r="E127" s="15">
        <v>43348</v>
      </c>
      <c r="F127">
        <f t="shared" si="7"/>
        <v>82.524405999999999</v>
      </c>
      <c r="G127">
        <v>1136.8100589999999</v>
      </c>
      <c r="I127" s="13">
        <f t="shared" si="8"/>
        <v>-1.0426231466118208E-2</v>
      </c>
      <c r="J127" s="13">
        <f t="shared" si="9"/>
        <v>-1.5339674231028111E-2</v>
      </c>
      <c r="L127" s="15">
        <v>43348</v>
      </c>
      <c r="M127">
        <f t="shared" si="10"/>
        <v>98.5688582634114</v>
      </c>
      <c r="N127">
        <f t="shared" si="11"/>
        <v>100.15859322685631</v>
      </c>
    </row>
    <row r="128" spans="1:14" x14ac:dyDescent="0.45">
      <c r="A128" s="15">
        <v>43349</v>
      </c>
      <c r="B128">
        <v>83.123390000000001</v>
      </c>
      <c r="C128" t="b">
        <f t="shared" si="6"/>
        <v>1</v>
      </c>
      <c r="E128" s="15">
        <v>43349</v>
      </c>
      <c r="F128">
        <f t="shared" si="7"/>
        <v>83.123390000000001</v>
      </c>
      <c r="G128">
        <v>1138.25</v>
      </c>
      <c r="I128" s="13">
        <f t="shared" si="8"/>
        <v>7.258264906505385E-3</v>
      </c>
      <c r="J128" s="13">
        <f t="shared" si="9"/>
        <v>1.266650473929376E-3</v>
      </c>
      <c r="L128" s="15">
        <v>43349</v>
      </c>
      <c r="M128">
        <f t="shared" si="10"/>
        <v>99.284297148219025</v>
      </c>
      <c r="N128">
        <f t="shared" si="11"/>
        <v>100.28545915643521</v>
      </c>
    </row>
    <row r="129" spans="1:14" x14ac:dyDescent="0.45">
      <c r="A129" s="15">
        <v>43350</v>
      </c>
      <c r="B129">
        <v>84.050842000000003</v>
      </c>
      <c r="C129" t="b">
        <f t="shared" si="6"/>
        <v>1</v>
      </c>
      <c r="E129" s="15">
        <v>43350</v>
      </c>
      <c r="F129">
        <f t="shared" si="7"/>
        <v>84.050842000000003</v>
      </c>
      <c r="G129">
        <v>1136.73999</v>
      </c>
      <c r="I129" s="13">
        <f t="shared" si="8"/>
        <v>1.1157533397037955E-2</v>
      </c>
      <c r="J129" s="13">
        <f t="shared" si="9"/>
        <v>-1.3266066329892245E-3</v>
      </c>
      <c r="L129" s="15">
        <v>43350</v>
      </c>
      <c r="M129">
        <f t="shared" si="10"/>
        <v>100.39206500945171</v>
      </c>
      <c r="N129">
        <f t="shared" si="11"/>
        <v>100.15241980112592</v>
      </c>
    </row>
    <row r="130" spans="1:14" x14ac:dyDescent="0.45">
      <c r="A130" s="15">
        <v>43353</v>
      </c>
      <c r="B130">
        <v>84.669150999999999</v>
      </c>
      <c r="C130" t="b">
        <f t="shared" si="6"/>
        <v>1</v>
      </c>
      <c r="E130" s="15">
        <v>43353</v>
      </c>
      <c r="F130">
        <f t="shared" si="7"/>
        <v>84.669150999999999</v>
      </c>
      <c r="G130">
        <v>1135.4399410000001</v>
      </c>
      <c r="I130" s="13">
        <f t="shared" si="8"/>
        <v>7.3563688987197118E-3</v>
      </c>
      <c r="J130" s="13">
        <f t="shared" si="9"/>
        <v>-1.1436643484320497E-3</v>
      </c>
      <c r="L130" s="15">
        <v>43353</v>
      </c>
      <c r="M130">
        <f t="shared" si="10"/>
        <v>101.13058607416549</v>
      </c>
      <c r="N130">
        <f t="shared" si="11"/>
        <v>100.03787904919017</v>
      </c>
    </row>
    <row r="131" spans="1:14" x14ac:dyDescent="0.45">
      <c r="A131" s="15">
        <v>43354</v>
      </c>
      <c r="B131">
        <v>83.297286999999997</v>
      </c>
      <c r="C131" t="b">
        <f t="shared" ref="C131:C194" si="12">E131=A131</f>
        <v>1</v>
      </c>
      <c r="E131" s="15">
        <v>43354</v>
      </c>
      <c r="F131">
        <f t="shared" ref="F131:F194" si="13">VLOOKUP(E131,A131:B1370,2,0)</f>
        <v>83.297286999999997</v>
      </c>
      <c r="G131">
        <v>1127.780029</v>
      </c>
      <c r="I131" s="13">
        <f t="shared" si="8"/>
        <v>-1.6202642683874391E-2</v>
      </c>
      <c r="J131" s="13">
        <f t="shared" si="9"/>
        <v>-6.7462062266840928E-3</v>
      </c>
      <c r="L131" s="15">
        <v>43354</v>
      </c>
      <c r="M131">
        <f t="shared" si="10"/>
        <v>99.492003323594986</v>
      </c>
      <c r="N131">
        <f t="shared" si="11"/>
        <v>99.363002886644253</v>
      </c>
    </row>
    <row r="132" spans="1:14" x14ac:dyDescent="0.45">
      <c r="A132" s="15">
        <v>43355</v>
      </c>
      <c r="B132">
        <v>81.944748000000004</v>
      </c>
      <c r="C132" t="b">
        <f t="shared" si="12"/>
        <v>1</v>
      </c>
      <c r="E132" s="15">
        <v>43355</v>
      </c>
      <c r="F132">
        <f t="shared" si="13"/>
        <v>81.944748000000004</v>
      </c>
      <c r="G132">
        <v>1132.209961</v>
      </c>
      <c r="I132" s="13">
        <f t="shared" ref="I132:I195" si="14">F132/F131-1</f>
        <v>-1.6237491624427003E-2</v>
      </c>
      <c r="J132" s="13">
        <f t="shared" ref="J132:J195" si="15">G132/G131-1</f>
        <v>3.9280106812389359E-3</v>
      </c>
      <c r="L132" s="15">
        <v>43355</v>
      </c>
      <c r="M132">
        <f t="shared" ref="M132:M195" si="16">M131*(1+I132)</f>
        <v>97.876502752930648</v>
      </c>
      <c r="N132">
        <f t="shared" ref="N132:N195" si="17">N131*(1+J132)</f>
        <v>99.753301823302962</v>
      </c>
    </row>
    <row r="133" spans="1:14" x14ac:dyDescent="0.45">
      <c r="A133" s="15">
        <v>43356</v>
      </c>
      <c r="B133">
        <v>80.012535</v>
      </c>
      <c r="C133" t="b">
        <f t="shared" si="12"/>
        <v>1</v>
      </c>
      <c r="E133" s="15">
        <v>43356</v>
      </c>
      <c r="F133">
        <f t="shared" si="13"/>
        <v>80.012535</v>
      </c>
      <c r="G133">
        <v>1129.23999</v>
      </c>
      <c r="I133" s="13">
        <f t="shared" si="14"/>
        <v>-2.357946112666065E-2</v>
      </c>
      <c r="J133" s="13">
        <f t="shared" si="15"/>
        <v>-2.6231627545272307E-3</v>
      </c>
      <c r="L133" s="15">
        <v>43356</v>
      </c>
      <c r="M133">
        <f t="shared" si="16"/>
        <v>95.568627561054427</v>
      </c>
      <c r="N133">
        <f t="shared" si="17"/>
        <v>99.491632677318961</v>
      </c>
    </row>
    <row r="134" spans="1:14" x14ac:dyDescent="0.45">
      <c r="A134" s="15">
        <v>43357</v>
      </c>
      <c r="B134">
        <v>80.534240999999994</v>
      </c>
      <c r="C134" t="b">
        <f t="shared" si="12"/>
        <v>1</v>
      </c>
      <c r="E134" s="15">
        <v>43357</v>
      </c>
      <c r="F134">
        <f t="shared" si="13"/>
        <v>80.534240999999994</v>
      </c>
      <c r="G134">
        <v>1123.7700199999999</v>
      </c>
      <c r="I134" s="13">
        <f t="shared" si="14"/>
        <v>6.5203033499687812E-3</v>
      </c>
      <c r="J134" s="13">
        <f t="shared" si="15"/>
        <v>-4.8439393294954503E-3</v>
      </c>
      <c r="L134" s="15">
        <v>43357</v>
      </c>
      <c r="M134">
        <f t="shared" si="16"/>
        <v>96.191764003492693</v>
      </c>
      <c r="N134">
        <f t="shared" si="17"/>
        <v>99.009701244837586</v>
      </c>
    </row>
    <row r="135" spans="1:14" x14ac:dyDescent="0.45">
      <c r="A135" s="15">
        <v>43360</v>
      </c>
      <c r="B135">
        <v>80.341019000000003</v>
      </c>
      <c r="C135" t="b">
        <f t="shared" si="12"/>
        <v>1</v>
      </c>
      <c r="E135" s="15">
        <v>43360</v>
      </c>
      <c r="F135">
        <f t="shared" si="13"/>
        <v>80.341019000000003</v>
      </c>
      <c r="G135">
        <v>1115.76001</v>
      </c>
      <c r="I135" s="13">
        <f t="shared" si="14"/>
        <v>-2.3992527600774638E-3</v>
      </c>
      <c r="J135" s="13">
        <f t="shared" si="15"/>
        <v>-7.1278018255015452E-3</v>
      </c>
      <c r="L135" s="15">
        <v>43360</v>
      </c>
      <c r="M135">
        <f t="shared" si="16"/>
        <v>95.960975648210592</v>
      </c>
      <c r="N135">
        <f t="shared" si="17"/>
        <v>98.303979715562264</v>
      </c>
    </row>
    <row r="136" spans="1:14" x14ac:dyDescent="0.45">
      <c r="A136" s="15">
        <v>43361</v>
      </c>
      <c r="B136">
        <v>80.785422999999994</v>
      </c>
      <c r="C136" t="b">
        <f t="shared" si="12"/>
        <v>1</v>
      </c>
      <c r="E136" s="15">
        <v>43361</v>
      </c>
      <c r="F136">
        <f t="shared" si="13"/>
        <v>80.785422999999994</v>
      </c>
      <c r="G136">
        <v>1120.400024</v>
      </c>
      <c r="I136" s="13">
        <f t="shared" si="14"/>
        <v>5.5314707920246509E-3</v>
      </c>
      <c r="J136" s="13">
        <f t="shared" si="15"/>
        <v>4.1586129260897664E-3</v>
      </c>
      <c r="L136" s="15">
        <v>43361</v>
      </c>
      <c r="M136">
        <f t="shared" si="16"/>
        <v>96.49178098218286</v>
      </c>
      <c r="N136">
        <f t="shared" si="17"/>
        <v>98.712787916293465</v>
      </c>
    </row>
    <row r="137" spans="1:14" x14ac:dyDescent="0.45">
      <c r="A137" s="15">
        <v>43362</v>
      </c>
      <c r="B137">
        <v>81.133217000000002</v>
      </c>
      <c r="C137" t="b">
        <f t="shared" si="12"/>
        <v>1</v>
      </c>
      <c r="E137" s="15">
        <v>43362</v>
      </c>
      <c r="F137">
        <f t="shared" si="13"/>
        <v>81.133217000000002</v>
      </c>
      <c r="G137">
        <v>1115.26001</v>
      </c>
      <c r="I137" s="13">
        <f t="shared" si="14"/>
        <v>4.3051578748309893E-3</v>
      </c>
      <c r="J137" s="13">
        <f t="shared" si="15"/>
        <v>-4.5876596660979763E-3</v>
      </c>
      <c r="L137" s="15">
        <v>43362</v>
      </c>
      <c r="M137">
        <f t="shared" si="16"/>
        <v>96.907193332934767</v>
      </c>
      <c r="N137">
        <f t="shared" si="17"/>
        <v>98.259927240641801</v>
      </c>
    </row>
    <row r="138" spans="1:14" x14ac:dyDescent="0.45">
      <c r="A138" s="15">
        <v>43363</v>
      </c>
      <c r="B138">
        <v>81.616280000000003</v>
      </c>
      <c r="C138" t="b">
        <f t="shared" si="12"/>
        <v>1</v>
      </c>
      <c r="E138" s="15">
        <v>43363</v>
      </c>
      <c r="F138">
        <f t="shared" si="13"/>
        <v>81.616280000000003</v>
      </c>
      <c r="G138">
        <v>1124.3900149999999</v>
      </c>
      <c r="I138" s="13">
        <f t="shared" si="14"/>
        <v>5.9539485535251568E-3</v>
      </c>
      <c r="J138" s="13">
        <f t="shared" si="15"/>
        <v>8.1864362732775309E-3</v>
      </c>
      <c r="L138" s="15">
        <v>43363</v>
      </c>
      <c r="M138">
        <f t="shared" si="16"/>
        <v>97.484173776505571</v>
      </c>
      <c r="N138">
        <f t="shared" si="17"/>
        <v>99.064325873214202</v>
      </c>
    </row>
    <row r="139" spans="1:14" x14ac:dyDescent="0.45">
      <c r="A139" s="15">
        <v>43364</v>
      </c>
      <c r="B139">
        <v>84.591865999999996</v>
      </c>
      <c r="C139" t="b">
        <f t="shared" si="12"/>
        <v>1</v>
      </c>
      <c r="E139" s="15">
        <v>43364</v>
      </c>
      <c r="F139">
        <f t="shared" si="13"/>
        <v>84.591865999999996</v>
      </c>
      <c r="G139">
        <v>1127.1999510000001</v>
      </c>
      <c r="I139" s="13">
        <f t="shared" si="14"/>
        <v>3.6458240929383212E-2</v>
      </c>
      <c r="J139" s="13">
        <f t="shared" si="15"/>
        <v>2.4990759100613769E-3</v>
      </c>
      <c r="L139" s="15">
        <v>43364</v>
      </c>
      <c r="M139">
        <f t="shared" si="16"/>
        <v>101.03827527085127</v>
      </c>
      <c r="N139">
        <f t="shared" si="17"/>
        <v>99.311895143550416</v>
      </c>
    </row>
    <row r="140" spans="1:14" x14ac:dyDescent="0.45">
      <c r="A140" s="15">
        <v>43367</v>
      </c>
      <c r="B140">
        <v>83.722374000000002</v>
      </c>
      <c r="C140" t="b">
        <f t="shared" si="12"/>
        <v>1</v>
      </c>
      <c r="E140" s="15">
        <v>43367</v>
      </c>
      <c r="F140">
        <f t="shared" si="13"/>
        <v>83.722374000000002</v>
      </c>
      <c r="G140">
        <v>1117.9399410000001</v>
      </c>
      <c r="I140" s="13">
        <f t="shared" si="14"/>
        <v>-1.0278671474157952E-2</v>
      </c>
      <c r="J140" s="13">
        <f t="shared" si="15"/>
        <v>-8.2150553606615828E-3</v>
      </c>
      <c r="L140" s="15">
        <v>43367</v>
      </c>
      <c r="M140">
        <f t="shared" si="16"/>
        <v>99.99973603302665</v>
      </c>
      <c r="N140">
        <f t="shared" si="17"/>
        <v>98.496042426973929</v>
      </c>
    </row>
    <row r="141" spans="1:14" x14ac:dyDescent="0.45">
      <c r="A141" s="15">
        <v>43368</v>
      </c>
      <c r="B141">
        <v>83.104065000000006</v>
      </c>
      <c r="C141" t="b">
        <f t="shared" si="12"/>
        <v>1</v>
      </c>
      <c r="E141" s="15">
        <v>43368</v>
      </c>
      <c r="F141">
        <f t="shared" si="13"/>
        <v>83.104065000000006</v>
      </c>
      <c r="G141">
        <v>1127.790039</v>
      </c>
      <c r="I141" s="13">
        <f t="shared" si="14"/>
        <v>-7.3852301417061117E-3</v>
      </c>
      <c r="J141" s="13">
        <f t="shared" si="15"/>
        <v>8.8109366512023612E-3</v>
      </c>
      <c r="L141" s="15">
        <v>43368</v>
      </c>
      <c r="M141">
        <f t="shared" si="16"/>
        <v>99.261214968312885</v>
      </c>
      <c r="N141">
        <f t="shared" si="17"/>
        <v>99.36388481719213</v>
      </c>
    </row>
    <row r="142" spans="1:14" x14ac:dyDescent="0.45">
      <c r="A142" s="15">
        <v>43369</v>
      </c>
      <c r="B142">
        <v>82.311852000000002</v>
      </c>
      <c r="C142" t="b">
        <f t="shared" si="12"/>
        <v>1</v>
      </c>
      <c r="E142" s="15">
        <v>43369</v>
      </c>
      <c r="F142">
        <f t="shared" si="13"/>
        <v>82.311852000000002</v>
      </c>
      <c r="G142">
        <v>1126.3100589999999</v>
      </c>
      <c r="I142" s="13">
        <f t="shared" si="14"/>
        <v>-9.5327827826473532E-3</v>
      </c>
      <c r="J142" s="13">
        <f t="shared" si="15"/>
        <v>-1.3122832697762821E-3</v>
      </c>
      <c r="L142" s="15">
        <v>43369</v>
      </c>
      <c r="M142">
        <f t="shared" si="16"/>
        <v>98.314979367278298</v>
      </c>
      <c r="N142">
        <f t="shared" si="17"/>
        <v>99.233491253526552</v>
      </c>
    </row>
    <row r="143" spans="1:14" x14ac:dyDescent="0.45">
      <c r="A143" s="15">
        <v>43370</v>
      </c>
      <c r="B143">
        <v>82.601692</v>
      </c>
      <c r="C143" t="b">
        <f t="shared" si="12"/>
        <v>1</v>
      </c>
      <c r="E143" s="15">
        <v>43370</v>
      </c>
      <c r="F143">
        <f t="shared" si="13"/>
        <v>82.601692</v>
      </c>
      <c r="G143">
        <v>1120.780029</v>
      </c>
      <c r="I143" s="13">
        <f t="shared" si="14"/>
        <v>3.5212426030699628E-3</v>
      </c>
      <c r="J143" s="13">
        <f t="shared" si="15"/>
        <v>-4.9098647000540563E-3</v>
      </c>
      <c r="L143" s="15">
        <v>43370</v>
      </c>
      <c r="M143">
        <f t="shared" si="16"/>
        <v>98.661170261146296</v>
      </c>
      <c r="N143">
        <f t="shared" si="17"/>
        <v>98.746268237757732</v>
      </c>
    </row>
    <row r="144" spans="1:14" x14ac:dyDescent="0.45">
      <c r="A144" s="15">
        <v>43371</v>
      </c>
      <c r="B144">
        <v>83.934905999999998</v>
      </c>
      <c r="C144" t="b">
        <f t="shared" si="12"/>
        <v>1</v>
      </c>
      <c r="E144" s="15">
        <v>43371</v>
      </c>
      <c r="F144">
        <f t="shared" si="13"/>
        <v>83.934905999999998</v>
      </c>
      <c r="G144">
        <v>1120.0600589999999</v>
      </c>
      <c r="I144" s="13">
        <f t="shared" si="14"/>
        <v>1.6140274705268798E-2</v>
      </c>
      <c r="J144" s="13">
        <f t="shared" si="15"/>
        <v>-6.4238296665808381E-4</v>
      </c>
      <c r="L144" s="15">
        <v>43371</v>
      </c>
      <c r="M144">
        <f t="shared" si="16"/>
        <v>100.25358865190449</v>
      </c>
      <c r="N144">
        <f t="shared" si="17"/>
        <v>98.682835317020746</v>
      </c>
    </row>
    <row r="145" spans="1:14" x14ac:dyDescent="0.45">
      <c r="A145" s="15">
        <v>43374</v>
      </c>
      <c r="B145">
        <v>81.596947</v>
      </c>
      <c r="C145" t="b">
        <f t="shared" si="12"/>
        <v>1</v>
      </c>
      <c r="E145" s="15">
        <v>43374</v>
      </c>
      <c r="F145">
        <f t="shared" si="13"/>
        <v>81.596947</v>
      </c>
      <c r="G145">
        <v>1121.9799800000001</v>
      </c>
      <c r="I145" s="13">
        <f t="shared" si="14"/>
        <v>-2.7854430432077915E-2</v>
      </c>
      <c r="J145" s="13">
        <f t="shared" si="15"/>
        <v>1.7141232602422285E-3</v>
      </c>
      <c r="L145" s="15">
        <v>43374</v>
      </c>
      <c r="M145">
        <f t="shared" si="16"/>
        <v>97.461082041233865</v>
      </c>
      <c r="N145">
        <f t="shared" si="17"/>
        <v>98.851989860424311</v>
      </c>
    </row>
    <row r="146" spans="1:14" x14ac:dyDescent="0.45">
      <c r="A146" s="15">
        <v>43375</v>
      </c>
      <c r="B146">
        <v>79.780685000000005</v>
      </c>
      <c r="C146" t="b">
        <f t="shared" si="12"/>
        <v>1</v>
      </c>
      <c r="E146" s="15">
        <v>43375</v>
      </c>
      <c r="F146">
        <f t="shared" si="13"/>
        <v>79.780685000000005</v>
      </c>
      <c r="G146">
        <v>1120.3100589999999</v>
      </c>
      <c r="I146" s="13">
        <f t="shared" si="14"/>
        <v>-2.2258945546087539E-2</v>
      </c>
      <c r="J146" s="13">
        <f t="shared" si="15"/>
        <v>-1.4883696944397729E-3</v>
      </c>
      <c r="L146" s="15">
        <v>43375</v>
      </c>
      <c r="M146">
        <f t="shared" si="16"/>
        <v>95.291701123215276</v>
      </c>
      <c r="N146">
        <f t="shared" si="17"/>
        <v>98.704861554480985</v>
      </c>
    </row>
    <row r="147" spans="1:14" x14ac:dyDescent="0.45">
      <c r="A147" s="15">
        <v>43376</v>
      </c>
      <c r="B147">
        <v>79.220344999999995</v>
      </c>
      <c r="C147" t="b">
        <f t="shared" si="12"/>
        <v>1</v>
      </c>
      <c r="E147" s="15">
        <v>43376</v>
      </c>
      <c r="F147">
        <f t="shared" si="13"/>
        <v>79.220344999999995</v>
      </c>
      <c r="G147">
        <v>1116.6800539999999</v>
      </c>
      <c r="I147" s="13">
        <f t="shared" si="14"/>
        <v>-7.0235044986141082E-3</v>
      </c>
      <c r="J147" s="13">
        <f t="shared" si="15"/>
        <v>-3.2401788869415027E-3</v>
      </c>
      <c r="L147" s="15">
        <v>43376</v>
      </c>
      <c r="M147">
        <f t="shared" si="16"/>
        <v>94.622419431695789</v>
      </c>
      <c r="N147">
        <f t="shared" si="17"/>
        <v>98.385040146033674</v>
      </c>
    </row>
    <row r="148" spans="1:14" x14ac:dyDescent="0.45">
      <c r="A148" s="15">
        <v>43377</v>
      </c>
      <c r="B148">
        <v>78.833893000000003</v>
      </c>
      <c r="C148" t="b">
        <f t="shared" si="12"/>
        <v>1</v>
      </c>
      <c r="E148" s="15">
        <v>43377</v>
      </c>
      <c r="F148">
        <f t="shared" si="13"/>
        <v>78.833893000000003</v>
      </c>
      <c r="G148">
        <v>1075</v>
      </c>
      <c r="I148" s="13">
        <f t="shared" si="14"/>
        <v>-4.878191328250181E-3</v>
      </c>
      <c r="J148" s="13">
        <f t="shared" si="15"/>
        <v>-3.73249740162368E-2</v>
      </c>
      <c r="L148" s="15">
        <v>43377</v>
      </c>
      <c r="M148">
        <f t="shared" si="16"/>
        <v>94.160833165766036</v>
      </c>
      <c r="N148">
        <f t="shared" si="17"/>
        <v>94.712821078996555</v>
      </c>
    </row>
    <row r="149" spans="1:14" x14ac:dyDescent="0.45">
      <c r="A149" s="15">
        <v>43378</v>
      </c>
      <c r="B149">
        <v>77.384743</v>
      </c>
      <c r="C149" t="b">
        <f t="shared" si="12"/>
        <v>1</v>
      </c>
      <c r="E149" s="15">
        <v>43378</v>
      </c>
      <c r="F149">
        <f t="shared" si="13"/>
        <v>77.384743</v>
      </c>
      <c r="G149">
        <v>1068.829956</v>
      </c>
      <c r="I149" s="13">
        <f t="shared" si="14"/>
        <v>-1.8382321928463008E-2</v>
      </c>
      <c r="J149" s="13">
        <f t="shared" si="15"/>
        <v>-5.739575813953457E-3</v>
      </c>
      <c r="L149" s="15">
        <v>43378</v>
      </c>
      <c r="M149">
        <f t="shared" si="16"/>
        <v>92.429938417460633</v>
      </c>
      <c r="N149">
        <f t="shared" si="17"/>
        <v>94.169209661860251</v>
      </c>
    </row>
    <row r="150" spans="1:14" x14ac:dyDescent="0.45">
      <c r="A150" s="15">
        <v>43381</v>
      </c>
      <c r="B150">
        <v>77.577972000000003</v>
      </c>
      <c r="C150" t="b">
        <f t="shared" si="12"/>
        <v>1</v>
      </c>
      <c r="E150" s="15">
        <v>43381</v>
      </c>
      <c r="F150">
        <f t="shared" si="13"/>
        <v>77.577972000000003</v>
      </c>
      <c r="G150">
        <v>1045.420044</v>
      </c>
      <c r="I150" s="13">
        <f t="shared" si="14"/>
        <v>2.4969909120200473E-3</v>
      </c>
      <c r="J150" s="13">
        <f t="shared" si="15"/>
        <v>-2.1902372653934132E-2</v>
      </c>
      <c r="L150" s="15">
        <v>43381</v>
      </c>
      <c r="M150">
        <f t="shared" si="16"/>
        <v>92.660735133687609</v>
      </c>
      <c r="N150">
        <f t="shared" si="17"/>
        <v>92.106680539319726</v>
      </c>
    </row>
    <row r="151" spans="1:14" x14ac:dyDescent="0.45">
      <c r="A151" s="15">
        <v>43382</v>
      </c>
      <c r="B151">
        <v>78.254242000000005</v>
      </c>
      <c r="C151" t="b">
        <f t="shared" si="12"/>
        <v>1</v>
      </c>
      <c r="E151" s="15">
        <v>43382</v>
      </c>
      <c r="F151">
        <f t="shared" si="13"/>
        <v>78.254242000000005</v>
      </c>
      <c r="G151">
        <v>1042.3000489999999</v>
      </c>
      <c r="I151" s="13">
        <f t="shared" si="14"/>
        <v>8.717294130864861E-3</v>
      </c>
      <c r="J151" s="13">
        <f t="shared" si="15"/>
        <v>-2.9844415342011876E-3</v>
      </c>
      <c r="L151" s="15">
        <v>43382</v>
      </c>
      <c r="M151">
        <f t="shared" si="16"/>
        <v>93.468486016230131</v>
      </c>
      <c r="N151">
        <f t="shared" si="17"/>
        <v>91.831793536340783</v>
      </c>
    </row>
    <row r="152" spans="1:14" x14ac:dyDescent="0.45">
      <c r="A152" s="15">
        <v>43383</v>
      </c>
      <c r="B152">
        <v>76.264069000000006</v>
      </c>
      <c r="C152" t="b">
        <f t="shared" si="12"/>
        <v>1</v>
      </c>
      <c r="E152" s="15">
        <v>43383</v>
      </c>
      <c r="F152">
        <f t="shared" si="13"/>
        <v>76.264069000000006</v>
      </c>
      <c r="G152">
        <v>1018.869995</v>
      </c>
      <c r="I152" s="13">
        <f t="shared" si="14"/>
        <v>-2.5432142068413377E-2</v>
      </c>
      <c r="J152" s="13">
        <f t="shared" si="15"/>
        <v>-2.24791834390482E-2</v>
      </c>
      <c r="L152" s="15">
        <v>43383</v>
      </c>
      <c r="M152">
        <f t="shared" si="16"/>
        <v>91.091382200945858</v>
      </c>
      <c r="N152">
        <f t="shared" si="17"/>
        <v>89.767489803900574</v>
      </c>
    </row>
    <row r="153" spans="1:14" x14ac:dyDescent="0.45">
      <c r="A153" s="15">
        <v>43384</v>
      </c>
      <c r="B153">
        <v>76.070853999999997</v>
      </c>
      <c r="C153" t="b">
        <f t="shared" si="12"/>
        <v>1</v>
      </c>
      <c r="E153" s="15">
        <v>43384</v>
      </c>
      <c r="F153">
        <f t="shared" si="13"/>
        <v>76.070853999999997</v>
      </c>
      <c r="G153">
        <v>1013.48999</v>
      </c>
      <c r="I153" s="13">
        <f t="shared" si="14"/>
        <v>-2.5334997533373871E-3</v>
      </c>
      <c r="J153" s="13">
        <f t="shared" si="15"/>
        <v>-5.2803645473925576E-3</v>
      </c>
      <c r="L153" s="15">
        <v>43384</v>
      </c>
      <c r="M153">
        <f t="shared" si="16"/>
        <v>90.860602206608604</v>
      </c>
      <c r="N153">
        <f t="shared" si="17"/>
        <v>89.293484733231637</v>
      </c>
    </row>
    <row r="154" spans="1:14" x14ac:dyDescent="0.45">
      <c r="A154" s="15">
        <v>43385</v>
      </c>
      <c r="B154">
        <v>77.771179000000004</v>
      </c>
      <c r="C154" t="b">
        <f t="shared" si="12"/>
        <v>1</v>
      </c>
      <c r="E154" s="15">
        <v>43385</v>
      </c>
      <c r="F154">
        <f t="shared" si="13"/>
        <v>77.771179000000004</v>
      </c>
      <c r="G154">
        <v>1026.5</v>
      </c>
      <c r="I154" s="13">
        <f t="shared" si="14"/>
        <v>2.2351858965590221E-2</v>
      </c>
      <c r="J154" s="13">
        <f t="shared" si="15"/>
        <v>1.2836841141371291E-2</v>
      </c>
      <c r="L154" s="15">
        <v>43385</v>
      </c>
      <c r="M154">
        <f t="shared" si="16"/>
        <v>92.891505572659312</v>
      </c>
      <c r="N154">
        <f t="shared" si="17"/>
        <v>90.439731011711601</v>
      </c>
    </row>
    <row r="155" spans="1:14" x14ac:dyDescent="0.45">
      <c r="A155" s="15">
        <v>43388</v>
      </c>
      <c r="B155">
        <v>78.949828999999994</v>
      </c>
      <c r="C155" t="b">
        <f t="shared" si="12"/>
        <v>1</v>
      </c>
      <c r="E155" s="15">
        <v>43388</v>
      </c>
      <c r="F155">
        <f t="shared" si="13"/>
        <v>78.949828999999994</v>
      </c>
      <c r="G155">
        <v>1023.200012</v>
      </c>
      <c r="I155" s="13">
        <f t="shared" si="14"/>
        <v>1.5155357230729249E-2</v>
      </c>
      <c r="J155" s="13">
        <f t="shared" si="15"/>
        <v>-3.2147959084266597E-3</v>
      </c>
      <c r="L155" s="15">
        <v>43388</v>
      </c>
      <c r="M155">
        <f t="shared" si="16"/>
        <v>94.299309523313241</v>
      </c>
      <c r="N155">
        <f t="shared" si="17"/>
        <v>90.148985734495938</v>
      </c>
    </row>
    <row r="156" spans="1:14" x14ac:dyDescent="0.45">
      <c r="A156" s="15">
        <v>43389</v>
      </c>
      <c r="B156">
        <v>80.708138000000005</v>
      </c>
      <c r="C156" t="b">
        <f t="shared" si="12"/>
        <v>1</v>
      </c>
      <c r="E156" s="15">
        <v>43389</v>
      </c>
      <c r="F156">
        <f t="shared" si="13"/>
        <v>80.708138000000005</v>
      </c>
      <c r="G156">
        <v>1047.369995</v>
      </c>
      <c r="I156" s="13">
        <f t="shared" si="14"/>
        <v>2.2271219865466874E-2</v>
      </c>
      <c r="J156" s="13">
        <f t="shared" si="15"/>
        <v>2.3621953397709783E-2</v>
      </c>
      <c r="L156" s="15">
        <v>43389</v>
      </c>
      <c r="M156">
        <f t="shared" si="16"/>
        <v>96.399470178868668</v>
      </c>
      <c r="N156">
        <f t="shared" si="17"/>
        <v>92.278480874367006</v>
      </c>
    </row>
    <row r="157" spans="1:14" x14ac:dyDescent="0.45">
      <c r="A157" s="15">
        <v>43390</v>
      </c>
      <c r="B157">
        <v>81.558304000000007</v>
      </c>
      <c r="C157" t="b">
        <f t="shared" si="12"/>
        <v>1</v>
      </c>
      <c r="E157" s="15">
        <v>43390</v>
      </c>
      <c r="F157">
        <f t="shared" si="13"/>
        <v>81.558304000000007</v>
      </c>
      <c r="G157">
        <v>1046.0699460000001</v>
      </c>
      <c r="I157" s="13">
        <f t="shared" si="14"/>
        <v>1.0533832412290334E-2</v>
      </c>
      <c r="J157" s="13">
        <f t="shared" si="15"/>
        <v>-1.2412509487632617E-3</v>
      </c>
      <c r="L157" s="15">
        <v>43390</v>
      </c>
      <c r="M157">
        <f t="shared" si="16"/>
        <v>97.414926042366446</v>
      </c>
      <c r="N157">
        <f t="shared" si="17"/>
        <v>92.163940122431271</v>
      </c>
    </row>
    <row r="158" spans="1:14" x14ac:dyDescent="0.45">
      <c r="A158" s="15">
        <v>43391</v>
      </c>
      <c r="B158">
        <v>81.326438999999993</v>
      </c>
      <c r="C158" t="b">
        <f t="shared" si="12"/>
        <v>1</v>
      </c>
      <c r="E158" s="15">
        <v>43391</v>
      </c>
      <c r="F158">
        <f t="shared" si="13"/>
        <v>81.326438999999993</v>
      </c>
      <c r="G158">
        <v>1055.380005</v>
      </c>
      <c r="I158" s="13">
        <f t="shared" si="14"/>
        <v>-2.8429355274480761E-3</v>
      </c>
      <c r="J158" s="13">
        <f t="shared" si="15"/>
        <v>8.9000348739585178E-3</v>
      </c>
      <c r="L158" s="15">
        <v>43391</v>
      </c>
      <c r="M158">
        <f t="shared" si="16"/>
        <v>97.137981688216883</v>
      </c>
      <c r="N158">
        <f t="shared" si="17"/>
        <v>92.984202403642328</v>
      </c>
    </row>
    <row r="159" spans="1:14" x14ac:dyDescent="0.45">
      <c r="A159" s="15">
        <v>43392</v>
      </c>
      <c r="B159">
        <v>80.051186000000001</v>
      </c>
      <c r="C159" t="b">
        <f t="shared" si="12"/>
        <v>1</v>
      </c>
      <c r="E159" s="15">
        <v>43392</v>
      </c>
      <c r="F159">
        <f t="shared" si="13"/>
        <v>80.051186000000001</v>
      </c>
      <c r="G159">
        <v>1045.670044</v>
      </c>
      <c r="I159" s="13">
        <f t="shared" si="14"/>
        <v>-1.5680669357722499E-2</v>
      </c>
      <c r="J159" s="13">
        <f t="shared" si="15"/>
        <v>-9.2004405560062175E-3</v>
      </c>
      <c r="L159" s="15">
        <v>43392</v>
      </c>
      <c r="M159">
        <f t="shared" si="16"/>
        <v>95.614793115287455</v>
      </c>
      <c r="N159">
        <f t="shared" si="17"/>
        <v>92.128706776779964</v>
      </c>
    </row>
    <row r="160" spans="1:14" x14ac:dyDescent="0.45">
      <c r="A160" s="15">
        <v>43395</v>
      </c>
      <c r="B160">
        <v>80.514908000000005</v>
      </c>
      <c r="C160" t="b">
        <f t="shared" si="12"/>
        <v>1</v>
      </c>
      <c r="E160" s="15">
        <v>43395</v>
      </c>
      <c r="F160">
        <f t="shared" si="13"/>
        <v>80.514908000000005</v>
      </c>
      <c r="G160">
        <v>1041.349976</v>
      </c>
      <c r="I160" s="13">
        <f t="shared" si="14"/>
        <v>5.7928186098330503E-3</v>
      </c>
      <c r="J160" s="13">
        <f t="shared" si="15"/>
        <v>-4.131387357597438E-3</v>
      </c>
      <c r="L160" s="15">
        <v>43395</v>
      </c>
      <c r="M160">
        <f t="shared" si="16"/>
        <v>96.16867226822103</v>
      </c>
      <c r="N160">
        <f t="shared" si="17"/>
        <v>91.748087402330569</v>
      </c>
    </row>
    <row r="161" spans="1:14" x14ac:dyDescent="0.45">
      <c r="A161" s="15">
        <v>43396</v>
      </c>
      <c r="B161">
        <v>78.775940000000006</v>
      </c>
      <c r="C161" t="b">
        <f t="shared" si="12"/>
        <v>1</v>
      </c>
      <c r="E161" s="15">
        <v>43396</v>
      </c>
      <c r="F161">
        <f t="shared" si="13"/>
        <v>78.775940000000006</v>
      </c>
      <c r="G161">
        <v>1010.200012</v>
      </c>
      <c r="I161" s="13">
        <f t="shared" si="14"/>
        <v>-2.1598087151760814E-2</v>
      </c>
      <c r="J161" s="13">
        <f t="shared" si="15"/>
        <v>-2.9913059699345435E-2</v>
      </c>
      <c r="L161" s="15">
        <v>43396</v>
      </c>
      <c r="M161">
        <f t="shared" si="16"/>
        <v>94.091612903302874</v>
      </c>
      <c r="N161">
        <f t="shared" si="17"/>
        <v>89.003621386563893</v>
      </c>
    </row>
    <row r="162" spans="1:14" x14ac:dyDescent="0.45">
      <c r="A162" s="15">
        <v>43397</v>
      </c>
      <c r="B162">
        <v>79.935248999999999</v>
      </c>
      <c r="C162" t="b">
        <f t="shared" si="12"/>
        <v>1</v>
      </c>
      <c r="E162" s="15">
        <v>43397</v>
      </c>
      <c r="F162">
        <f t="shared" si="13"/>
        <v>79.935248999999999</v>
      </c>
      <c r="G162">
        <v>1011.289978</v>
      </c>
      <c r="I162" s="13">
        <f t="shared" si="14"/>
        <v>1.4716536546564685E-2</v>
      </c>
      <c r="J162" s="13">
        <f t="shared" si="15"/>
        <v>1.07896058904422E-3</v>
      </c>
      <c r="L162" s="15">
        <v>43397</v>
      </c>
      <c r="M162">
        <f t="shared" si="16"/>
        <v>95.476315563319545</v>
      </c>
      <c r="N162">
        <f t="shared" si="17"/>
        <v>89.09965278632221</v>
      </c>
    </row>
    <row r="163" spans="1:14" x14ac:dyDescent="0.45">
      <c r="A163" s="15">
        <v>43398</v>
      </c>
      <c r="B163">
        <v>79.568138000000005</v>
      </c>
      <c r="C163" t="b">
        <f t="shared" si="12"/>
        <v>1</v>
      </c>
      <c r="E163" s="15">
        <v>43398</v>
      </c>
      <c r="F163">
        <f t="shared" si="13"/>
        <v>79.568138000000005</v>
      </c>
      <c r="G163">
        <v>997.96002199999998</v>
      </c>
      <c r="I163" s="13">
        <f t="shared" si="14"/>
        <v>-4.5926046968339795E-3</v>
      </c>
      <c r="J163" s="13">
        <f t="shared" si="15"/>
        <v>-1.3181141205771962E-2</v>
      </c>
      <c r="L163" s="15">
        <v>43398</v>
      </c>
      <c r="M163">
        <f t="shared" si="16"/>
        <v>95.037830588027035</v>
      </c>
      <c r="N163">
        <f t="shared" si="17"/>
        <v>87.92521768156044</v>
      </c>
    </row>
    <row r="164" spans="1:14" x14ac:dyDescent="0.45">
      <c r="A164" s="15">
        <v>43399</v>
      </c>
      <c r="B164">
        <v>78.660004000000001</v>
      </c>
      <c r="C164" t="b">
        <f t="shared" si="12"/>
        <v>1</v>
      </c>
      <c r="E164" s="15">
        <v>43399</v>
      </c>
      <c r="F164">
        <f t="shared" si="13"/>
        <v>78.660004000000001</v>
      </c>
      <c r="G164">
        <v>992.34002699999996</v>
      </c>
      <c r="I164" s="13">
        <f t="shared" si="14"/>
        <v>-1.1413287062215782E-2</v>
      </c>
      <c r="J164" s="13">
        <f t="shared" si="15"/>
        <v>-5.6314831016347489E-3</v>
      </c>
      <c r="L164" s="15">
        <v>43399</v>
      </c>
      <c r="M164">
        <f t="shared" si="16"/>
        <v>93.953136545755655</v>
      </c>
      <c r="N164">
        <f t="shared" si="17"/>
        <v>87.430068303979169</v>
      </c>
    </row>
    <row r="165" spans="1:14" x14ac:dyDescent="0.45">
      <c r="A165" s="15">
        <v>43402</v>
      </c>
      <c r="B165">
        <v>81.770843999999997</v>
      </c>
      <c r="C165" t="b">
        <f t="shared" si="12"/>
        <v>1</v>
      </c>
      <c r="E165" s="15">
        <v>43402</v>
      </c>
      <c r="F165">
        <f t="shared" si="13"/>
        <v>81.770843999999997</v>
      </c>
      <c r="G165">
        <v>1015.8599850000001</v>
      </c>
      <c r="I165" s="13">
        <f t="shared" si="14"/>
        <v>3.9547925779408688E-2</v>
      </c>
      <c r="J165" s="13">
        <f t="shared" si="15"/>
        <v>2.3701510933812342E-2</v>
      </c>
      <c r="L165" s="15">
        <v>43402</v>
      </c>
      <c r="M165">
        <f t="shared" si="16"/>
        <v>97.668788216609855</v>
      </c>
      <c r="N165">
        <f t="shared" si="17"/>
        <v>89.502293023829893</v>
      </c>
    </row>
    <row r="166" spans="1:14" x14ac:dyDescent="0.45">
      <c r="A166" s="15">
        <v>43403</v>
      </c>
      <c r="B166">
        <v>78.717963999999995</v>
      </c>
      <c r="C166" t="b">
        <f t="shared" si="12"/>
        <v>1</v>
      </c>
      <c r="E166" s="15">
        <v>43403</v>
      </c>
      <c r="F166">
        <f t="shared" si="13"/>
        <v>78.717963999999995</v>
      </c>
      <c r="G166">
        <v>1010.820007</v>
      </c>
      <c r="I166" s="13">
        <f t="shared" si="14"/>
        <v>-3.7334578569349297E-2</v>
      </c>
      <c r="J166" s="13">
        <f t="shared" si="15"/>
        <v>-4.961291983560101E-3</v>
      </c>
      <c r="L166" s="15">
        <v>43403</v>
      </c>
      <c r="M166">
        <f t="shared" si="16"/>
        <v>94.022365169163692</v>
      </c>
      <c r="N166">
        <f t="shared" si="17"/>
        <v>89.058246014940522</v>
      </c>
    </row>
    <row r="167" spans="1:14" x14ac:dyDescent="0.45">
      <c r="A167" s="15">
        <v>43404</v>
      </c>
      <c r="B167">
        <v>79.819327999999999</v>
      </c>
      <c r="C167" t="b">
        <f t="shared" si="12"/>
        <v>1</v>
      </c>
      <c r="E167" s="15">
        <v>43404</v>
      </c>
      <c r="F167">
        <f t="shared" si="13"/>
        <v>79.819327999999999</v>
      </c>
      <c r="G167">
        <v>1024.8100589999999</v>
      </c>
      <c r="I167" s="13">
        <f t="shared" si="14"/>
        <v>1.3991266339154818E-2</v>
      </c>
      <c r="J167" s="13">
        <f t="shared" si="15"/>
        <v>1.384029985864732E-2</v>
      </c>
      <c r="L167" s="15">
        <v>43404</v>
      </c>
      <c r="M167">
        <f t="shared" si="16"/>
        <v>95.337857122082738</v>
      </c>
      <c r="N167">
        <f t="shared" si="17"/>
        <v>90.290838844672479</v>
      </c>
    </row>
    <row r="168" spans="1:14" x14ac:dyDescent="0.45">
      <c r="A168" s="15">
        <v>43405</v>
      </c>
      <c r="B168">
        <v>81.171867000000006</v>
      </c>
      <c r="C168" t="b">
        <f t="shared" si="12"/>
        <v>1</v>
      </c>
      <c r="E168" s="15">
        <v>43405</v>
      </c>
      <c r="F168">
        <f t="shared" si="13"/>
        <v>81.171867000000006</v>
      </c>
      <c r="G168">
        <v>1039.3900149999999</v>
      </c>
      <c r="I168" s="13">
        <f t="shared" si="14"/>
        <v>1.6945006101780402E-2</v>
      </c>
      <c r="J168" s="13">
        <f t="shared" si="15"/>
        <v>1.4226983695131867E-2</v>
      </c>
      <c r="L168" s="15">
        <v>43405</v>
      </c>
      <c r="M168">
        <f t="shared" si="16"/>
        <v>96.953357692747105</v>
      </c>
      <c r="N168">
        <f t="shared" si="17"/>
        <v>91.575405136735412</v>
      </c>
    </row>
    <row r="169" spans="1:14" x14ac:dyDescent="0.45">
      <c r="A169" s="15">
        <v>43406</v>
      </c>
      <c r="B169">
        <v>79.239661999999996</v>
      </c>
      <c r="C169" t="b">
        <f t="shared" si="12"/>
        <v>1</v>
      </c>
      <c r="E169" s="15">
        <v>43406</v>
      </c>
      <c r="F169">
        <f t="shared" si="13"/>
        <v>79.239661999999996</v>
      </c>
      <c r="G169">
        <v>1046.619995</v>
      </c>
      <c r="I169" s="13">
        <f t="shared" si="14"/>
        <v>-2.3803875300786315E-2</v>
      </c>
      <c r="J169" s="13">
        <f t="shared" si="15"/>
        <v>6.9559836978039247E-3</v>
      </c>
      <c r="L169" s="15">
        <v>43406</v>
      </c>
      <c r="M169">
        <f t="shared" si="16"/>
        <v>94.645492056236421</v>
      </c>
      <c r="N169">
        <f t="shared" si="17"/>
        <v>92.212402161986333</v>
      </c>
    </row>
    <row r="170" spans="1:14" x14ac:dyDescent="0.45">
      <c r="A170" s="15">
        <v>43409</v>
      </c>
      <c r="B170">
        <v>78.138306</v>
      </c>
      <c r="C170" t="b">
        <f t="shared" si="12"/>
        <v>1</v>
      </c>
      <c r="E170" s="15">
        <v>43409</v>
      </c>
      <c r="F170">
        <f t="shared" si="13"/>
        <v>78.138306</v>
      </c>
      <c r="G170">
        <v>1033.790039</v>
      </c>
      <c r="I170" s="13">
        <f t="shared" si="14"/>
        <v>-1.389904969559308E-2</v>
      </c>
      <c r="J170" s="13">
        <f t="shared" si="15"/>
        <v>-1.2258466359607478E-2</v>
      </c>
      <c r="L170" s="15">
        <v>43409</v>
      </c>
      <c r="M170">
        <f t="shared" si="16"/>
        <v>93.330009658682926</v>
      </c>
      <c r="N170">
        <f t="shared" si="17"/>
        <v>91.082019532145026</v>
      </c>
    </row>
    <row r="171" spans="1:14" x14ac:dyDescent="0.45">
      <c r="A171" s="15">
        <v>43410</v>
      </c>
      <c r="B171">
        <v>82.930160999999998</v>
      </c>
      <c r="C171" t="b">
        <f t="shared" si="12"/>
        <v>1</v>
      </c>
      <c r="E171" s="15">
        <v>43410</v>
      </c>
      <c r="F171">
        <f t="shared" si="13"/>
        <v>82.930160999999998</v>
      </c>
      <c r="G171">
        <v>1039.880005</v>
      </c>
      <c r="I171" s="13">
        <f t="shared" si="14"/>
        <v>6.1325299271268952E-2</v>
      </c>
      <c r="J171" s="13">
        <f t="shared" si="15"/>
        <v>5.8909118585539488E-3</v>
      </c>
      <c r="L171" s="15">
        <v>43410</v>
      </c>
      <c r="M171">
        <f t="shared" si="16"/>
        <v>99.053500431992077</v>
      </c>
      <c r="N171">
        <f t="shared" si="17"/>
        <v>91.618575681107984</v>
      </c>
    </row>
    <row r="172" spans="1:14" x14ac:dyDescent="0.45">
      <c r="A172" s="15">
        <v>43411</v>
      </c>
      <c r="B172">
        <v>89.190513999999993</v>
      </c>
      <c r="C172" t="b">
        <f t="shared" si="12"/>
        <v>1</v>
      </c>
      <c r="E172" s="15">
        <v>43411</v>
      </c>
      <c r="F172">
        <f t="shared" si="13"/>
        <v>89.190513999999993</v>
      </c>
      <c r="G172">
        <v>1056.380005</v>
      </c>
      <c r="I172" s="13">
        <f t="shared" si="14"/>
        <v>7.5489459136586001E-2</v>
      </c>
      <c r="J172" s="13">
        <f t="shared" si="15"/>
        <v>1.5867215371642818E-2</v>
      </c>
      <c r="L172" s="15">
        <v>43411</v>
      </c>
      <c r="M172">
        <f t="shared" si="16"/>
        <v>106.53099560518875</v>
      </c>
      <c r="N172">
        <f t="shared" si="17"/>
        <v>93.072307353483282</v>
      </c>
    </row>
    <row r="173" spans="1:14" x14ac:dyDescent="0.45">
      <c r="A173" s="15">
        <v>43412</v>
      </c>
      <c r="B173">
        <v>94.484756000000004</v>
      </c>
      <c r="C173" t="b">
        <f t="shared" si="12"/>
        <v>1</v>
      </c>
      <c r="E173" s="15">
        <v>43412</v>
      </c>
      <c r="F173">
        <f t="shared" si="13"/>
        <v>94.484756000000004</v>
      </c>
      <c r="G173">
        <v>1065.040039</v>
      </c>
      <c r="I173" s="13">
        <f t="shared" si="14"/>
        <v>5.9358801318265986E-2</v>
      </c>
      <c r="J173" s="13">
        <f t="shared" si="15"/>
        <v>8.1978397536972558E-3</v>
      </c>
      <c r="L173" s="15">
        <v>43412</v>
      </c>
      <c r="M173">
        <f t="shared" si="16"/>
        <v>112.85454780755421</v>
      </c>
      <c r="N173">
        <f t="shared" si="17"/>
        <v>93.835299214673995</v>
      </c>
    </row>
    <row r="174" spans="1:14" x14ac:dyDescent="0.45">
      <c r="A174" s="15">
        <v>43413</v>
      </c>
      <c r="B174">
        <v>93.615257</v>
      </c>
      <c r="C174" t="b">
        <f t="shared" si="12"/>
        <v>1</v>
      </c>
      <c r="E174" s="15">
        <v>43413</v>
      </c>
      <c r="F174">
        <f t="shared" si="13"/>
        <v>93.615257</v>
      </c>
      <c r="G174">
        <v>1064.4499510000001</v>
      </c>
      <c r="I174" s="13">
        <f t="shared" si="14"/>
        <v>-9.2025320994637561E-3</v>
      </c>
      <c r="J174" s="13">
        <f t="shared" si="15"/>
        <v>-5.5405240966710512E-4</v>
      </c>
      <c r="L174" s="15">
        <v>43413</v>
      </c>
      <c r="M174">
        <f t="shared" si="16"/>
        <v>111.81600020878473</v>
      </c>
      <c r="N174">
        <f t="shared" si="17"/>
        <v>93.783309541032267</v>
      </c>
    </row>
    <row r="175" spans="1:14" x14ac:dyDescent="0.45">
      <c r="A175" s="15">
        <v>43416</v>
      </c>
      <c r="B175">
        <v>92.475250000000003</v>
      </c>
      <c r="C175" t="b">
        <f t="shared" si="12"/>
        <v>1</v>
      </c>
      <c r="E175" s="15">
        <v>43416</v>
      </c>
      <c r="F175">
        <f t="shared" si="13"/>
        <v>92.475250000000003</v>
      </c>
      <c r="G175">
        <v>1057.3100589999999</v>
      </c>
      <c r="I175" s="13">
        <f t="shared" si="14"/>
        <v>-1.2177576994741313E-2</v>
      </c>
      <c r="J175" s="13">
        <f t="shared" si="15"/>
        <v>-6.7075882649931806E-3</v>
      </c>
      <c r="L175" s="15">
        <v>43416</v>
      </c>
      <c r="M175">
        <f t="shared" si="16"/>
        <v>110.45435225699825</v>
      </c>
      <c r="N175">
        <f t="shared" si="17"/>
        <v>93.154249714502612</v>
      </c>
    </row>
    <row r="176" spans="1:14" x14ac:dyDescent="0.45">
      <c r="A176" s="15">
        <v>43417</v>
      </c>
      <c r="B176">
        <v>92.842369000000005</v>
      </c>
      <c r="C176" t="b">
        <f t="shared" si="12"/>
        <v>1</v>
      </c>
      <c r="E176" s="15">
        <v>43417</v>
      </c>
      <c r="F176">
        <f t="shared" si="13"/>
        <v>92.842369000000005</v>
      </c>
      <c r="G176">
        <v>1047.849976</v>
      </c>
      <c r="I176" s="13">
        <f t="shared" si="14"/>
        <v>3.96991627489518E-3</v>
      </c>
      <c r="J176" s="13">
        <f t="shared" si="15"/>
        <v>-8.9473120202292478E-3</v>
      </c>
      <c r="L176" s="15">
        <v>43417</v>
      </c>
      <c r="M176">
        <f t="shared" si="16"/>
        <v>110.89284678765631</v>
      </c>
      <c r="N176">
        <f t="shared" si="17"/>
        <v>92.320769576296613</v>
      </c>
    </row>
    <row r="177" spans="1:14" x14ac:dyDescent="0.45">
      <c r="A177" s="15">
        <v>43418</v>
      </c>
      <c r="B177">
        <v>91.914917000000003</v>
      </c>
      <c r="C177" t="b">
        <f t="shared" si="12"/>
        <v>1</v>
      </c>
      <c r="E177" s="15">
        <v>43418</v>
      </c>
      <c r="F177">
        <f t="shared" si="13"/>
        <v>91.914917000000003</v>
      </c>
      <c r="G177">
        <v>1048.5500489999999</v>
      </c>
      <c r="I177" s="13">
        <f t="shared" si="14"/>
        <v>-9.9895339809780159E-3</v>
      </c>
      <c r="J177" s="13">
        <f t="shared" si="15"/>
        <v>6.6810422869156838E-4</v>
      </c>
      <c r="L177" s="15">
        <v>43418</v>
      </c>
      <c r="M177">
        <f t="shared" si="16"/>
        <v>109.78507892642362</v>
      </c>
      <c r="N177">
        <f t="shared" si="17"/>
        <v>92.382449472846602</v>
      </c>
    </row>
    <row r="178" spans="1:14" x14ac:dyDescent="0.45">
      <c r="A178" s="15">
        <v>43419</v>
      </c>
      <c r="B178">
        <v>90.813568000000004</v>
      </c>
      <c r="C178" t="b">
        <f t="shared" si="12"/>
        <v>1</v>
      </c>
      <c r="E178" s="15">
        <v>43419</v>
      </c>
      <c r="F178">
        <f t="shared" si="13"/>
        <v>90.813568000000004</v>
      </c>
      <c r="G178">
        <v>1028.780029</v>
      </c>
      <c r="I178" s="13">
        <f t="shared" si="14"/>
        <v>-1.1982266164696664E-2</v>
      </c>
      <c r="J178" s="13">
        <f t="shared" si="15"/>
        <v>-1.8854626938270225E-2</v>
      </c>
      <c r="L178" s="15">
        <v>43419</v>
      </c>
      <c r="M178">
        <f t="shared" si="16"/>
        <v>108.46960488981499</v>
      </c>
      <c r="N178">
        <f t="shared" si="17"/>
        <v>90.640612852392479</v>
      </c>
    </row>
    <row r="179" spans="1:14" x14ac:dyDescent="0.45">
      <c r="A179" s="15">
        <v>43420</v>
      </c>
      <c r="B179">
        <v>89.886093000000002</v>
      </c>
      <c r="C179" t="b">
        <f t="shared" si="12"/>
        <v>1</v>
      </c>
      <c r="E179" s="15">
        <v>43420</v>
      </c>
      <c r="F179">
        <f t="shared" si="13"/>
        <v>89.886093000000002</v>
      </c>
      <c r="G179">
        <v>1032.599976</v>
      </c>
      <c r="I179" s="13">
        <f t="shared" si="14"/>
        <v>-1.021295628424157E-2</v>
      </c>
      <c r="J179" s="13">
        <f t="shared" si="15"/>
        <v>3.7130843254344903E-3</v>
      </c>
      <c r="L179" s="15">
        <v>43420</v>
      </c>
      <c r="M179">
        <f t="shared" si="16"/>
        <v>107.36180955690635</v>
      </c>
      <c r="N179">
        <f t="shared" si="17"/>
        <v>90.977169091222478</v>
      </c>
    </row>
    <row r="180" spans="1:14" x14ac:dyDescent="0.45">
      <c r="A180" s="15">
        <v>43423</v>
      </c>
      <c r="B180">
        <v>88.378983000000005</v>
      </c>
      <c r="C180" t="b">
        <f t="shared" si="12"/>
        <v>1</v>
      </c>
      <c r="E180" s="15">
        <v>43423</v>
      </c>
      <c r="F180">
        <f t="shared" si="13"/>
        <v>88.378983000000005</v>
      </c>
      <c r="G180">
        <v>1028.73999</v>
      </c>
      <c r="I180" s="13">
        <f t="shared" si="14"/>
        <v>-1.676688739825416E-2</v>
      </c>
      <c r="J180" s="13">
        <f t="shared" si="15"/>
        <v>-3.738123271077809E-3</v>
      </c>
      <c r="L180" s="15">
        <v>43423</v>
      </c>
      <c r="M180">
        <f t="shared" si="16"/>
        <v>105.5616861851929</v>
      </c>
      <c r="N180">
        <f t="shared" si="17"/>
        <v>90.637085218305799</v>
      </c>
    </row>
    <row r="181" spans="1:14" x14ac:dyDescent="0.45">
      <c r="A181" s="15">
        <v>43424</v>
      </c>
      <c r="B181">
        <v>88.494918999999996</v>
      </c>
      <c r="C181" t="b">
        <f t="shared" si="12"/>
        <v>1</v>
      </c>
      <c r="E181" s="15">
        <v>43424</v>
      </c>
      <c r="F181">
        <f t="shared" si="13"/>
        <v>88.494918999999996</v>
      </c>
      <c r="G181">
        <v>1012.440002</v>
      </c>
      <c r="I181" s="13">
        <f t="shared" si="14"/>
        <v>1.311805092846452E-3</v>
      </c>
      <c r="J181" s="13">
        <f t="shared" si="15"/>
        <v>-1.5844613953424735E-2</v>
      </c>
      <c r="L181" s="15">
        <v>43424</v>
      </c>
      <c r="M181">
        <f t="shared" si="16"/>
        <v>105.70016254274009</v>
      </c>
      <c r="N181">
        <f t="shared" si="17"/>
        <v>89.200975593158091</v>
      </c>
    </row>
    <row r="182" spans="1:14" x14ac:dyDescent="0.45">
      <c r="A182" s="15">
        <v>43425</v>
      </c>
      <c r="B182">
        <v>90.407798999999997</v>
      </c>
      <c r="C182" t="b">
        <f t="shared" si="12"/>
        <v>1</v>
      </c>
      <c r="E182" s="15">
        <v>43425</v>
      </c>
      <c r="F182">
        <f t="shared" si="13"/>
        <v>90.407798999999997</v>
      </c>
      <c r="G182">
        <v>1016.710022</v>
      </c>
      <c r="I182" s="13">
        <f t="shared" si="14"/>
        <v>2.1615704286932047E-2</v>
      </c>
      <c r="J182" s="13">
        <f t="shared" si="15"/>
        <v>4.2175536244764E-3</v>
      </c>
      <c r="L182" s="15">
        <v>43425</v>
      </c>
      <c r="M182">
        <f t="shared" si="16"/>
        <v>107.9849459993446</v>
      </c>
      <c r="N182">
        <f t="shared" si="17"/>
        <v>89.577185491077842</v>
      </c>
    </row>
    <row r="183" spans="1:14" x14ac:dyDescent="0.45">
      <c r="A183" s="15">
        <v>43426</v>
      </c>
      <c r="B183">
        <v>90.156609000000003</v>
      </c>
      <c r="C183" t="b">
        <f t="shared" si="12"/>
        <v>1</v>
      </c>
      <c r="E183" s="15">
        <v>43426</v>
      </c>
      <c r="F183">
        <f t="shared" si="13"/>
        <v>90.156609000000003</v>
      </c>
      <c r="G183">
        <v>1017.039978</v>
      </c>
      <c r="I183" s="13">
        <f t="shared" si="14"/>
        <v>-2.7784107430819383E-3</v>
      </c>
      <c r="J183" s="13">
        <f t="shared" si="15"/>
        <v>3.2453304566715246E-4</v>
      </c>
      <c r="L183" s="15">
        <v>43426</v>
      </c>
      <c r="M183">
        <f t="shared" si="16"/>
        <v>107.6849194652889</v>
      </c>
      <c r="N183">
        <f t="shared" si="17"/>
        <v>89.606256247907552</v>
      </c>
    </row>
    <row r="184" spans="1:14" x14ac:dyDescent="0.45">
      <c r="A184" s="15">
        <v>43427</v>
      </c>
      <c r="B184">
        <v>90.794242999999994</v>
      </c>
      <c r="C184" t="b">
        <f t="shared" si="12"/>
        <v>1</v>
      </c>
      <c r="E184" s="15">
        <v>43427</v>
      </c>
      <c r="F184">
        <f t="shared" si="13"/>
        <v>90.794242999999994</v>
      </c>
      <c r="G184">
        <v>1032.170044</v>
      </c>
      <c r="I184" s="13">
        <f t="shared" si="14"/>
        <v>7.072515338282015E-3</v>
      </c>
      <c r="J184" s="13">
        <f t="shared" si="15"/>
        <v>1.4876569581613763E-2</v>
      </c>
      <c r="L184" s="15">
        <v>43427</v>
      </c>
      <c r="M184">
        <f t="shared" si="16"/>
        <v>108.44652270990882</v>
      </c>
      <c r="N184">
        <f t="shared" si="17"/>
        <v>90.939289953927457</v>
      </c>
    </row>
    <row r="185" spans="1:14" x14ac:dyDescent="0.45">
      <c r="A185" s="15">
        <v>43430</v>
      </c>
      <c r="B185">
        <v>93.151527000000002</v>
      </c>
      <c r="C185" t="b">
        <f t="shared" si="12"/>
        <v>1</v>
      </c>
      <c r="E185" s="15">
        <v>43430</v>
      </c>
      <c r="F185">
        <f t="shared" si="13"/>
        <v>93.151527000000002</v>
      </c>
      <c r="G185">
        <v>1051.589966</v>
      </c>
      <c r="I185" s="13">
        <f t="shared" si="14"/>
        <v>2.596292366246189E-2</v>
      </c>
      <c r="J185" s="13">
        <f t="shared" si="15"/>
        <v>1.8814653760674371E-2</v>
      </c>
      <c r="L185" s="15">
        <v>43430</v>
      </c>
      <c r="M185">
        <f t="shared" si="16"/>
        <v>111.26211150048562</v>
      </c>
      <c r="N185">
        <f t="shared" si="17"/>
        <v>92.650281207652171</v>
      </c>
    </row>
    <row r="186" spans="1:14" x14ac:dyDescent="0.45">
      <c r="A186" s="15">
        <v>43431</v>
      </c>
      <c r="B186">
        <v>93.905083000000005</v>
      </c>
      <c r="C186" t="b">
        <f t="shared" si="12"/>
        <v>1</v>
      </c>
      <c r="E186" s="15">
        <v>43431</v>
      </c>
      <c r="F186">
        <f t="shared" si="13"/>
        <v>93.905083000000005</v>
      </c>
      <c r="G186">
        <v>1045.099976</v>
      </c>
      <c r="I186" s="13">
        <f t="shared" si="14"/>
        <v>8.089572165574932E-3</v>
      </c>
      <c r="J186" s="13">
        <f t="shared" si="15"/>
        <v>-6.1715974950640184E-3</v>
      </c>
      <c r="L186" s="15">
        <v>43431</v>
      </c>
      <c r="M186">
        <f t="shared" si="16"/>
        <v>112.16217438076303</v>
      </c>
      <c r="N186">
        <f t="shared" si="17"/>
        <v>92.078480964234046</v>
      </c>
    </row>
    <row r="187" spans="1:14" x14ac:dyDescent="0.45">
      <c r="A187" s="15">
        <v>43432</v>
      </c>
      <c r="B187">
        <v>95.141700999999998</v>
      </c>
      <c r="C187" t="b">
        <f t="shared" si="12"/>
        <v>1</v>
      </c>
      <c r="E187" s="15">
        <v>43432</v>
      </c>
      <c r="F187">
        <f t="shared" si="13"/>
        <v>95.141700999999998</v>
      </c>
      <c r="G187">
        <v>1043.3100589999999</v>
      </c>
      <c r="I187" s="13">
        <f t="shared" si="14"/>
        <v>1.3168807912133929E-2</v>
      </c>
      <c r="J187" s="13">
        <f t="shared" si="15"/>
        <v>-1.7126753814029616E-3</v>
      </c>
      <c r="L187" s="15">
        <v>43432</v>
      </c>
      <c r="M187">
        <f t="shared" si="16"/>
        <v>113.63921651019056</v>
      </c>
      <c r="N187">
        <f t="shared" si="17"/>
        <v>91.920780416729627</v>
      </c>
    </row>
    <row r="188" spans="1:14" x14ac:dyDescent="0.45">
      <c r="A188" s="15">
        <v>43433</v>
      </c>
      <c r="B188">
        <v>93.769829000000001</v>
      </c>
      <c r="C188" t="b">
        <f t="shared" si="12"/>
        <v>1</v>
      </c>
      <c r="E188" s="15">
        <v>43433</v>
      </c>
      <c r="F188">
        <f t="shared" si="13"/>
        <v>93.769829000000001</v>
      </c>
      <c r="G188">
        <v>1044.660034</v>
      </c>
      <c r="I188" s="13">
        <f t="shared" si="14"/>
        <v>-1.4419250292781682E-2</v>
      </c>
      <c r="J188" s="13">
        <f t="shared" si="15"/>
        <v>1.2939346154623443E-3</v>
      </c>
      <c r="L188" s="15">
        <v>43433</v>
      </c>
      <c r="M188">
        <f t="shared" si="16"/>
        <v>112.00062420425452</v>
      </c>
      <c r="N188">
        <f t="shared" si="17"/>
        <v>92.039719896391148</v>
      </c>
    </row>
    <row r="189" spans="1:14" x14ac:dyDescent="0.45">
      <c r="A189" s="15">
        <v>43434</v>
      </c>
      <c r="B189">
        <v>95.064407000000003</v>
      </c>
      <c r="C189" t="b">
        <f t="shared" si="12"/>
        <v>1</v>
      </c>
      <c r="E189" s="15">
        <v>43434</v>
      </c>
      <c r="F189">
        <f t="shared" si="13"/>
        <v>95.064407000000003</v>
      </c>
      <c r="G189">
        <v>1040.540039</v>
      </c>
      <c r="I189" s="13">
        <f t="shared" si="14"/>
        <v>1.3805911920773628E-2</v>
      </c>
      <c r="J189" s="13">
        <f t="shared" si="15"/>
        <v>-3.9438619894593963E-3</v>
      </c>
      <c r="L189" s="15">
        <v>43434</v>
      </c>
      <c r="M189">
        <f t="shared" si="16"/>
        <v>113.54689495709013</v>
      </c>
      <c r="N189">
        <f t="shared" si="17"/>
        <v>91.676727943571279</v>
      </c>
    </row>
    <row r="190" spans="1:14" x14ac:dyDescent="0.45">
      <c r="A190" s="15">
        <v>43437</v>
      </c>
      <c r="B190">
        <v>97.730857999999998</v>
      </c>
      <c r="C190" t="b">
        <f t="shared" si="12"/>
        <v>1</v>
      </c>
      <c r="E190" s="15">
        <v>43437</v>
      </c>
      <c r="F190">
        <f t="shared" si="13"/>
        <v>97.730857999999998</v>
      </c>
      <c r="G190">
        <v>1044.1999510000001</v>
      </c>
      <c r="I190" s="13">
        <f t="shared" si="14"/>
        <v>2.8048889002168842E-2</v>
      </c>
      <c r="J190" s="13">
        <f t="shared" si="15"/>
        <v>3.5173197213222984E-3</v>
      </c>
      <c r="L190" s="15">
        <v>43437</v>
      </c>
      <c r="M190">
        <f t="shared" si="16"/>
        <v>116.73175921028248</v>
      </c>
      <c r="N190">
        <f t="shared" si="17"/>
        <v>91.999184306753506</v>
      </c>
    </row>
    <row r="191" spans="1:14" x14ac:dyDescent="0.45">
      <c r="A191" s="15">
        <v>43438</v>
      </c>
      <c r="B191">
        <v>97.151184000000001</v>
      </c>
      <c r="C191" t="b">
        <f t="shared" si="12"/>
        <v>1</v>
      </c>
      <c r="E191" s="15">
        <v>43438</v>
      </c>
      <c r="F191">
        <f t="shared" si="13"/>
        <v>97.151184000000001</v>
      </c>
      <c r="G191">
        <v>1046.339966</v>
      </c>
      <c r="I191" s="13">
        <f t="shared" si="14"/>
        <v>-5.9313303071584222E-3</v>
      </c>
      <c r="J191" s="13">
        <f t="shared" si="15"/>
        <v>2.0494302819593635E-3</v>
      </c>
      <c r="L191" s="15">
        <v>43438</v>
      </c>
      <c r="M191">
        <f t="shared" si="16"/>
        <v>116.03938458907061</v>
      </c>
      <c r="N191">
        <f t="shared" si="17"/>
        <v>92.187730220987333</v>
      </c>
    </row>
    <row r="192" spans="1:14" x14ac:dyDescent="0.45">
      <c r="A192" s="15">
        <v>43439</v>
      </c>
      <c r="B192">
        <v>96.726105000000004</v>
      </c>
      <c r="C192" t="b">
        <f t="shared" si="12"/>
        <v>1</v>
      </c>
      <c r="E192" s="15">
        <v>43439</v>
      </c>
      <c r="F192">
        <f t="shared" si="13"/>
        <v>96.726105000000004</v>
      </c>
      <c r="G192">
        <v>1045.9499510000001</v>
      </c>
      <c r="I192" s="13">
        <f t="shared" si="14"/>
        <v>-4.375438183028213E-3</v>
      </c>
      <c r="J192" s="13">
        <f t="shared" si="15"/>
        <v>-3.727421418211474E-4</v>
      </c>
      <c r="L192" s="15">
        <v>43439</v>
      </c>
      <c r="M192">
        <f t="shared" si="16"/>
        <v>115.53166143500449</v>
      </c>
      <c r="N192">
        <f t="shared" si="17"/>
        <v>92.153367968975132</v>
      </c>
    </row>
    <row r="193" spans="1:14" x14ac:dyDescent="0.45">
      <c r="A193" s="15">
        <v>43440</v>
      </c>
      <c r="B193">
        <v>94.658646000000005</v>
      </c>
      <c r="C193" t="b">
        <f t="shared" si="12"/>
        <v>1</v>
      </c>
      <c r="E193" s="15">
        <v>43440</v>
      </c>
      <c r="F193">
        <f t="shared" si="13"/>
        <v>94.658646000000005</v>
      </c>
      <c r="G193">
        <v>1024.849976</v>
      </c>
      <c r="I193" s="13">
        <f t="shared" si="14"/>
        <v>-2.13743642422074E-2</v>
      </c>
      <c r="J193" s="13">
        <f t="shared" si="15"/>
        <v>-2.0173025468213868E-2</v>
      </c>
      <c r="L193" s="15">
        <v>43440</v>
      </c>
      <c r="M193">
        <f t="shared" si="16"/>
        <v>113.06224562198533</v>
      </c>
      <c r="N193">
        <f t="shared" si="17"/>
        <v>90.294355729955313</v>
      </c>
    </row>
    <row r="194" spans="1:14" x14ac:dyDescent="0.45">
      <c r="A194" s="15">
        <v>43441</v>
      </c>
      <c r="B194">
        <v>96.532882999999998</v>
      </c>
      <c r="C194" t="b">
        <f t="shared" si="12"/>
        <v>1</v>
      </c>
      <c r="E194" s="15">
        <v>43441</v>
      </c>
      <c r="F194">
        <f t="shared" si="13"/>
        <v>96.532882999999998</v>
      </c>
      <c r="G194">
        <v>1038.900024</v>
      </c>
      <c r="I194" s="13">
        <f t="shared" si="14"/>
        <v>1.9799955727234808E-2</v>
      </c>
      <c r="J194" s="13">
        <f t="shared" si="15"/>
        <v>1.3709370472776428E-2</v>
      </c>
      <c r="L194" s="15">
        <v>43441</v>
      </c>
      <c r="M194">
        <f t="shared" si="16"/>
        <v>115.30087307972238</v>
      </c>
      <c r="N194">
        <f t="shared" si="17"/>
        <v>91.532234504257929</v>
      </c>
    </row>
    <row r="195" spans="1:14" x14ac:dyDescent="0.45">
      <c r="A195" s="15">
        <v>43444</v>
      </c>
      <c r="B195">
        <v>94.194907999999998</v>
      </c>
      <c r="C195" t="b">
        <f t="shared" ref="C195:C258" si="18">E195=A195</f>
        <v>1</v>
      </c>
      <c r="E195" s="15">
        <v>43444</v>
      </c>
      <c r="F195">
        <f t="shared" ref="F195:F258" si="19">VLOOKUP(E195,A195:B1434,2,0)</f>
        <v>94.194907999999998</v>
      </c>
      <c r="G195">
        <v>1025.76001</v>
      </c>
      <c r="I195" s="13">
        <f t="shared" si="14"/>
        <v>-2.4219467266920813E-2</v>
      </c>
      <c r="J195" s="13">
        <f t="shared" si="15"/>
        <v>-1.2648006253198507E-2</v>
      </c>
      <c r="L195" s="15">
        <v>43444</v>
      </c>
      <c r="M195">
        <f t="shared" si="16"/>
        <v>112.50834735832065</v>
      </c>
      <c r="N195">
        <f t="shared" si="17"/>
        <v>90.374534229878847</v>
      </c>
    </row>
    <row r="196" spans="1:14" x14ac:dyDescent="0.45">
      <c r="A196" s="15">
        <v>43445</v>
      </c>
      <c r="B196">
        <v>95.373549999999994</v>
      </c>
      <c r="C196" t="b">
        <f t="shared" si="18"/>
        <v>1</v>
      </c>
      <c r="E196" s="15">
        <v>43445</v>
      </c>
      <c r="F196">
        <f t="shared" si="19"/>
        <v>95.373549999999994</v>
      </c>
      <c r="G196">
        <v>1036.839966</v>
      </c>
      <c r="I196" s="13">
        <f t="shared" ref="I196:I259" si="20">F196/F195-1</f>
        <v>1.2512799524152518E-2</v>
      </c>
      <c r="J196" s="13">
        <f t="shared" ref="J196:J259" si="21">G196/G195-1</f>
        <v>1.0801703997019851E-2</v>
      </c>
      <c r="L196" s="15">
        <v>43445</v>
      </c>
      <c r="M196">
        <f t="shared" ref="M196:M259" si="22">M195*(1+I196)</f>
        <v>113.91614175360903</v>
      </c>
      <c r="N196">
        <f t="shared" ref="N196:N259" si="23">N195*(1+J196)</f>
        <v>91.350733197498542</v>
      </c>
    </row>
    <row r="197" spans="1:14" x14ac:dyDescent="0.45">
      <c r="A197" s="15">
        <v>43446</v>
      </c>
      <c r="B197">
        <v>97.460335000000001</v>
      </c>
      <c r="C197" t="b">
        <f t="shared" si="18"/>
        <v>1</v>
      </c>
      <c r="E197" s="15">
        <v>43446</v>
      </c>
      <c r="F197">
        <f t="shared" si="19"/>
        <v>97.460335000000001</v>
      </c>
      <c r="G197">
        <v>1041.469971</v>
      </c>
      <c r="I197" s="13">
        <f t="shared" si="20"/>
        <v>2.1880122948134018E-2</v>
      </c>
      <c r="J197" s="13">
        <f t="shared" si="21"/>
        <v>4.4654962692669553E-3</v>
      </c>
      <c r="L197" s="15">
        <v>43446</v>
      </c>
      <c r="M197">
        <f t="shared" si="22"/>
        <v>116.40864094095505</v>
      </c>
      <c r="N197">
        <f t="shared" si="23"/>
        <v>91.758659555786778</v>
      </c>
    </row>
    <row r="198" spans="1:14" x14ac:dyDescent="0.45">
      <c r="A198" s="15">
        <v>43447</v>
      </c>
      <c r="B198">
        <v>102.02034</v>
      </c>
      <c r="C198" t="b">
        <f t="shared" si="18"/>
        <v>1</v>
      </c>
      <c r="E198" s="15">
        <v>43447</v>
      </c>
      <c r="F198">
        <f t="shared" si="19"/>
        <v>102.02034</v>
      </c>
      <c r="G198">
        <v>1050.410034</v>
      </c>
      <c r="I198" s="13">
        <f t="shared" si="20"/>
        <v>4.6788316498193927E-2</v>
      </c>
      <c r="J198" s="13">
        <f t="shared" si="21"/>
        <v>8.5840813935478266E-3</v>
      </c>
      <c r="L198" s="15">
        <v>43447</v>
      </c>
      <c r="M198">
        <f t="shared" si="22"/>
        <v>121.85520527642507</v>
      </c>
      <c r="N198">
        <f t="shared" si="23"/>
        <v>92.54632335797649</v>
      </c>
    </row>
    <row r="199" spans="1:14" x14ac:dyDescent="0.45">
      <c r="A199" s="15">
        <v>43448</v>
      </c>
      <c r="B199">
        <v>101.440674</v>
      </c>
      <c r="C199" t="b">
        <f t="shared" si="18"/>
        <v>1</v>
      </c>
      <c r="E199" s="15">
        <v>43448</v>
      </c>
      <c r="F199">
        <f t="shared" si="19"/>
        <v>101.440674</v>
      </c>
      <c r="G199">
        <v>1047.8900149999999</v>
      </c>
      <c r="I199" s="13">
        <f t="shared" si="20"/>
        <v>-5.6818669688809553E-3</v>
      </c>
      <c r="J199" s="13">
        <f t="shared" si="21"/>
        <v>-2.3990812334528933E-3</v>
      </c>
      <c r="L199" s="15">
        <v>43448</v>
      </c>
      <c r="M199">
        <f t="shared" si="22"/>
        <v>121.16284021057874</v>
      </c>
      <c r="N199">
        <f t="shared" si="23"/>
        <v>92.324297210383307</v>
      </c>
    </row>
    <row r="200" spans="1:14" x14ac:dyDescent="0.45">
      <c r="A200" s="15">
        <v>43451</v>
      </c>
      <c r="B200">
        <v>100.745087</v>
      </c>
      <c r="C200" t="b">
        <f t="shared" si="18"/>
        <v>1</v>
      </c>
      <c r="E200" s="15">
        <v>43451</v>
      </c>
      <c r="F200">
        <f t="shared" si="19"/>
        <v>100.745087</v>
      </c>
      <c r="G200">
        <v>1037.9300539999999</v>
      </c>
      <c r="I200" s="13">
        <f t="shared" si="20"/>
        <v>-6.85708180527278E-3</v>
      </c>
      <c r="J200" s="13">
        <f t="shared" si="21"/>
        <v>-9.5047770829269629E-3</v>
      </c>
      <c r="L200" s="15">
        <v>43451</v>
      </c>
      <c r="M200">
        <f t="shared" si="22"/>
        <v>120.3320167034956</v>
      </c>
      <c r="N200">
        <f t="shared" si="23"/>
        <v>91.446775346060718</v>
      </c>
    </row>
    <row r="201" spans="1:14" x14ac:dyDescent="0.45">
      <c r="A201" s="15">
        <v>43452</v>
      </c>
      <c r="B201">
        <v>99.122032000000004</v>
      </c>
      <c r="C201" t="b">
        <f t="shared" si="18"/>
        <v>1</v>
      </c>
      <c r="E201" s="15">
        <v>43452</v>
      </c>
      <c r="F201">
        <f t="shared" si="19"/>
        <v>99.122032000000004</v>
      </c>
      <c r="G201">
        <v>1030.4799800000001</v>
      </c>
      <c r="I201" s="13">
        <f t="shared" si="20"/>
        <v>-1.6110512664503363E-2</v>
      </c>
      <c r="J201" s="13">
        <f t="shared" si="21"/>
        <v>-7.1778189400033554E-3</v>
      </c>
      <c r="L201" s="15">
        <v>43452</v>
      </c>
      <c r="M201">
        <f t="shared" si="22"/>
        <v>118.3934062244487</v>
      </c>
      <c r="N201">
        <f t="shared" si="23"/>
        <v>90.790386949979535</v>
      </c>
    </row>
    <row r="202" spans="1:14" x14ac:dyDescent="0.45">
      <c r="A202" s="15">
        <v>43453</v>
      </c>
      <c r="B202">
        <v>97.267112999999995</v>
      </c>
      <c r="C202" t="b">
        <f t="shared" si="18"/>
        <v>1</v>
      </c>
      <c r="E202" s="15">
        <v>43453</v>
      </c>
      <c r="F202">
        <f t="shared" si="19"/>
        <v>97.267112999999995</v>
      </c>
      <c r="G202">
        <v>1023.409973</v>
      </c>
      <c r="I202" s="13">
        <f t="shared" si="20"/>
        <v>-1.8713488440188608E-2</v>
      </c>
      <c r="J202" s="13">
        <f t="shared" si="21"/>
        <v>-6.8608872925410846E-3</v>
      </c>
      <c r="L202" s="15">
        <v>43453</v>
      </c>
      <c r="M202">
        <f t="shared" si="22"/>
        <v>116.17785258567292</v>
      </c>
      <c r="N202">
        <f t="shared" si="23"/>
        <v>90.167484337869539</v>
      </c>
    </row>
    <row r="203" spans="1:14" x14ac:dyDescent="0.45">
      <c r="A203" s="15">
        <v>43454</v>
      </c>
      <c r="B203">
        <v>96.011191999999994</v>
      </c>
      <c r="C203" t="b">
        <f t="shared" si="18"/>
        <v>1</v>
      </c>
      <c r="E203" s="15">
        <v>43454</v>
      </c>
      <c r="F203">
        <f t="shared" si="19"/>
        <v>96.011191999999994</v>
      </c>
      <c r="G203">
        <v>1005.51001</v>
      </c>
      <c r="I203" s="13">
        <f t="shared" si="20"/>
        <v>-1.291208262755783E-2</v>
      </c>
      <c r="J203" s="13">
        <f t="shared" si="21"/>
        <v>-1.7490510618661026E-2</v>
      </c>
      <c r="L203" s="15">
        <v>43454</v>
      </c>
      <c r="M203">
        <f t="shared" si="22"/>
        <v>114.67775455359448</v>
      </c>
      <c r="N203">
        <f t="shared" si="23"/>
        <v>88.590408995600086</v>
      </c>
    </row>
    <row r="204" spans="1:14" x14ac:dyDescent="0.45">
      <c r="A204" s="15">
        <v>43455</v>
      </c>
      <c r="B204">
        <v>96.803382999999997</v>
      </c>
      <c r="C204" t="b">
        <f t="shared" si="18"/>
        <v>1</v>
      </c>
      <c r="E204" s="15">
        <v>43455</v>
      </c>
      <c r="F204">
        <f t="shared" si="19"/>
        <v>96.803382999999997</v>
      </c>
      <c r="G204">
        <v>997.92999299999997</v>
      </c>
      <c r="I204" s="13">
        <f t="shared" si="20"/>
        <v>8.2510276510263658E-3</v>
      </c>
      <c r="J204" s="13">
        <f t="shared" si="21"/>
        <v>-7.5384799003641589E-3</v>
      </c>
      <c r="L204" s="15">
        <v>43455</v>
      </c>
      <c r="M204">
        <f t="shared" si="22"/>
        <v>115.62396387737381</v>
      </c>
      <c r="N204">
        <f t="shared" si="23"/>
        <v>87.922571978021708</v>
      </c>
    </row>
    <row r="205" spans="1:14" x14ac:dyDescent="0.45">
      <c r="A205" s="15">
        <v>43461</v>
      </c>
      <c r="B205">
        <v>94.388130000000004</v>
      </c>
      <c r="C205" t="b">
        <f t="shared" si="18"/>
        <v>1</v>
      </c>
      <c r="E205" s="15">
        <v>43461</v>
      </c>
      <c r="F205">
        <f t="shared" si="19"/>
        <v>94.388130000000004</v>
      </c>
      <c r="G205">
        <v>980.75</v>
      </c>
      <c r="I205" s="13">
        <f t="shared" si="20"/>
        <v>-2.4950088779438606E-2</v>
      </c>
      <c r="J205" s="13">
        <f t="shared" si="21"/>
        <v>-1.7215629473519511E-2</v>
      </c>
      <c r="L205" s="15">
        <v>43461</v>
      </c>
      <c r="M205">
        <f t="shared" si="22"/>
        <v>112.73913571360274</v>
      </c>
      <c r="N205">
        <f t="shared" si="23"/>
        <v>86.408929556489241</v>
      </c>
    </row>
    <row r="206" spans="1:14" x14ac:dyDescent="0.45">
      <c r="A206" s="15">
        <v>43462</v>
      </c>
      <c r="B206">
        <v>95.083725000000001</v>
      </c>
      <c r="C206" t="b">
        <f t="shared" si="18"/>
        <v>1</v>
      </c>
      <c r="E206" s="15">
        <v>43462</v>
      </c>
      <c r="F206">
        <f t="shared" si="19"/>
        <v>95.083725000000001</v>
      </c>
      <c r="G206">
        <v>994.919983</v>
      </c>
      <c r="I206" s="13">
        <f t="shared" si="20"/>
        <v>7.3695177560992864E-3</v>
      </c>
      <c r="J206" s="13">
        <f t="shared" si="21"/>
        <v>1.4448109100178463E-2</v>
      </c>
      <c r="L206" s="15">
        <v>43462</v>
      </c>
      <c r="M206">
        <f t="shared" si="22"/>
        <v>113.56996877605141</v>
      </c>
      <c r="N206">
        <f t="shared" si="23"/>
        <v>87.657375197951026</v>
      </c>
    </row>
    <row r="207" spans="1:14" x14ac:dyDescent="0.45">
      <c r="A207" s="15">
        <v>43467</v>
      </c>
      <c r="B207">
        <v>96.957970000000003</v>
      </c>
      <c r="C207" t="b">
        <f t="shared" si="18"/>
        <v>1</v>
      </c>
      <c r="E207" s="15">
        <v>43467</v>
      </c>
      <c r="F207">
        <f t="shared" si="19"/>
        <v>96.957970000000003</v>
      </c>
      <c r="G207">
        <v>1004.76001</v>
      </c>
      <c r="I207" s="13">
        <f t="shared" si="20"/>
        <v>1.9711522660686764E-2</v>
      </c>
      <c r="J207" s="13">
        <f t="shared" si="21"/>
        <v>9.890269738405566E-3</v>
      </c>
      <c r="L207" s="15">
        <v>43467</v>
      </c>
      <c r="M207">
        <f t="shared" si="22"/>
        <v>115.80860578915404</v>
      </c>
      <c r="N207">
        <f t="shared" si="23"/>
        <v>88.524330283219385</v>
      </c>
    </row>
    <row r="208" spans="1:14" x14ac:dyDescent="0.45">
      <c r="A208" s="15">
        <v>43468</v>
      </c>
      <c r="B208">
        <v>95.586098000000007</v>
      </c>
      <c r="C208" t="b">
        <f t="shared" si="18"/>
        <v>1</v>
      </c>
      <c r="E208" s="15">
        <v>43468</v>
      </c>
      <c r="F208">
        <f t="shared" si="19"/>
        <v>95.586098000000007</v>
      </c>
      <c r="G208">
        <v>995.36999500000002</v>
      </c>
      <c r="I208" s="13">
        <f t="shared" si="20"/>
        <v>-1.4149141117537845E-2</v>
      </c>
      <c r="J208" s="13">
        <f t="shared" si="21"/>
        <v>-9.3455301828742066E-3</v>
      </c>
      <c r="L208" s="15">
        <v>43468</v>
      </c>
      <c r="M208">
        <f t="shared" si="22"/>
        <v>114.170013483218</v>
      </c>
      <c r="N208">
        <f t="shared" si="23"/>
        <v>87.697023482638826</v>
      </c>
    </row>
    <row r="209" spans="1:14" x14ac:dyDescent="0.45">
      <c r="A209" s="15">
        <v>43469</v>
      </c>
      <c r="B209">
        <v>95.702026000000004</v>
      </c>
      <c r="C209" t="b">
        <f t="shared" si="18"/>
        <v>1</v>
      </c>
      <c r="E209" s="15">
        <v>43469</v>
      </c>
      <c r="F209">
        <f t="shared" si="19"/>
        <v>95.702026000000004</v>
      </c>
      <c r="G209">
        <v>1020.169983</v>
      </c>
      <c r="I209" s="13">
        <f t="shared" si="20"/>
        <v>1.2128123485068976E-3</v>
      </c>
      <c r="J209" s="13">
        <f t="shared" si="21"/>
        <v>2.4915346177377895E-2</v>
      </c>
      <c r="L209" s="15">
        <v>43469</v>
      </c>
      <c r="M209">
        <f t="shared" si="22"/>
        <v>114.30848028539964</v>
      </c>
      <c r="N209">
        <f t="shared" si="23"/>
        <v>89.882025181434415</v>
      </c>
    </row>
    <row r="210" spans="1:14" x14ac:dyDescent="0.45">
      <c r="A210" s="15">
        <v>43472</v>
      </c>
      <c r="B210">
        <v>95.489486999999997</v>
      </c>
      <c r="C210" t="b">
        <f t="shared" si="18"/>
        <v>1</v>
      </c>
      <c r="E210" s="15">
        <v>43472</v>
      </c>
      <c r="F210">
        <f t="shared" si="19"/>
        <v>95.489486999999997</v>
      </c>
      <c r="G210">
        <v>1027.8199460000001</v>
      </c>
      <c r="I210" s="13">
        <f t="shared" si="20"/>
        <v>-2.2208411763404712E-3</v>
      </c>
      <c r="J210" s="13">
        <f t="shared" si="21"/>
        <v>7.4987140647913009E-3</v>
      </c>
      <c r="L210" s="15">
        <v>43472</v>
      </c>
      <c r="M210">
        <f t="shared" si="22"/>
        <v>114.05461930557692</v>
      </c>
      <c r="N210">
        <f t="shared" si="23"/>
        <v>90.55602478783436</v>
      </c>
    </row>
    <row r="211" spans="1:14" x14ac:dyDescent="0.45">
      <c r="A211" s="15">
        <v>43473</v>
      </c>
      <c r="B211">
        <v>96.648819000000003</v>
      </c>
      <c r="C211" t="b">
        <f t="shared" si="18"/>
        <v>1</v>
      </c>
      <c r="E211" s="15">
        <v>43473</v>
      </c>
      <c r="F211">
        <f t="shared" si="19"/>
        <v>96.648819000000003</v>
      </c>
      <c r="G211">
        <v>1037.400024</v>
      </c>
      <c r="I211" s="13">
        <f t="shared" si="20"/>
        <v>1.2140938614530583E-2</v>
      </c>
      <c r="J211" s="13">
        <f t="shared" si="21"/>
        <v>9.3207745551961985E-3</v>
      </c>
      <c r="L211" s="15">
        <v>43473</v>
      </c>
      <c r="M211">
        <f t="shared" si="22"/>
        <v>115.43934943726958</v>
      </c>
      <c r="N211">
        <f t="shared" si="23"/>
        <v>91.400077079496526</v>
      </c>
    </row>
    <row r="212" spans="1:14" x14ac:dyDescent="0.45">
      <c r="A212" s="15">
        <v>43474</v>
      </c>
      <c r="B212">
        <v>98.812888999999998</v>
      </c>
      <c r="C212" t="b">
        <f t="shared" si="18"/>
        <v>1</v>
      </c>
      <c r="E212" s="15">
        <v>43474</v>
      </c>
      <c r="F212">
        <f t="shared" si="19"/>
        <v>98.812888999999998</v>
      </c>
      <c r="G212">
        <v>1044.040039</v>
      </c>
      <c r="I212" s="13">
        <f t="shared" si="20"/>
        <v>2.2391065119998999E-2</v>
      </c>
      <c r="J212" s="13">
        <f t="shared" si="21"/>
        <v>6.4006312380806563E-3</v>
      </c>
      <c r="L212" s="15">
        <v>43474</v>
      </c>
      <c r="M212">
        <f t="shared" si="22"/>
        <v>118.0241594279298</v>
      </c>
      <c r="N212">
        <f t="shared" si="23"/>
        <v>91.985095268014533</v>
      </c>
    </row>
    <row r="213" spans="1:14" x14ac:dyDescent="0.45">
      <c r="A213" s="15">
        <v>43475</v>
      </c>
      <c r="B213">
        <v>97.769485000000003</v>
      </c>
      <c r="C213" t="b">
        <f t="shared" si="18"/>
        <v>1</v>
      </c>
      <c r="E213" s="15">
        <v>43475</v>
      </c>
      <c r="F213">
        <f t="shared" si="19"/>
        <v>97.769485000000003</v>
      </c>
      <c r="G213">
        <v>1037.849976</v>
      </c>
      <c r="I213" s="13">
        <f t="shared" si="20"/>
        <v>-1.0559391700408538E-2</v>
      </c>
      <c r="J213" s="13">
        <f t="shared" si="21"/>
        <v>-5.9289517343884546E-3</v>
      </c>
      <c r="L213" s="15">
        <v>43475</v>
      </c>
      <c r="M213">
        <f t="shared" si="22"/>
        <v>116.77789609841882</v>
      </c>
      <c r="N213">
        <f t="shared" si="23"/>
        <v>91.439720077887344</v>
      </c>
    </row>
    <row r="214" spans="1:14" x14ac:dyDescent="0.45">
      <c r="A214" s="15">
        <v>43476</v>
      </c>
      <c r="B214">
        <v>97.498985000000005</v>
      </c>
      <c r="C214" t="b">
        <f t="shared" si="18"/>
        <v>1</v>
      </c>
      <c r="E214" s="15">
        <v>43476</v>
      </c>
      <c r="F214">
        <f t="shared" si="19"/>
        <v>97.498985000000005</v>
      </c>
      <c r="G214">
        <v>1037.650024</v>
      </c>
      <c r="I214" s="13">
        <f t="shared" si="20"/>
        <v>-2.7667119244823013E-3</v>
      </c>
      <c r="J214" s="13">
        <f t="shared" si="21"/>
        <v>-1.9265983005611886E-4</v>
      </c>
      <c r="L214" s="15">
        <v>43476</v>
      </c>
      <c r="M214">
        <f t="shared" si="22"/>
        <v>116.45480530076738</v>
      </c>
      <c r="N214">
        <f t="shared" si="23"/>
        <v>91.422103316956765</v>
      </c>
    </row>
    <row r="215" spans="1:14" x14ac:dyDescent="0.45">
      <c r="A215" s="15">
        <v>43479</v>
      </c>
      <c r="B215">
        <v>96.957970000000003</v>
      </c>
      <c r="C215" t="b">
        <f t="shared" si="18"/>
        <v>1</v>
      </c>
      <c r="E215" s="15">
        <v>43479</v>
      </c>
      <c r="F215">
        <f t="shared" si="19"/>
        <v>96.957970000000003</v>
      </c>
      <c r="G215">
        <v>1021.219971</v>
      </c>
      <c r="I215" s="13">
        <f t="shared" si="20"/>
        <v>-5.5489295606513389E-3</v>
      </c>
      <c r="J215" s="13">
        <f t="shared" si="21"/>
        <v>-1.5833906056942459E-2</v>
      </c>
      <c r="L215" s="15">
        <v>43479</v>
      </c>
      <c r="M215">
        <f t="shared" si="22"/>
        <v>115.80860578915406</v>
      </c>
      <c r="N215">
        <f t="shared" si="23"/>
        <v>89.974534321507988</v>
      </c>
    </row>
    <row r="216" spans="1:14" x14ac:dyDescent="0.45">
      <c r="A216" s="15">
        <v>43480</v>
      </c>
      <c r="B216">
        <v>98.078636000000003</v>
      </c>
      <c r="C216" t="b">
        <f t="shared" si="18"/>
        <v>1</v>
      </c>
      <c r="E216" s="15">
        <v>43480</v>
      </c>
      <c r="F216">
        <f t="shared" si="19"/>
        <v>98.078636000000003</v>
      </c>
      <c r="G216">
        <v>1024.280029</v>
      </c>
      <c r="I216" s="13">
        <f t="shared" si="20"/>
        <v>1.1558265916664645E-2</v>
      </c>
      <c r="J216" s="13">
        <f t="shared" si="21"/>
        <v>2.9964729312956795E-3</v>
      </c>
      <c r="L216" s="15">
        <v>43480</v>
      </c>
      <c r="M216">
        <f t="shared" si="22"/>
        <v>117.1471524503033</v>
      </c>
      <c r="N216">
        <f t="shared" si="23"/>
        <v>90.244140578108315</v>
      </c>
    </row>
    <row r="217" spans="1:14" x14ac:dyDescent="0.45">
      <c r="A217" s="15">
        <v>43481</v>
      </c>
      <c r="B217">
        <v>97.653557000000006</v>
      </c>
      <c r="C217" t="b">
        <f t="shared" si="18"/>
        <v>1</v>
      </c>
      <c r="E217" s="15">
        <v>43481</v>
      </c>
      <c r="F217">
        <f t="shared" si="19"/>
        <v>97.653557000000006</v>
      </c>
      <c r="G217">
        <v>1032.839966</v>
      </c>
      <c r="I217" s="13">
        <f t="shared" si="20"/>
        <v>-4.3340631286918896E-3</v>
      </c>
      <c r="J217" s="13">
        <f t="shared" si="21"/>
        <v>8.3570281150135983E-3</v>
      </c>
      <c r="L217" s="15">
        <v>43481</v>
      </c>
      <c r="M217">
        <f t="shared" si="22"/>
        <v>116.63942929623718</v>
      </c>
      <c r="N217">
        <f t="shared" si="23"/>
        <v>90.998313398134812</v>
      </c>
    </row>
    <row r="218" spans="1:14" x14ac:dyDescent="0.45">
      <c r="A218" s="15">
        <v>43482</v>
      </c>
      <c r="B218">
        <v>98.040008999999998</v>
      </c>
      <c r="C218" t="b">
        <f t="shared" si="18"/>
        <v>1</v>
      </c>
      <c r="E218" s="15">
        <v>43482</v>
      </c>
      <c r="F218">
        <f t="shared" si="19"/>
        <v>98.040008999999998</v>
      </c>
      <c r="G218">
        <v>1036.1899410000001</v>
      </c>
      <c r="I218" s="13">
        <f t="shared" si="20"/>
        <v>3.9573776099113278E-3</v>
      </c>
      <c r="J218" s="13">
        <f t="shared" si="21"/>
        <v>3.2434598875699105E-3</v>
      </c>
      <c r="L218" s="15">
        <v>43482</v>
      </c>
      <c r="M218">
        <f t="shared" si="22"/>
        <v>117.10101556216695</v>
      </c>
      <c r="N218">
        <f t="shared" si="23"/>
        <v>91.293462777478183</v>
      </c>
    </row>
    <row r="219" spans="1:14" x14ac:dyDescent="0.45">
      <c r="A219" s="15">
        <v>43483</v>
      </c>
      <c r="B219">
        <v>100.204071</v>
      </c>
      <c r="C219" t="b">
        <f t="shared" si="18"/>
        <v>1</v>
      </c>
      <c r="E219" s="15">
        <v>43483</v>
      </c>
      <c r="F219">
        <f t="shared" si="19"/>
        <v>100.204071</v>
      </c>
      <c r="G219">
        <v>1044.290039</v>
      </c>
      <c r="I219" s="13">
        <f t="shared" si="20"/>
        <v>2.2073253787644909E-2</v>
      </c>
      <c r="J219" s="13">
        <f t="shared" si="21"/>
        <v>7.817194203007416E-3</v>
      </c>
      <c r="L219" s="15">
        <v>43483</v>
      </c>
      <c r="M219">
        <f t="shared" si="22"/>
        <v>119.68581599746162</v>
      </c>
      <c r="N219">
        <f t="shared" si="23"/>
        <v>92.007121505474757</v>
      </c>
    </row>
    <row r="220" spans="1:14" x14ac:dyDescent="0.45">
      <c r="A220" s="15">
        <v>43486</v>
      </c>
      <c r="B220">
        <v>101.36338000000001</v>
      </c>
      <c r="C220" t="b">
        <f t="shared" si="18"/>
        <v>1</v>
      </c>
      <c r="E220" s="15">
        <v>43486</v>
      </c>
      <c r="F220">
        <f t="shared" si="19"/>
        <v>101.36338000000001</v>
      </c>
      <c r="G220">
        <v>1048.4499510000001</v>
      </c>
      <c r="I220" s="13">
        <f t="shared" si="20"/>
        <v>1.1569480046374592E-2</v>
      </c>
      <c r="J220" s="13">
        <f t="shared" si="21"/>
        <v>3.9834833663485725E-3</v>
      </c>
      <c r="L220" s="15">
        <v>43486</v>
      </c>
      <c r="M220">
        <f t="shared" si="22"/>
        <v>121.07051865747832</v>
      </c>
      <c r="N220">
        <f t="shared" si="23"/>
        <v>92.373630343577432</v>
      </c>
    </row>
    <row r="221" spans="1:14" x14ac:dyDescent="0.45">
      <c r="A221" s="15">
        <v>43487</v>
      </c>
      <c r="B221">
        <v>100.08813499999999</v>
      </c>
      <c r="C221" t="b">
        <f t="shared" si="18"/>
        <v>1</v>
      </c>
      <c r="E221" s="15">
        <v>43487</v>
      </c>
      <c r="F221">
        <f t="shared" si="19"/>
        <v>100.08813499999999</v>
      </c>
      <c r="G221">
        <v>1044.6400149999999</v>
      </c>
      <c r="I221" s="13">
        <f t="shared" si="20"/>
        <v>-1.2580924195700782E-2</v>
      </c>
      <c r="J221" s="13">
        <f t="shared" si="21"/>
        <v>-3.6338749373455714E-3</v>
      </c>
      <c r="L221" s="15">
        <v>43487</v>
      </c>
      <c r="M221">
        <f t="shared" si="22"/>
        <v>119.5473396399144</v>
      </c>
      <c r="N221">
        <f t="shared" si="23"/>
        <v>92.037956123400278</v>
      </c>
    </row>
    <row r="222" spans="1:14" x14ac:dyDescent="0.45">
      <c r="A222" s="15">
        <v>43488</v>
      </c>
      <c r="B222">
        <v>99.315262000000004</v>
      </c>
      <c r="C222" t="b">
        <f t="shared" si="18"/>
        <v>1</v>
      </c>
      <c r="E222" s="15">
        <v>43488</v>
      </c>
      <c r="F222">
        <f t="shared" si="19"/>
        <v>99.315262000000004</v>
      </c>
      <c r="G222">
        <v>1042.9300539999999</v>
      </c>
      <c r="I222" s="13">
        <f t="shared" si="20"/>
        <v>-7.7219242820338874E-3</v>
      </c>
      <c r="J222" s="13">
        <f t="shared" si="21"/>
        <v>-1.636890197050378E-3</v>
      </c>
      <c r="L222" s="15">
        <v>43488</v>
      </c>
      <c r="M222">
        <f t="shared" si="22"/>
        <v>118.62420413509639</v>
      </c>
      <c r="N222">
        <f t="shared" si="23"/>
        <v>91.887300095265331</v>
      </c>
    </row>
    <row r="223" spans="1:14" x14ac:dyDescent="0.45">
      <c r="A223" s="15">
        <v>43489</v>
      </c>
      <c r="B223">
        <v>100.899666</v>
      </c>
      <c r="C223" t="b">
        <f t="shared" si="18"/>
        <v>1</v>
      </c>
      <c r="E223" s="15">
        <v>43489</v>
      </c>
      <c r="F223">
        <f t="shared" si="19"/>
        <v>100.899666</v>
      </c>
      <c r="G223">
        <v>1040.4799800000001</v>
      </c>
      <c r="I223" s="13">
        <f t="shared" si="20"/>
        <v>1.5953278157792017E-2</v>
      </c>
      <c r="J223" s="13">
        <f t="shared" si="21"/>
        <v>-2.3492217820390016E-3</v>
      </c>
      <c r="L223" s="15">
        <v>43489</v>
      </c>
      <c r="M223">
        <f t="shared" si="22"/>
        <v>120.51664905991029</v>
      </c>
      <c r="N223">
        <f t="shared" si="23"/>
        <v>91.671436448388775</v>
      </c>
    </row>
    <row r="224" spans="1:14" x14ac:dyDescent="0.45">
      <c r="A224" s="15">
        <v>43490</v>
      </c>
      <c r="B224">
        <v>100.12676999999999</v>
      </c>
      <c r="C224" t="b">
        <f t="shared" si="18"/>
        <v>1</v>
      </c>
      <c r="E224" s="15">
        <v>43490</v>
      </c>
      <c r="F224">
        <f t="shared" si="19"/>
        <v>100.12676999999999</v>
      </c>
      <c r="G224">
        <v>1035.339966</v>
      </c>
      <c r="I224" s="13">
        <f t="shared" si="20"/>
        <v>-7.6600451779493817E-3</v>
      </c>
      <c r="J224" s="13">
        <f t="shared" si="21"/>
        <v>-4.9400412298178376E-3</v>
      </c>
      <c r="L224" s="15">
        <v>43490</v>
      </c>
      <c r="M224">
        <f t="shared" si="22"/>
        <v>119.59348608341631</v>
      </c>
      <c r="N224">
        <f t="shared" si="23"/>
        <v>91.218575772737111</v>
      </c>
    </row>
    <row r="225" spans="1:14" x14ac:dyDescent="0.45">
      <c r="A225" s="15">
        <v>43493</v>
      </c>
      <c r="B225">
        <v>98.735588000000007</v>
      </c>
      <c r="C225" t="b">
        <f t="shared" si="18"/>
        <v>1</v>
      </c>
      <c r="E225" s="15">
        <v>43493</v>
      </c>
      <c r="F225">
        <f t="shared" si="19"/>
        <v>98.735588000000007</v>
      </c>
      <c r="G225">
        <v>1031.530029</v>
      </c>
      <c r="I225" s="13">
        <f t="shared" si="20"/>
        <v>-1.3894206314654767E-2</v>
      </c>
      <c r="J225" s="13">
        <f t="shared" si="21"/>
        <v>-3.6798898189157603E-3</v>
      </c>
      <c r="L225" s="15">
        <v>43493</v>
      </c>
      <c r="M225">
        <f t="shared" si="22"/>
        <v>117.93182951388452</v>
      </c>
      <c r="N225">
        <f t="shared" si="23"/>
        <v>90.882901464455017</v>
      </c>
    </row>
    <row r="226" spans="1:14" x14ac:dyDescent="0.45">
      <c r="A226" s="15">
        <v>43494</v>
      </c>
      <c r="B226">
        <v>103.643394</v>
      </c>
      <c r="C226" t="b">
        <f t="shared" si="18"/>
        <v>1</v>
      </c>
      <c r="E226" s="15">
        <v>43494</v>
      </c>
      <c r="F226">
        <f t="shared" si="19"/>
        <v>103.643394</v>
      </c>
      <c r="G226">
        <v>1039.619995</v>
      </c>
      <c r="I226" s="13">
        <f t="shared" si="20"/>
        <v>4.9706555654481788E-2</v>
      </c>
      <c r="J226" s="13">
        <f t="shared" si="21"/>
        <v>7.8426858865590088E-3</v>
      </c>
      <c r="L226" s="15">
        <v>43494</v>
      </c>
      <c r="M226">
        <f t="shared" si="22"/>
        <v>123.79381456105128</v>
      </c>
      <c r="N226">
        <f t="shared" si="23"/>
        <v>91.595667513099826</v>
      </c>
    </row>
    <row r="227" spans="1:14" x14ac:dyDescent="0.45">
      <c r="A227" s="15">
        <v>43495</v>
      </c>
      <c r="B227">
        <v>104.609489</v>
      </c>
      <c r="C227" t="b">
        <f t="shared" si="18"/>
        <v>1</v>
      </c>
      <c r="E227" s="15">
        <v>43495</v>
      </c>
      <c r="F227">
        <f t="shared" si="19"/>
        <v>104.609489</v>
      </c>
      <c r="G227">
        <v>1042.3000489999999</v>
      </c>
      <c r="I227" s="13">
        <f t="shared" si="20"/>
        <v>9.3213369681814928E-3</v>
      </c>
      <c r="J227" s="13">
        <f t="shared" si="21"/>
        <v>2.5779169435846683E-3</v>
      </c>
      <c r="L227" s="15">
        <v>43495</v>
      </c>
      <c r="M227">
        <f t="shared" si="22"/>
        <v>124.94773842115141</v>
      </c>
      <c r="N227">
        <f t="shared" si="23"/>
        <v>91.831793536340797</v>
      </c>
    </row>
    <row r="228" spans="1:14" x14ac:dyDescent="0.45">
      <c r="A228" s="15">
        <v>43496</v>
      </c>
      <c r="B228">
        <v>103.952538</v>
      </c>
      <c r="C228" t="b">
        <f t="shared" si="18"/>
        <v>1</v>
      </c>
      <c r="E228" s="15">
        <v>43496</v>
      </c>
      <c r="F228">
        <f t="shared" si="19"/>
        <v>103.952538</v>
      </c>
      <c r="G228">
        <v>1035.619995</v>
      </c>
      <c r="I228" s="13">
        <f t="shared" si="20"/>
        <v>-6.2800325886306352E-3</v>
      </c>
      <c r="J228" s="13">
        <f t="shared" si="21"/>
        <v>-6.4089548939472163E-3</v>
      </c>
      <c r="L228" s="15">
        <v>43496</v>
      </c>
      <c r="M228">
        <f t="shared" si="22"/>
        <v>124.16306255199089</v>
      </c>
      <c r="N228">
        <f t="shared" si="23"/>
        <v>91.24324771373611</v>
      </c>
    </row>
    <row r="229" spans="1:14" x14ac:dyDescent="0.45">
      <c r="A229" s="15">
        <v>43497</v>
      </c>
      <c r="B229">
        <v>105.111862</v>
      </c>
      <c r="C229" t="b">
        <f t="shared" si="18"/>
        <v>1</v>
      </c>
      <c r="E229" s="15">
        <v>43497</v>
      </c>
      <c r="F229">
        <f t="shared" si="19"/>
        <v>105.111862</v>
      </c>
      <c r="G229">
        <v>1054.910034</v>
      </c>
      <c r="I229" s="13">
        <f t="shared" si="20"/>
        <v>1.1152435739471667E-2</v>
      </c>
      <c r="J229" s="13">
        <f t="shared" si="21"/>
        <v>1.8626560990645968E-2</v>
      </c>
      <c r="L229" s="15">
        <v>43497</v>
      </c>
      <c r="M229">
        <f t="shared" si="22"/>
        <v>125.54778312831797</v>
      </c>
      <c r="N229">
        <f t="shared" si="23"/>
        <v>92.942795632260641</v>
      </c>
    </row>
    <row r="230" spans="1:14" x14ac:dyDescent="0.45">
      <c r="A230" s="15">
        <v>43500</v>
      </c>
      <c r="B230">
        <v>103.063728</v>
      </c>
      <c r="C230" t="b">
        <f t="shared" si="18"/>
        <v>1</v>
      </c>
      <c r="E230" s="15">
        <v>43500</v>
      </c>
      <c r="F230">
        <f t="shared" si="19"/>
        <v>103.063728</v>
      </c>
      <c r="G230">
        <v>1049.900024</v>
      </c>
      <c r="I230" s="13">
        <f t="shared" si="20"/>
        <v>-1.9485279406428968E-2</v>
      </c>
      <c r="J230" s="13">
        <f t="shared" si="21"/>
        <v>-4.7492296390461153E-3</v>
      </c>
      <c r="L230" s="15">
        <v>43500</v>
      </c>
      <c r="M230">
        <f t="shared" si="22"/>
        <v>123.10144949520495</v>
      </c>
      <c r="N230">
        <f t="shared" si="23"/>
        <v>92.501388952508108</v>
      </c>
    </row>
    <row r="231" spans="1:14" x14ac:dyDescent="0.45">
      <c r="A231" s="15">
        <v>43501</v>
      </c>
      <c r="B231">
        <v>103.025085</v>
      </c>
      <c r="C231" t="b">
        <f t="shared" si="18"/>
        <v>1</v>
      </c>
      <c r="E231" s="15">
        <v>43501</v>
      </c>
      <c r="F231">
        <f t="shared" si="19"/>
        <v>103.025085</v>
      </c>
      <c r="G231">
        <v>1073.4399410000001</v>
      </c>
      <c r="I231" s="13">
        <f t="shared" si="20"/>
        <v>-3.7494277327121406E-4</v>
      </c>
      <c r="J231" s="13">
        <f t="shared" si="21"/>
        <v>2.2421103402127329E-2</v>
      </c>
      <c r="L231" s="15">
        <v>43501</v>
      </c>
      <c r="M231">
        <f t="shared" si="22"/>
        <v>123.05529349633751</v>
      </c>
      <c r="N231">
        <f t="shared" si="23"/>
        <v>94.575372159052691</v>
      </c>
    </row>
    <row r="232" spans="1:14" x14ac:dyDescent="0.45">
      <c r="A232" s="15">
        <v>43502</v>
      </c>
      <c r="B232">
        <v>102.63864100000001</v>
      </c>
      <c r="C232" t="b">
        <f t="shared" si="18"/>
        <v>1</v>
      </c>
      <c r="E232" s="15">
        <v>43502</v>
      </c>
      <c r="F232">
        <f t="shared" si="19"/>
        <v>102.63864100000001</v>
      </c>
      <c r="G232">
        <v>1068.1099850000001</v>
      </c>
      <c r="I232" s="13">
        <f t="shared" si="20"/>
        <v>-3.7509699700805088E-3</v>
      </c>
      <c r="J232" s="13">
        <f t="shared" si="21"/>
        <v>-4.9653043420713194E-3</v>
      </c>
      <c r="L232" s="15">
        <v>43502</v>
      </c>
      <c r="M232">
        <f t="shared" si="22"/>
        <v>122.59371678577331</v>
      </c>
      <c r="N232">
        <f t="shared" si="23"/>
        <v>94.105776653018339</v>
      </c>
    </row>
    <row r="233" spans="1:14" x14ac:dyDescent="0.45">
      <c r="A233" s="15">
        <v>43503</v>
      </c>
      <c r="B233">
        <v>97.730857999999998</v>
      </c>
      <c r="C233" t="b">
        <f t="shared" si="18"/>
        <v>1</v>
      </c>
      <c r="E233" s="15">
        <v>43503</v>
      </c>
      <c r="F233">
        <f t="shared" si="19"/>
        <v>97.730857999999998</v>
      </c>
      <c r="G233">
        <v>1061.6899410000001</v>
      </c>
      <c r="I233" s="13">
        <f t="shared" si="20"/>
        <v>-4.7816133886651957E-2</v>
      </c>
      <c r="J233" s="13">
        <f t="shared" si="21"/>
        <v>-6.0106581626984124E-3</v>
      </c>
      <c r="L233" s="15">
        <v>43503</v>
      </c>
      <c r="M233">
        <f t="shared" si="22"/>
        <v>116.73175921028248</v>
      </c>
      <c r="N233">
        <f t="shared" si="23"/>
        <v>93.540138998421796</v>
      </c>
    </row>
    <row r="234" spans="1:14" x14ac:dyDescent="0.45">
      <c r="A234" s="15">
        <v>43504</v>
      </c>
      <c r="B234">
        <v>99.276611000000003</v>
      </c>
      <c r="C234" t="b">
        <f t="shared" si="18"/>
        <v>1</v>
      </c>
      <c r="E234" s="15">
        <v>43504</v>
      </c>
      <c r="F234">
        <f t="shared" si="19"/>
        <v>99.276611000000003</v>
      </c>
      <c r="G234">
        <v>1051.9399410000001</v>
      </c>
      <c r="I234" s="13">
        <f t="shared" si="20"/>
        <v>1.5816427192320459E-2</v>
      </c>
      <c r="J234" s="13">
        <f t="shared" si="21"/>
        <v>-9.1834721451882206E-3</v>
      </c>
      <c r="L234" s="15">
        <v>43504</v>
      </c>
      <c r="M234">
        <f t="shared" si="22"/>
        <v>118.57803858086339</v>
      </c>
      <c r="N234">
        <f t="shared" si="23"/>
        <v>92.681115737472751</v>
      </c>
    </row>
    <row r="235" spans="1:14" x14ac:dyDescent="0.45">
      <c r="A235" s="15">
        <v>43507</v>
      </c>
      <c r="B235">
        <v>104.029831</v>
      </c>
      <c r="C235" t="b">
        <f t="shared" si="18"/>
        <v>1</v>
      </c>
      <c r="E235" s="15">
        <v>43507</v>
      </c>
      <c r="F235">
        <f t="shared" si="19"/>
        <v>104.029831</v>
      </c>
      <c r="G235">
        <v>1063.790039</v>
      </c>
      <c r="I235" s="13">
        <f t="shared" si="20"/>
        <v>4.7878548150681821E-2</v>
      </c>
      <c r="J235" s="13">
        <f t="shared" si="21"/>
        <v>1.1264994833008135E-2</v>
      </c>
      <c r="L235" s="15">
        <v>43507</v>
      </c>
      <c r="M235">
        <f t="shared" si="22"/>
        <v>124.25538291067066</v>
      </c>
      <c r="N235">
        <f t="shared" si="23"/>
        <v>93.725168027372817</v>
      </c>
    </row>
    <row r="236" spans="1:14" x14ac:dyDescent="0.45">
      <c r="A236" s="15">
        <v>43508</v>
      </c>
      <c r="B236">
        <v>106.193893</v>
      </c>
      <c r="C236" t="b">
        <f t="shared" si="18"/>
        <v>1</v>
      </c>
      <c r="E236" s="15">
        <v>43508</v>
      </c>
      <c r="F236">
        <f t="shared" si="19"/>
        <v>106.193893</v>
      </c>
      <c r="G236">
        <v>1076.089966</v>
      </c>
      <c r="I236" s="13">
        <f t="shared" si="20"/>
        <v>2.0802321595620121E-2</v>
      </c>
      <c r="J236" s="13">
        <f t="shared" si="21"/>
        <v>1.1562363388514463E-2</v>
      </c>
      <c r="L236" s="15">
        <v>43508</v>
      </c>
      <c r="M236">
        <f t="shared" si="22"/>
        <v>126.84018334596536</v>
      </c>
      <c r="N236">
        <f t="shared" si="23"/>
        <v>94.808852478754872</v>
      </c>
    </row>
    <row r="237" spans="1:14" x14ac:dyDescent="0.45">
      <c r="A237" s="15">
        <v>43509</v>
      </c>
      <c r="B237">
        <v>107.005432</v>
      </c>
      <c r="C237" t="b">
        <f t="shared" si="18"/>
        <v>1</v>
      </c>
      <c r="E237" s="15">
        <v>43509</v>
      </c>
      <c r="F237">
        <f t="shared" si="19"/>
        <v>107.005432</v>
      </c>
      <c r="G237">
        <v>1076.160034</v>
      </c>
      <c r="I237" s="13">
        <f t="shared" si="20"/>
        <v>7.6420496233242652E-3</v>
      </c>
      <c r="J237" s="13">
        <f t="shared" si="21"/>
        <v>6.511351486748751E-5</v>
      </c>
      <c r="L237" s="15">
        <v>43509</v>
      </c>
      <c r="M237">
        <f t="shared" si="22"/>
        <v>127.80950232132678</v>
      </c>
      <c r="N237">
        <f t="shared" si="23"/>
        <v>94.815025816380313</v>
      </c>
    </row>
    <row r="238" spans="1:14" x14ac:dyDescent="0.45">
      <c r="A238" s="15">
        <v>43510</v>
      </c>
      <c r="B238">
        <v>107.816948</v>
      </c>
      <c r="C238" t="b">
        <f t="shared" si="18"/>
        <v>1</v>
      </c>
      <c r="E238" s="15">
        <v>43510</v>
      </c>
      <c r="F238">
        <f t="shared" si="19"/>
        <v>107.816948</v>
      </c>
      <c r="G238">
        <v>1083.6099850000001</v>
      </c>
      <c r="I238" s="13">
        <f t="shared" si="20"/>
        <v>7.5838766764662058E-3</v>
      </c>
      <c r="J238" s="13">
        <f t="shared" si="21"/>
        <v>6.9227166635330573E-3</v>
      </c>
      <c r="L238" s="15">
        <v>43510</v>
      </c>
      <c r="M238">
        <f t="shared" si="22"/>
        <v>128.77879382501223</v>
      </c>
      <c r="N238">
        <f t="shared" si="23"/>
        <v>95.471403375552683</v>
      </c>
    </row>
    <row r="239" spans="1:14" x14ac:dyDescent="0.45">
      <c r="A239" s="15">
        <v>43511</v>
      </c>
      <c r="B239">
        <v>107.04407500000001</v>
      </c>
      <c r="C239" t="b">
        <f t="shared" si="18"/>
        <v>1</v>
      </c>
      <c r="E239" s="15">
        <v>43511</v>
      </c>
      <c r="F239">
        <f t="shared" si="19"/>
        <v>107.04407500000001</v>
      </c>
      <c r="G239">
        <v>1089.619995</v>
      </c>
      <c r="I239" s="13">
        <f t="shared" si="20"/>
        <v>-7.16838135689013E-3</v>
      </c>
      <c r="J239" s="13">
        <f t="shared" si="21"/>
        <v>5.5462851793488532E-3</v>
      </c>
      <c r="L239" s="15">
        <v>43511</v>
      </c>
      <c r="M239">
        <f t="shared" si="22"/>
        <v>127.85565832019421</v>
      </c>
      <c r="N239">
        <f t="shared" si="23"/>
        <v>96.00091500514614</v>
      </c>
    </row>
    <row r="240" spans="1:14" x14ac:dyDescent="0.45">
      <c r="A240" s="15">
        <v>43514</v>
      </c>
      <c r="B240">
        <v>106.503052</v>
      </c>
      <c r="C240" t="b">
        <f t="shared" si="18"/>
        <v>1</v>
      </c>
      <c r="E240" s="15">
        <v>43514</v>
      </c>
      <c r="F240">
        <f t="shared" si="19"/>
        <v>106.503052</v>
      </c>
      <c r="G240">
        <v>1092.2299800000001</v>
      </c>
      <c r="I240" s="13">
        <f t="shared" si="20"/>
        <v>-5.0542078111283084E-3</v>
      </c>
      <c r="J240" s="13">
        <f t="shared" si="21"/>
        <v>2.3953167269108455E-3</v>
      </c>
      <c r="L240" s="15">
        <v>43514</v>
      </c>
      <c r="M240">
        <f t="shared" si="22"/>
        <v>127.20944925321533</v>
      </c>
      <c r="N240">
        <f t="shared" si="23"/>
        <v>96.230867602656716</v>
      </c>
    </row>
    <row r="241" spans="1:14" x14ac:dyDescent="0.45">
      <c r="A241" s="15">
        <v>43515</v>
      </c>
      <c r="B241">
        <v>106.88949599999999</v>
      </c>
      <c r="C241" t="b">
        <f t="shared" si="18"/>
        <v>1</v>
      </c>
      <c r="E241" s="15">
        <v>43515</v>
      </c>
      <c r="F241">
        <f t="shared" si="19"/>
        <v>106.88949599999999</v>
      </c>
      <c r="G241">
        <v>1083.410034</v>
      </c>
      <c r="I241" s="13">
        <f t="shared" si="20"/>
        <v>3.6284781773201491E-3</v>
      </c>
      <c r="J241" s="13">
        <f t="shared" si="21"/>
        <v>-8.0751729594531474E-3</v>
      </c>
      <c r="L241" s="15">
        <v>43515</v>
      </c>
      <c r="M241">
        <f t="shared" si="22"/>
        <v>127.67102596377953</v>
      </c>
      <c r="N241">
        <f t="shared" si="23"/>
        <v>95.453786702727029</v>
      </c>
    </row>
    <row r="242" spans="1:14" x14ac:dyDescent="0.45">
      <c r="A242" s="15">
        <v>43516</v>
      </c>
      <c r="B242">
        <v>105.88475</v>
      </c>
      <c r="C242" t="b">
        <f t="shared" si="18"/>
        <v>1</v>
      </c>
      <c r="E242" s="15">
        <v>43516</v>
      </c>
      <c r="F242">
        <f t="shared" si="19"/>
        <v>105.88475</v>
      </c>
      <c r="G242">
        <v>1092.4799800000001</v>
      </c>
      <c r="I242" s="13">
        <f t="shared" si="20"/>
        <v>-9.3998572132849567E-3</v>
      </c>
      <c r="J242" s="13">
        <f t="shared" si="21"/>
        <v>8.371665127111072E-3</v>
      </c>
      <c r="L242" s="15">
        <v>43516</v>
      </c>
      <c r="M242">
        <f t="shared" si="22"/>
        <v>126.47093654944641</v>
      </c>
      <c r="N242">
        <f t="shared" si="23"/>
        <v>96.252893840116954</v>
      </c>
    </row>
    <row r="243" spans="1:14" x14ac:dyDescent="0.45">
      <c r="A243" s="15">
        <v>43517</v>
      </c>
      <c r="B243">
        <v>106.387131</v>
      </c>
      <c r="C243" t="b">
        <f t="shared" si="18"/>
        <v>1</v>
      </c>
      <c r="E243" s="15">
        <v>43517</v>
      </c>
      <c r="F243">
        <f t="shared" si="19"/>
        <v>106.387131</v>
      </c>
      <c r="G243">
        <v>1086.9799800000001</v>
      </c>
      <c r="I243" s="13">
        <f t="shared" si="20"/>
        <v>4.7446020319261706E-3</v>
      </c>
      <c r="J243" s="13">
        <f t="shared" si="21"/>
        <v>-5.0344171981988595E-3</v>
      </c>
      <c r="L243" s="15">
        <v>43517</v>
      </c>
      <c r="M243">
        <f t="shared" si="22"/>
        <v>127.07099081197852</v>
      </c>
      <c r="N243">
        <f t="shared" si="23"/>
        <v>95.768316615991864</v>
      </c>
    </row>
    <row r="244" spans="1:14" x14ac:dyDescent="0.45">
      <c r="A244" s="15">
        <v>43518</v>
      </c>
      <c r="B244">
        <v>105.69152800000001</v>
      </c>
      <c r="C244" t="b">
        <f t="shared" si="18"/>
        <v>1</v>
      </c>
      <c r="E244" s="15">
        <v>43518</v>
      </c>
      <c r="F244">
        <f t="shared" si="19"/>
        <v>105.69152800000001</v>
      </c>
      <c r="G244">
        <v>1091.660034</v>
      </c>
      <c r="I244" s="13">
        <f t="shared" si="20"/>
        <v>-6.538412996586862E-3</v>
      </c>
      <c r="J244" s="13">
        <f t="shared" si="21"/>
        <v>4.305556759196083E-3</v>
      </c>
      <c r="L244" s="15">
        <v>43518</v>
      </c>
      <c r="M244">
        <f t="shared" si="22"/>
        <v>126.24014819416431</v>
      </c>
      <c r="N244">
        <f t="shared" si="23"/>
        <v>96.180652538914686</v>
      </c>
    </row>
    <row r="245" spans="1:14" x14ac:dyDescent="0.45">
      <c r="A245" s="15">
        <v>43521</v>
      </c>
      <c r="B245">
        <v>105.69152800000001</v>
      </c>
      <c r="C245" t="b">
        <f t="shared" si="18"/>
        <v>1</v>
      </c>
      <c r="E245" s="15">
        <v>43521</v>
      </c>
      <c r="F245">
        <f t="shared" si="19"/>
        <v>105.69152800000001</v>
      </c>
      <c r="G245">
        <v>1097.0600589999999</v>
      </c>
      <c r="I245" s="13">
        <f t="shared" si="20"/>
        <v>0</v>
      </c>
      <c r="J245" s="13">
        <f t="shared" si="21"/>
        <v>4.9466178405501715E-3</v>
      </c>
      <c r="L245" s="15">
        <v>43521</v>
      </c>
      <c r="M245">
        <f t="shared" si="22"/>
        <v>126.24014819416431</v>
      </c>
      <c r="N245">
        <f t="shared" si="23"/>
        <v>96.656421470679433</v>
      </c>
    </row>
    <row r="246" spans="1:14" x14ac:dyDescent="0.45">
      <c r="A246" s="15">
        <v>43522</v>
      </c>
      <c r="B246">
        <v>106.65763099999999</v>
      </c>
      <c r="C246" t="b">
        <f t="shared" si="18"/>
        <v>1</v>
      </c>
      <c r="E246" s="15">
        <v>43522</v>
      </c>
      <c r="F246">
        <f t="shared" si="19"/>
        <v>106.65763099999999</v>
      </c>
      <c r="G246">
        <v>1101.4499510000001</v>
      </c>
      <c r="I246" s="13">
        <f t="shared" si="20"/>
        <v>9.1407799497420505E-3</v>
      </c>
      <c r="J246" s="13">
        <f t="shared" si="21"/>
        <v>4.0015056276878624E-3</v>
      </c>
      <c r="L246" s="15">
        <v>43522</v>
      </c>
      <c r="M246">
        <f t="shared" si="22"/>
        <v>127.39408160962999</v>
      </c>
      <c r="N246">
        <f t="shared" si="23"/>
        <v>97.043192685146522</v>
      </c>
    </row>
    <row r="247" spans="1:14" x14ac:dyDescent="0.45">
      <c r="A247" s="15">
        <v>43523</v>
      </c>
      <c r="B247">
        <v>105.69152800000001</v>
      </c>
      <c r="C247" t="b">
        <f t="shared" si="18"/>
        <v>1</v>
      </c>
      <c r="E247" s="15">
        <v>43523</v>
      </c>
      <c r="F247">
        <f t="shared" si="19"/>
        <v>105.69152800000001</v>
      </c>
      <c r="G247">
        <v>1099.420044</v>
      </c>
      <c r="I247" s="13">
        <f t="shared" si="20"/>
        <v>-9.0579829210719609E-3</v>
      </c>
      <c r="J247" s="13">
        <f t="shared" si="21"/>
        <v>-1.8429407511045826E-3</v>
      </c>
      <c r="L247" s="15">
        <v>43523</v>
      </c>
      <c r="M247">
        <f t="shared" si="22"/>
        <v>126.24014819416432</v>
      </c>
      <c r="N247">
        <f t="shared" si="23"/>
        <v>96.86434783072977</v>
      </c>
    </row>
    <row r="248" spans="1:14" x14ac:dyDescent="0.45">
      <c r="A248" s="15">
        <v>43524</v>
      </c>
      <c r="B248">
        <v>105.498299</v>
      </c>
      <c r="C248" t="b">
        <f t="shared" si="18"/>
        <v>1</v>
      </c>
      <c r="E248" s="15">
        <v>43524</v>
      </c>
      <c r="F248">
        <f t="shared" si="19"/>
        <v>105.498299</v>
      </c>
      <c r="G248">
        <v>1100.5600589999999</v>
      </c>
      <c r="I248" s="13">
        <f t="shared" si="20"/>
        <v>-1.8282354665172251E-3</v>
      </c>
      <c r="J248" s="13">
        <f t="shared" si="21"/>
        <v>1.0369239729814961E-3</v>
      </c>
      <c r="L248" s="15">
        <v>43524</v>
      </c>
      <c r="M248">
        <f t="shared" si="22"/>
        <v>126.00935147793736</v>
      </c>
      <c r="N248">
        <f t="shared" si="23"/>
        <v>96.964788795122672</v>
      </c>
    </row>
    <row r="249" spans="1:14" x14ac:dyDescent="0.45">
      <c r="A249" s="15">
        <v>43525</v>
      </c>
      <c r="B249">
        <v>104.300346</v>
      </c>
      <c r="C249" t="b">
        <f t="shared" si="18"/>
        <v>1</v>
      </c>
      <c r="E249" s="15">
        <v>43525</v>
      </c>
      <c r="F249">
        <f t="shared" si="19"/>
        <v>104.300346</v>
      </c>
      <c r="G249">
        <v>1104.780029</v>
      </c>
      <c r="I249" s="13">
        <f t="shared" si="20"/>
        <v>-1.1355187821559087E-2</v>
      </c>
      <c r="J249" s="13">
        <f t="shared" si="21"/>
        <v>3.8343841078827268E-3</v>
      </c>
      <c r="L249" s="15">
        <v>43525</v>
      </c>
      <c r="M249">
        <f t="shared" si="22"/>
        <v>124.57849162463252</v>
      </c>
      <c r="N249">
        <f t="shared" si="23"/>
        <v>97.336589040302897</v>
      </c>
    </row>
    <row r="250" spans="1:14" x14ac:dyDescent="0.45">
      <c r="A250" s="15">
        <v>43528</v>
      </c>
      <c r="B250">
        <v>104.686775</v>
      </c>
      <c r="C250" t="b">
        <f t="shared" si="18"/>
        <v>1</v>
      </c>
      <c r="E250" s="15">
        <v>43528</v>
      </c>
      <c r="F250">
        <f t="shared" si="19"/>
        <v>104.686775</v>
      </c>
      <c r="G250">
        <v>1111.150024</v>
      </c>
      <c r="I250" s="13">
        <f t="shared" si="20"/>
        <v>3.7049637400050628E-3</v>
      </c>
      <c r="J250" s="13">
        <f t="shared" si="21"/>
        <v>5.7658491580137028E-3</v>
      </c>
      <c r="L250" s="15">
        <v>43528</v>
      </c>
      <c r="M250">
        <f t="shared" si="22"/>
        <v>125.04005041888631</v>
      </c>
      <c r="N250">
        <f t="shared" si="23"/>
        <v>97.897817130264855</v>
      </c>
    </row>
    <row r="251" spans="1:14" x14ac:dyDescent="0.45">
      <c r="A251" s="15">
        <v>43529</v>
      </c>
      <c r="B251">
        <v>103.836609</v>
      </c>
      <c r="C251" t="b">
        <f t="shared" si="18"/>
        <v>1</v>
      </c>
      <c r="E251" s="15">
        <v>43529</v>
      </c>
      <c r="F251">
        <f t="shared" si="19"/>
        <v>103.836609</v>
      </c>
      <c r="G251">
        <v>1113.920044</v>
      </c>
      <c r="I251" s="13">
        <f t="shared" si="20"/>
        <v>-8.1210448979825989E-3</v>
      </c>
      <c r="J251" s="13">
        <f t="shared" si="21"/>
        <v>2.4929306935783657E-3</v>
      </c>
      <c r="L251" s="15">
        <v>43529</v>
      </c>
      <c r="M251">
        <f t="shared" si="22"/>
        <v>124.02459455538853</v>
      </c>
      <c r="N251">
        <f t="shared" si="23"/>
        <v>98.141869603423217</v>
      </c>
    </row>
    <row r="252" spans="1:14" x14ac:dyDescent="0.45">
      <c r="A252" s="15">
        <v>43530</v>
      </c>
      <c r="B252">
        <v>103.063728</v>
      </c>
      <c r="C252" t="b">
        <f t="shared" si="18"/>
        <v>1</v>
      </c>
      <c r="E252" s="15">
        <v>43530</v>
      </c>
      <c r="F252">
        <f t="shared" si="19"/>
        <v>103.063728</v>
      </c>
      <c r="G252">
        <v>1108.209961</v>
      </c>
      <c r="I252" s="13">
        <f t="shared" si="20"/>
        <v>-7.4432419109525805E-3</v>
      </c>
      <c r="J252" s="13">
        <f t="shared" si="21"/>
        <v>-5.1261156765753935E-3</v>
      </c>
      <c r="L252" s="15">
        <v>43530</v>
      </c>
      <c r="M252">
        <f t="shared" si="22"/>
        <v>123.10144949520496</v>
      </c>
      <c r="N252">
        <f t="shared" si="23"/>
        <v>97.638783027120695</v>
      </c>
    </row>
    <row r="253" spans="1:14" x14ac:dyDescent="0.45">
      <c r="A253" s="15">
        <v>43531</v>
      </c>
      <c r="B253">
        <v>102.986435</v>
      </c>
      <c r="C253" t="b">
        <f t="shared" si="18"/>
        <v>1</v>
      </c>
      <c r="E253" s="15">
        <v>43531</v>
      </c>
      <c r="F253">
        <f t="shared" si="19"/>
        <v>102.986435</v>
      </c>
      <c r="G253">
        <v>1105.8599850000001</v>
      </c>
      <c r="I253" s="13">
        <f t="shared" si="20"/>
        <v>-7.4995346568484944E-4</v>
      </c>
      <c r="J253" s="13">
        <f t="shared" si="21"/>
        <v>-2.1205151394592114E-3</v>
      </c>
      <c r="L253" s="15">
        <v>43531</v>
      </c>
      <c r="M253">
        <f t="shared" si="22"/>
        <v>123.0091291365252</v>
      </c>
      <c r="N253">
        <f t="shared" si="23"/>
        <v>97.431738509513309</v>
      </c>
    </row>
    <row r="254" spans="1:14" x14ac:dyDescent="0.45">
      <c r="A254" s="15">
        <v>43532</v>
      </c>
      <c r="B254">
        <v>101.208809</v>
      </c>
      <c r="C254" t="b">
        <f t="shared" si="18"/>
        <v>1</v>
      </c>
      <c r="E254" s="15">
        <v>43532</v>
      </c>
      <c r="F254">
        <f t="shared" si="19"/>
        <v>101.208809</v>
      </c>
      <c r="G254">
        <v>1101.459961</v>
      </c>
      <c r="I254" s="13">
        <f t="shared" si="20"/>
        <v>-1.726077808208426E-2</v>
      </c>
      <c r="J254" s="13">
        <f t="shared" si="21"/>
        <v>-3.9788255834214414E-3</v>
      </c>
      <c r="L254" s="15">
        <v>43532</v>
      </c>
      <c r="M254">
        <f t="shared" si="22"/>
        <v>120.8858958564292</v>
      </c>
      <c r="N254">
        <f t="shared" si="23"/>
        <v>97.044074615694427</v>
      </c>
    </row>
    <row r="255" spans="1:14" x14ac:dyDescent="0.45">
      <c r="A255" s="15">
        <v>43535</v>
      </c>
      <c r="B255">
        <v>103.025085</v>
      </c>
      <c r="C255" t="b">
        <f t="shared" si="18"/>
        <v>1</v>
      </c>
      <c r="E255" s="15">
        <v>43535</v>
      </c>
      <c r="F255">
        <f t="shared" si="19"/>
        <v>103.025085</v>
      </c>
      <c r="G255">
        <v>1103.9300539999999</v>
      </c>
      <c r="I255" s="13">
        <f t="shared" si="20"/>
        <v>1.7945829201487795E-2</v>
      </c>
      <c r="J255" s="13">
        <f t="shared" si="21"/>
        <v>2.2425626781361618E-3</v>
      </c>
      <c r="L255" s="15">
        <v>43535</v>
      </c>
      <c r="M255">
        <f t="shared" si="22"/>
        <v>123.05529349633753</v>
      </c>
      <c r="N255">
        <f t="shared" si="23"/>
        <v>97.261702035561839</v>
      </c>
    </row>
    <row r="256" spans="1:14" x14ac:dyDescent="0.45">
      <c r="A256" s="15">
        <v>43536</v>
      </c>
      <c r="B256">
        <v>105.807457</v>
      </c>
      <c r="C256" t="b">
        <f t="shared" si="18"/>
        <v>1</v>
      </c>
      <c r="E256" s="15">
        <v>43536</v>
      </c>
      <c r="F256">
        <f t="shared" si="19"/>
        <v>105.807457</v>
      </c>
      <c r="G256">
        <v>1112.030029</v>
      </c>
      <c r="I256" s="13">
        <f t="shared" si="20"/>
        <v>2.7006743066506411E-2</v>
      </c>
      <c r="J256" s="13">
        <f t="shared" si="21"/>
        <v>7.3373987515337191E-3</v>
      </c>
      <c r="L256" s="15">
        <v>43536</v>
      </c>
      <c r="M256">
        <f t="shared" si="22"/>
        <v>126.37861619076665</v>
      </c>
      <c r="N256">
        <f t="shared" si="23"/>
        <v>97.975349926649614</v>
      </c>
    </row>
    <row r="257" spans="1:14" x14ac:dyDescent="0.45">
      <c r="A257" s="15">
        <v>43537</v>
      </c>
      <c r="B257">
        <v>107.15999600000001</v>
      </c>
      <c r="C257" t="b">
        <f t="shared" si="18"/>
        <v>1</v>
      </c>
      <c r="E257" s="15">
        <v>43537</v>
      </c>
      <c r="F257">
        <f t="shared" si="19"/>
        <v>107.15999600000001</v>
      </c>
      <c r="G257">
        <v>1118.530029</v>
      </c>
      <c r="I257" s="13">
        <f t="shared" si="20"/>
        <v>1.2783021521819649E-2</v>
      </c>
      <c r="J257" s="13">
        <f t="shared" si="21"/>
        <v>5.8451658952458629E-3</v>
      </c>
      <c r="L257" s="15">
        <v>43537</v>
      </c>
      <c r="M257">
        <f t="shared" si="22"/>
        <v>127.994116761431</v>
      </c>
      <c r="N257">
        <f t="shared" si="23"/>
        <v>98.548032100615643</v>
      </c>
    </row>
    <row r="258" spans="1:14" x14ac:dyDescent="0.45">
      <c r="A258" s="15">
        <v>43538</v>
      </c>
      <c r="B258">
        <v>107.816948</v>
      </c>
      <c r="C258" t="b">
        <f t="shared" si="18"/>
        <v>1</v>
      </c>
      <c r="E258" s="15">
        <v>43538</v>
      </c>
      <c r="F258">
        <f t="shared" si="19"/>
        <v>107.816948</v>
      </c>
      <c r="G258">
        <v>1126.369995</v>
      </c>
      <c r="I258" s="13">
        <f t="shared" si="20"/>
        <v>6.1305713374606441E-3</v>
      </c>
      <c r="J258" s="13">
        <f t="shared" si="21"/>
        <v>7.0091689956766068E-3</v>
      </c>
      <c r="L258" s="15">
        <v>43538</v>
      </c>
      <c r="M258">
        <f t="shared" si="22"/>
        <v>128.77879382501223</v>
      </c>
      <c r="N258">
        <f t="shared" si="23"/>
        <v>99.238771911800228</v>
      </c>
    </row>
    <row r="259" spans="1:14" x14ac:dyDescent="0.45">
      <c r="A259" s="15">
        <v>43539</v>
      </c>
      <c r="B259">
        <v>108.203384</v>
      </c>
      <c r="C259" t="b">
        <f t="shared" ref="C259:C290" si="24">E259=A259</f>
        <v>1</v>
      </c>
      <c r="E259" s="15">
        <v>43539</v>
      </c>
      <c r="F259">
        <f t="shared" ref="F259:F322" si="25">VLOOKUP(E259,A259:B1498,2,0)</f>
        <v>108.203384</v>
      </c>
      <c r="G259">
        <v>1130.900024</v>
      </c>
      <c r="I259" s="13">
        <f t="shared" si="20"/>
        <v>3.5841860409553394E-3</v>
      </c>
      <c r="J259" s="13">
        <f t="shared" si="21"/>
        <v>4.0217948099727785E-3</v>
      </c>
      <c r="L259" s="15">
        <v>43539</v>
      </c>
      <c r="M259">
        <f t="shared" si="22"/>
        <v>129.24036098021091</v>
      </c>
      <c r="N259">
        <f t="shared" si="23"/>
        <v>99.637889889623182</v>
      </c>
    </row>
    <row r="260" spans="1:14" x14ac:dyDescent="0.45">
      <c r="A260" s="15">
        <v>43542</v>
      </c>
      <c r="B260">
        <v>109.787796</v>
      </c>
      <c r="C260" t="b">
        <f t="shared" si="24"/>
        <v>1</v>
      </c>
      <c r="E260" s="15">
        <v>43542</v>
      </c>
      <c r="F260">
        <f t="shared" si="25"/>
        <v>109.787796</v>
      </c>
      <c r="G260">
        <v>1133.8599850000001</v>
      </c>
      <c r="I260" s="13">
        <f t="shared" ref="I260:I323" si="26">F260/F259-1</f>
        <v>1.464290617749997E-2</v>
      </c>
      <c r="J260" s="13">
        <f t="shared" ref="J260:J323" si="27">G260/G259-1</f>
        <v>2.6173498427655151E-3</v>
      </c>
      <c r="L260" s="15">
        <v>43542</v>
      </c>
      <c r="M260">
        <f t="shared" ref="M260:M323" si="28">M259*(1+I260)</f>
        <v>131.13281546039036</v>
      </c>
      <c r="N260">
        <f t="shared" ref="N260:N323" si="29">N259*(1+J260)</f>
        <v>99.898677105059278</v>
      </c>
    </row>
    <row r="261" spans="1:14" x14ac:dyDescent="0.45">
      <c r="A261" s="15">
        <v>43543</v>
      </c>
      <c r="B261">
        <v>109.59457399999999</v>
      </c>
      <c r="C261" t="b">
        <f t="shared" si="24"/>
        <v>1</v>
      </c>
      <c r="E261" s="15">
        <v>43543</v>
      </c>
      <c r="F261">
        <f t="shared" si="25"/>
        <v>109.59457399999999</v>
      </c>
      <c r="G261">
        <v>1138.9799800000001</v>
      </c>
      <c r="I261" s="13">
        <f t="shared" si="26"/>
        <v>-1.7599588209240569E-3</v>
      </c>
      <c r="J261" s="13">
        <f t="shared" si="27"/>
        <v>4.5155443068218837E-3</v>
      </c>
      <c r="L261" s="15">
        <v>43543</v>
      </c>
      <c r="M261">
        <f t="shared" si="28"/>
        <v>130.90202710510823</v>
      </c>
      <c r="N261">
        <f t="shared" si="29"/>
        <v>100.34977400772007</v>
      </c>
    </row>
    <row r="262" spans="1:14" x14ac:dyDescent="0.45">
      <c r="A262" s="15">
        <v>43544</v>
      </c>
      <c r="B262">
        <v>109.86507400000001</v>
      </c>
      <c r="C262" t="b">
        <f t="shared" si="24"/>
        <v>1</v>
      </c>
      <c r="E262" s="15">
        <v>43544</v>
      </c>
      <c r="F262">
        <f t="shared" si="25"/>
        <v>109.86507400000001</v>
      </c>
      <c r="G262">
        <v>1135.5600589999999</v>
      </c>
      <c r="I262" s="13">
        <f t="shared" si="26"/>
        <v>2.4681878867471863E-3</v>
      </c>
      <c r="J262" s="13">
        <f t="shared" si="27"/>
        <v>-3.0026173067591033E-3</v>
      </c>
      <c r="L262" s="15">
        <v>43544</v>
      </c>
      <c r="M262">
        <f t="shared" si="28"/>
        <v>131.22511790275971</v>
      </c>
      <c r="N262">
        <f t="shared" si="29"/>
        <v>100.04846203955513</v>
      </c>
    </row>
    <row r="263" spans="1:14" x14ac:dyDescent="0.45">
      <c r="A263" s="15">
        <v>43545</v>
      </c>
      <c r="B263">
        <v>108.97627300000001</v>
      </c>
      <c r="C263" t="b">
        <f t="shared" si="24"/>
        <v>1</v>
      </c>
      <c r="E263" s="15">
        <v>43545</v>
      </c>
      <c r="F263">
        <f t="shared" si="25"/>
        <v>108.97627300000001</v>
      </c>
      <c r="G263">
        <v>1134.339966</v>
      </c>
      <c r="I263" s="13">
        <f t="shared" si="26"/>
        <v>-8.089932201747807E-3</v>
      </c>
      <c r="J263" s="13">
        <f t="shared" si="27"/>
        <v>-1.0744416293351211E-3</v>
      </c>
      <c r="L263" s="15">
        <v>43545</v>
      </c>
      <c r="M263">
        <f t="shared" si="28"/>
        <v>130.16351559576003</v>
      </c>
      <c r="N263">
        <f t="shared" si="29"/>
        <v>99.940965806988885</v>
      </c>
    </row>
    <row r="264" spans="1:14" x14ac:dyDescent="0.45">
      <c r="A264" s="15">
        <v>43546</v>
      </c>
      <c r="B264">
        <v>104.725426</v>
      </c>
      <c r="C264" t="b">
        <f t="shared" si="24"/>
        <v>1</v>
      </c>
      <c r="E264" s="15">
        <v>43546</v>
      </c>
      <c r="F264">
        <f t="shared" si="25"/>
        <v>104.725426</v>
      </c>
      <c r="G264">
        <v>1118.8100589999999</v>
      </c>
      <c r="I264" s="13">
        <f t="shared" si="26"/>
        <v>-3.9007087350106051E-2</v>
      </c>
      <c r="J264" s="13">
        <f t="shared" si="27"/>
        <v>-1.3690698966345116E-2</v>
      </c>
      <c r="L264" s="15">
        <v>43546</v>
      </c>
      <c r="M264">
        <f t="shared" si="28"/>
        <v>125.08621597311932</v>
      </c>
      <c r="N264">
        <f t="shared" si="29"/>
        <v>98.572704129719611</v>
      </c>
    </row>
    <row r="265" spans="1:14" x14ac:dyDescent="0.45">
      <c r="A265" s="15">
        <v>43549</v>
      </c>
      <c r="B265">
        <v>103.643394</v>
      </c>
      <c r="C265" t="b">
        <f t="shared" si="24"/>
        <v>1</v>
      </c>
      <c r="E265" s="15">
        <v>43549</v>
      </c>
      <c r="F265">
        <f t="shared" si="25"/>
        <v>103.643394</v>
      </c>
      <c r="G265">
        <v>1112.3599850000001</v>
      </c>
      <c r="I265" s="13">
        <f t="shared" si="26"/>
        <v>-1.0332084970463562E-2</v>
      </c>
      <c r="J265" s="13">
        <f t="shared" si="27"/>
        <v>-5.7651197789237996E-3</v>
      </c>
      <c r="L265" s="15">
        <v>43549</v>
      </c>
      <c r="M265">
        <f t="shared" si="28"/>
        <v>123.79381456105129</v>
      </c>
      <c r="N265">
        <f t="shared" si="29"/>
        <v>98.004420683479367</v>
      </c>
    </row>
    <row r="266" spans="1:14" x14ac:dyDescent="0.45">
      <c r="A266" s="15">
        <v>43550</v>
      </c>
      <c r="B266">
        <v>105.111862</v>
      </c>
      <c r="C266" t="b">
        <f t="shared" si="24"/>
        <v>1</v>
      </c>
      <c r="E266" s="15">
        <v>43550</v>
      </c>
      <c r="F266">
        <f t="shared" si="25"/>
        <v>105.111862</v>
      </c>
      <c r="G266">
        <v>1122.0200199999999</v>
      </c>
      <c r="I266" s="13">
        <f t="shared" si="26"/>
        <v>1.4168466926121726E-2</v>
      </c>
      <c r="J266" s="13">
        <f t="shared" si="27"/>
        <v>8.6842704971987761E-3</v>
      </c>
      <c r="L266" s="15">
        <v>43550</v>
      </c>
      <c r="M266">
        <f t="shared" si="28"/>
        <v>125.54778312831799</v>
      </c>
      <c r="N266">
        <f t="shared" si="29"/>
        <v>98.85551758261596</v>
      </c>
    </row>
    <row r="267" spans="1:14" x14ac:dyDescent="0.45">
      <c r="A267" s="15">
        <v>43551</v>
      </c>
      <c r="B267">
        <v>106.425766</v>
      </c>
      <c r="C267" t="b">
        <f t="shared" si="24"/>
        <v>1</v>
      </c>
      <c r="E267" s="15">
        <v>43551</v>
      </c>
      <c r="F267">
        <f t="shared" si="25"/>
        <v>106.425766</v>
      </c>
      <c r="G267">
        <v>1118</v>
      </c>
      <c r="I267" s="13">
        <f t="shared" si="26"/>
        <v>1.2500054465784283E-2</v>
      </c>
      <c r="J267" s="13">
        <f t="shared" si="27"/>
        <v>-3.582841596712294E-3</v>
      </c>
      <c r="L267" s="15">
        <v>43551</v>
      </c>
      <c r="M267">
        <f t="shared" si="28"/>
        <v>127.11713725548043</v>
      </c>
      <c r="N267">
        <f t="shared" si="29"/>
        <v>98.501333922156434</v>
      </c>
    </row>
    <row r="268" spans="1:14" x14ac:dyDescent="0.45">
      <c r="A268" s="15">
        <v>43552</v>
      </c>
      <c r="B268">
        <v>107.082703</v>
      </c>
      <c r="C268" t="b">
        <f t="shared" si="24"/>
        <v>1</v>
      </c>
      <c r="E268" s="15">
        <v>43552</v>
      </c>
      <c r="F268">
        <f t="shared" si="25"/>
        <v>107.082703</v>
      </c>
      <c r="G268">
        <v>1119.290039</v>
      </c>
      <c r="I268" s="13">
        <f t="shared" si="26"/>
        <v>6.1727251274845685E-3</v>
      </c>
      <c r="J268" s="13">
        <f t="shared" si="27"/>
        <v>1.1538810375670838E-3</v>
      </c>
      <c r="L268" s="15">
        <v>43552</v>
      </c>
      <c r="M268">
        <f t="shared" si="28"/>
        <v>127.90179640275124</v>
      </c>
      <c r="N268">
        <f t="shared" si="29"/>
        <v>98.614992743544278</v>
      </c>
    </row>
    <row r="269" spans="1:14" x14ac:dyDescent="0.45">
      <c r="A269" s="15">
        <v>43553</v>
      </c>
      <c r="B269">
        <v>108.203384</v>
      </c>
      <c r="C269" t="b">
        <f t="shared" si="24"/>
        <v>1</v>
      </c>
      <c r="E269" s="15">
        <v>43553</v>
      </c>
      <c r="F269">
        <f t="shared" si="25"/>
        <v>108.203384</v>
      </c>
      <c r="G269">
        <v>1122.869995</v>
      </c>
      <c r="I269" s="13">
        <f t="shared" si="26"/>
        <v>1.0465565106252628E-2</v>
      </c>
      <c r="J269" s="13">
        <f t="shared" si="27"/>
        <v>3.1984167420970877E-3</v>
      </c>
      <c r="L269" s="15">
        <v>43553</v>
      </c>
      <c r="M269">
        <f t="shared" si="28"/>
        <v>129.24036098021091</v>
      </c>
      <c r="N269">
        <f t="shared" si="29"/>
        <v>98.930404587357017</v>
      </c>
    </row>
    <row r="270" spans="1:14" x14ac:dyDescent="0.45">
      <c r="A270" s="15">
        <v>43556</v>
      </c>
      <c r="B270">
        <v>112.029144</v>
      </c>
      <c r="C270" t="b">
        <f t="shared" si="24"/>
        <v>1</v>
      </c>
      <c r="E270" s="15">
        <v>43556</v>
      </c>
      <c r="F270">
        <f t="shared" si="25"/>
        <v>112.029144</v>
      </c>
      <c r="G270">
        <v>1139.3000489999999</v>
      </c>
      <c r="I270" s="13">
        <f t="shared" si="26"/>
        <v>3.5357119699694461E-2</v>
      </c>
      <c r="J270" s="13">
        <f t="shared" si="27"/>
        <v>1.4632196134157116E-2</v>
      </c>
      <c r="L270" s="15">
        <v>43556</v>
      </c>
      <c r="M270">
        <f t="shared" si="28"/>
        <v>133.80992789341994</v>
      </c>
      <c r="N270">
        <f t="shared" si="29"/>
        <v>100.37797367091075</v>
      </c>
    </row>
    <row r="271" spans="1:14" x14ac:dyDescent="0.45">
      <c r="A271" s="15">
        <v>43557</v>
      </c>
      <c r="B271">
        <v>111.87457999999999</v>
      </c>
      <c r="C271" t="b">
        <f t="shared" si="24"/>
        <v>1</v>
      </c>
      <c r="E271" s="15">
        <v>43557</v>
      </c>
      <c r="F271">
        <f t="shared" si="25"/>
        <v>111.87457999999999</v>
      </c>
      <c r="G271">
        <v>1147</v>
      </c>
      <c r="I271" s="13">
        <f t="shared" si="26"/>
        <v>-1.3796767026981183E-3</v>
      </c>
      <c r="J271" s="13">
        <f t="shared" si="27"/>
        <v>6.7584926435828585E-3</v>
      </c>
      <c r="L271" s="15">
        <v>43557</v>
      </c>
      <c r="M271">
        <f t="shared" si="28"/>
        <v>133.62531345331567</v>
      </c>
      <c r="N271">
        <f t="shared" si="29"/>
        <v>101.05637746754336</v>
      </c>
    </row>
    <row r="272" spans="1:14" x14ac:dyDescent="0.45">
      <c r="A272" s="15">
        <v>43558</v>
      </c>
      <c r="B272">
        <v>115.004745</v>
      </c>
      <c r="C272" t="b">
        <f t="shared" si="24"/>
        <v>1</v>
      </c>
      <c r="E272" s="15">
        <v>43558</v>
      </c>
      <c r="F272">
        <f t="shared" si="25"/>
        <v>115.004745</v>
      </c>
      <c r="G272">
        <v>1146.9399410000001</v>
      </c>
      <c r="I272" s="13">
        <f t="shared" si="26"/>
        <v>2.7979233530977421E-2</v>
      </c>
      <c r="J272" s="13">
        <f t="shared" si="27"/>
        <v>-5.2361813426271553E-5</v>
      </c>
      <c r="L272" s="15">
        <v>43558</v>
      </c>
      <c r="M272">
        <f t="shared" si="28"/>
        <v>137.36404730407605</v>
      </c>
      <c r="N272">
        <f t="shared" si="29"/>
        <v>101.05108597236087</v>
      </c>
    </row>
    <row r="273" spans="1:14" x14ac:dyDescent="0.45">
      <c r="A273" s="15">
        <v>43559</v>
      </c>
      <c r="B273">
        <v>114.93431099999999</v>
      </c>
      <c r="C273" t="b">
        <f t="shared" si="24"/>
        <v>1</v>
      </c>
      <c r="E273" s="15">
        <v>43559</v>
      </c>
      <c r="F273">
        <f t="shared" si="25"/>
        <v>114.93431099999999</v>
      </c>
      <c r="G273">
        <v>1137.6800539999999</v>
      </c>
      <c r="I273" s="13">
        <f t="shared" si="26"/>
        <v>-6.1244429523321653E-4</v>
      </c>
      <c r="J273" s="13">
        <f t="shared" si="27"/>
        <v>-8.0735587531519659E-3</v>
      </c>
      <c r="L273" s="15">
        <v>43559</v>
      </c>
      <c r="M273">
        <f t="shared" si="28"/>
        <v>137.27991947693454</v>
      </c>
      <c r="N273">
        <f t="shared" si="29"/>
        <v>100.23524409269319</v>
      </c>
    </row>
    <row r="274" spans="1:14" x14ac:dyDescent="0.45">
      <c r="A274" s="15">
        <v>43560</v>
      </c>
      <c r="B274">
        <v>115.677834</v>
      </c>
      <c r="C274" t="b">
        <f t="shared" si="24"/>
        <v>1</v>
      </c>
      <c r="E274" s="15">
        <v>43560</v>
      </c>
      <c r="F274">
        <f t="shared" si="25"/>
        <v>115.677834</v>
      </c>
      <c r="G274">
        <v>1143.9300539999999</v>
      </c>
      <c r="I274" s="13">
        <f t="shared" si="26"/>
        <v>6.4691126046774183E-3</v>
      </c>
      <c r="J274" s="13">
        <f t="shared" si="27"/>
        <v>5.4936359111030786E-3</v>
      </c>
      <c r="L274" s="15">
        <v>43560</v>
      </c>
      <c r="M274">
        <f t="shared" si="28"/>
        <v>138.16799873439189</v>
      </c>
      <c r="N274">
        <f t="shared" si="29"/>
        <v>100.785900029199</v>
      </c>
    </row>
    <row r="275" spans="1:14" x14ac:dyDescent="0.45">
      <c r="A275" s="15">
        <v>43563</v>
      </c>
      <c r="B275">
        <v>116.264832</v>
      </c>
      <c r="C275" t="b">
        <f t="shared" si="24"/>
        <v>1</v>
      </c>
      <c r="E275" s="15">
        <v>43563</v>
      </c>
      <c r="F275">
        <f t="shared" si="25"/>
        <v>116.264832</v>
      </c>
      <c r="G275">
        <v>1143.6899410000001</v>
      </c>
      <c r="I275" s="13">
        <f t="shared" si="26"/>
        <v>5.0744207399318064E-3</v>
      </c>
      <c r="J275" s="13">
        <f t="shared" si="27"/>
        <v>-2.0990181974867017E-4</v>
      </c>
      <c r="L275" s="15">
        <v>43563</v>
      </c>
      <c r="M275">
        <f t="shared" si="28"/>
        <v>138.86912129276456</v>
      </c>
      <c r="N275">
        <f t="shared" si="29"/>
        <v>100.76474488537787</v>
      </c>
    </row>
    <row r="276" spans="1:14" x14ac:dyDescent="0.45">
      <c r="A276" s="15">
        <v>43564</v>
      </c>
      <c r="B276">
        <v>116.108307</v>
      </c>
      <c r="C276" t="b">
        <f t="shared" si="24"/>
        <v>1</v>
      </c>
      <c r="E276" s="15">
        <v>43564</v>
      </c>
      <c r="F276">
        <f t="shared" si="25"/>
        <v>116.108307</v>
      </c>
      <c r="G276">
        <v>1139.6800539999999</v>
      </c>
      <c r="I276" s="13">
        <f t="shared" si="26"/>
        <v>-1.3462798449663804E-3</v>
      </c>
      <c r="J276" s="13">
        <f t="shared" si="27"/>
        <v>-3.5060962383686167E-3</v>
      </c>
      <c r="L276" s="15">
        <v>43564</v>
      </c>
      <c r="M276">
        <f t="shared" si="28"/>
        <v>138.68216459367991</v>
      </c>
      <c r="N276">
        <f t="shared" si="29"/>
        <v>100.41145399237507</v>
      </c>
    </row>
    <row r="277" spans="1:14" x14ac:dyDescent="0.45">
      <c r="A277" s="15">
        <v>43565</v>
      </c>
      <c r="B277">
        <v>116.421364</v>
      </c>
      <c r="C277" t="b">
        <f t="shared" si="24"/>
        <v>1</v>
      </c>
      <c r="E277" s="15">
        <v>43565</v>
      </c>
      <c r="F277">
        <f t="shared" si="25"/>
        <v>116.421364</v>
      </c>
      <c r="G277">
        <v>1140.8100589999999</v>
      </c>
      <c r="I277" s="13">
        <f t="shared" si="26"/>
        <v>2.6962498040730143E-3</v>
      </c>
      <c r="J277" s="13">
        <f t="shared" si="27"/>
        <v>9.9151072797476481E-4</v>
      </c>
      <c r="L277" s="15">
        <v>43565</v>
      </c>
      <c r="M277">
        <f t="shared" si="28"/>
        <v>139.05608635279404</v>
      </c>
      <c r="N277">
        <f t="shared" si="29"/>
        <v>100.51101302622006</v>
      </c>
    </row>
    <row r="278" spans="1:14" x14ac:dyDescent="0.45">
      <c r="A278" s="15">
        <v>43566</v>
      </c>
      <c r="B278">
        <v>116.18656900000001</v>
      </c>
      <c r="C278" t="b">
        <f t="shared" si="24"/>
        <v>1</v>
      </c>
      <c r="E278" s="15">
        <v>43566</v>
      </c>
      <c r="F278">
        <f t="shared" si="25"/>
        <v>116.18656900000001</v>
      </c>
      <c r="G278">
        <v>1140.420044</v>
      </c>
      <c r="I278" s="13">
        <f t="shared" si="26"/>
        <v>-2.0167690184422771E-3</v>
      </c>
      <c r="J278" s="13">
        <f t="shared" si="27"/>
        <v>-3.4187549182540522E-4</v>
      </c>
      <c r="L278" s="15">
        <v>43566</v>
      </c>
      <c r="M278">
        <f t="shared" si="28"/>
        <v>138.77564234601189</v>
      </c>
      <c r="N278">
        <f t="shared" si="29"/>
        <v>100.47665077420784</v>
      </c>
    </row>
    <row r="279" spans="1:14" x14ac:dyDescent="0.45">
      <c r="A279" s="15">
        <v>43567</v>
      </c>
      <c r="B279">
        <v>116.2257</v>
      </c>
      <c r="C279" t="b">
        <f t="shared" si="24"/>
        <v>1</v>
      </c>
      <c r="E279" s="15">
        <v>43567</v>
      </c>
      <c r="F279">
        <f t="shared" si="25"/>
        <v>116.2257</v>
      </c>
      <c r="G279">
        <v>1144.089966</v>
      </c>
      <c r="I279" s="13">
        <f t="shared" si="26"/>
        <v>3.3679452226520468E-4</v>
      </c>
      <c r="J279" s="13">
        <f t="shared" si="27"/>
        <v>3.2180441051596897E-3</v>
      </c>
      <c r="L279" s="15">
        <v>43567</v>
      </c>
      <c r="M279">
        <f t="shared" si="28"/>
        <v>138.82238122217785</v>
      </c>
      <c r="N279">
        <f t="shared" si="29"/>
        <v>100.79998906793797</v>
      </c>
    </row>
    <row r="280" spans="1:14" x14ac:dyDescent="0.45">
      <c r="A280" s="15">
        <v>43570</v>
      </c>
      <c r="B280">
        <v>117.438828</v>
      </c>
      <c r="C280" t="b">
        <f t="shared" si="24"/>
        <v>1</v>
      </c>
      <c r="E280" s="15">
        <v>43570</v>
      </c>
      <c r="F280">
        <f t="shared" si="25"/>
        <v>117.438828</v>
      </c>
      <c r="G280">
        <v>1149.1899410000001</v>
      </c>
      <c r="I280" s="13">
        <f t="shared" si="26"/>
        <v>1.0437691491640866E-2</v>
      </c>
      <c r="J280" s="13">
        <f t="shared" si="27"/>
        <v>4.4576695465923244E-3</v>
      </c>
      <c r="L280" s="15">
        <v>43570</v>
      </c>
      <c r="M280">
        <f t="shared" si="28"/>
        <v>140.27136640950991</v>
      </c>
      <c r="N280">
        <f t="shared" si="29"/>
        <v>101.24932210950296</v>
      </c>
    </row>
    <row r="281" spans="1:14" x14ac:dyDescent="0.45">
      <c r="A281" s="15">
        <v>43571</v>
      </c>
      <c r="B281">
        <v>118.104095</v>
      </c>
      <c r="C281" t="b">
        <f t="shared" si="24"/>
        <v>1</v>
      </c>
      <c r="E281" s="15">
        <v>43571</v>
      </c>
      <c r="F281">
        <f t="shared" si="25"/>
        <v>118.104095</v>
      </c>
      <c r="G281">
        <v>1149.7700199999999</v>
      </c>
      <c r="I281" s="13">
        <f t="shared" si="26"/>
        <v>5.6647959736111364E-3</v>
      </c>
      <c r="J281" s="13">
        <f t="shared" si="27"/>
        <v>5.0477208275512275E-4</v>
      </c>
      <c r="L281" s="15">
        <v>43571</v>
      </c>
      <c r="M281">
        <f t="shared" si="28"/>
        <v>141.06597508115942</v>
      </c>
      <c r="N281">
        <f t="shared" si="29"/>
        <v>101.30042994070172</v>
      </c>
    </row>
    <row r="282" spans="1:14" x14ac:dyDescent="0.45">
      <c r="A282" s="15">
        <v>43572</v>
      </c>
      <c r="B282">
        <v>118.064964</v>
      </c>
      <c r="C282" t="b">
        <f t="shared" si="24"/>
        <v>1</v>
      </c>
      <c r="E282" s="15">
        <v>43572</v>
      </c>
      <c r="F282">
        <f t="shared" si="25"/>
        <v>118.064964</v>
      </c>
      <c r="G282">
        <v>1141.51001</v>
      </c>
      <c r="I282" s="13">
        <f t="shared" si="26"/>
        <v>-3.3132636086830036E-4</v>
      </c>
      <c r="J282" s="13">
        <f t="shared" si="27"/>
        <v>-7.1840540771797023E-3</v>
      </c>
      <c r="L282" s="15">
        <v>43572</v>
      </c>
      <c r="M282">
        <f t="shared" si="28"/>
        <v>141.01923620499343</v>
      </c>
      <c r="N282">
        <f t="shared" si="29"/>
        <v>100.57268217396616</v>
      </c>
    </row>
    <row r="283" spans="1:14" x14ac:dyDescent="0.45">
      <c r="A283" s="15">
        <v>43578</v>
      </c>
      <c r="B283">
        <v>118.338898</v>
      </c>
      <c r="C283" t="b">
        <f t="shared" si="24"/>
        <v>1</v>
      </c>
      <c r="E283" s="15">
        <v>43578</v>
      </c>
      <c r="F283">
        <f t="shared" si="25"/>
        <v>118.338898</v>
      </c>
      <c r="G283">
        <v>1143.73999</v>
      </c>
      <c r="I283" s="13">
        <f t="shared" si="26"/>
        <v>2.320197209394026E-3</v>
      </c>
      <c r="J283" s="13">
        <f t="shared" si="27"/>
        <v>1.953535212538382E-3</v>
      </c>
      <c r="L283" s="15">
        <v>43578</v>
      </c>
      <c r="M283">
        <f t="shared" si="28"/>
        <v>141.34642864330715</v>
      </c>
      <c r="N283">
        <f t="shared" si="29"/>
        <v>100.76915445001244</v>
      </c>
    </row>
    <row r="284" spans="1:14" x14ac:dyDescent="0.45">
      <c r="A284" s="15">
        <v>43579</v>
      </c>
      <c r="B284">
        <v>119.512894</v>
      </c>
      <c r="C284" t="b">
        <f t="shared" si="24"/>
        <v>1</v>
      </c>
      <c r="E284" s="15">
        <v>43579</v>
      </c>
      <c r="F284">
        <f t="shared" si="25"/>
        <v>119.512894</v>
      </c>
      <c r="G284">
        <v>1143.119995</v>
      </c>
      <c r="I284" s="13">
        <f t="shared" si="26"/>
        <v>9.9206264367950325E-3</v>
      </c>
      <c r="J284" s="13">
        <f t="shared" si="27"/>
        <v>-5.4207687535701155E-4</v>
      </c>
      <c r="L284" s="15">
        <v>43579</v>
      </c>
      <c r="M284">
        <f t="shared" si="28"/>
        <v>142.7486737600525</v>
      </c>
      <c r="N284">
        <f t="shared" si="29"/>
        <v>100.71452982163581</v>
      </c>
    </row>
    <row r="285" spans="1:14" x14ac:dyDescent="0.45">
      <c r="A285" s="15">
        <v>43580</v>
      </c>
      <c r="B285">
        <v>119.865089</v>
      </c>
      <c r="C285" t="b">
        <f t="shared" si="24"/>
        <v>1</v>
      </c>
      <c r="E285" s="15">
        <v>43580</v>
      </c>
      <c r="F285">
        <f t="shared" si="25"/>
        <v>119.865089</v>
      </c>
      <c r="G285">
        <v>1139.420044</v>
      </c>
      <c r="I285" s="13">
        <f t="shared" si="26"/>
        <v>2.9469205222325545E-3</v>
      </c>
      <c r="J285" s="13">
        <f t="shared" si="27"/>
        <v>-3.2367126952407288E-3</v>
      </c>
      <c r="L285" s="15">
        <v>43580</v>
      </c>
      <c r="M285">
        <f t="shared" si="28"/>
        <v>143.16934275627747</v>
      </c>
      <c r="N285">
        <f t="shared" si="29"/>
        <v>100.38854582436691</v>
      </c>
    </row>
    <row r="286" spans="1:14" x14ac:dyDescent="0.45">
      <c r="A286" s="15">
        <v>43581</v>
      </c>
      <c r="B286">
        <v>119.121567</v>
      </c>
      <c r="C286" t="b">
        <f t="shared" si="24"/>
        <v>1</v>
      </c>
      <c r="E286" s="15">
        <v>43581</v>
      </c>
      <c r="F286">
        <f t="shared" si="25"/>
        <v>119.121567</v>
      </c>
      <c r="G286">
        <v>1155.959961</v>
      </c>
      <c r="I286" s="13">
        <f t="shared" si="26"/>
        <v>-6.2029904303495531E-3</v>
      </c>
      <c r="J286" s="13">
        <f t="shared" si="27"/>
        <v>1.4516083938576063E-2</v>
      </c>
      <c r="L286" s="15">
        <v>43581</v>
      </c>
      <c r="M286">
        <f t="shared" si="28"/>
        <v>142.28126469324084</v>
      </c>
      <c r="N286">
        <f t="shared" si="29"/>
        <v>101.84579438202502</v>
      </c>
    </row>
    <row r="287" spans="1:14" x14ac:dyDescent="0.45">
      <c r="A287" s="15">
        <v>43584</v>
      </c>
      <c r="B287">
        <v>118.49543</v>
      </c>
      <c r="C287" t="b">
        <f t="shared" si="24"/>
        <v>1</v>
      </c>
      <c r="E287" s="15">
        <v>43584</v>
      </c>
      <c r="F287">
        <f t="shared" si="25"/>
        <v>118.49543</v>
      </c>
      <c r="G287">
        <v>1157.1899410000001</v>
      </c>
      <c r="I287" s="13">
        <f t="shared" si="26"/>
        <v>-5.2562857908006189E-3</v>
      </c>
      <c r="J287" s="13">
        <f t="shared" si="27"/>
        <v>1.0640333934541779E-3</v>
      </c>
      <c r="L287" s="15">
        <v>43584</v>
      </c>
      <c r="M287">
        <f t="shared" si="28"/>
        <v>141.53339370333663</v>
      </c>
      <c r="N287">
        <f t="shared" si="29"/>
        <v>101.95416170823036</v>
      </c>
    </row>
    <row r="288" spans="1:14" x14ac:dyDescent="0.45">
      <c r="A288" s="15">
        <v>43585</v>
      </c>
      <c r="B288">
        <v>117.791031</v>
      </c>
      <c r="C288" t="b">
        <f t="shared" si="24"/>
        <v>1</v>
      </c>
      <c r="E288" s="15">
        <v>43585</v>
      </c>
      <c r="F288">
        <f t="shared" si="25"/>
        <v>117.791031</v>
      </c>
      <c r="G288">
        <v>1149.6899410000001</v>
      </c>
      <c r="I288" s="13">
        <f t="shared" si="26"/>
        <v>-5.9445246116242023E-3</v>
      </c>
      <c r="J288" s="13">
        <f t="shared" si="27"/>
        <v>-6.4812177623310152E-3</v>
      </c>
      <c r="L288" s="15">
        <v>43585</v>
      </c>
      <c r="M288">
        <f t="shared" si="28"/>
        <v>140.69204496110044</v>
      </c>
      <c r="N288">
        <f t="shared" si="29"/>
        <v>101.2933745844234</v>
      </c>
    </row>
    <row r="289" spans="1:14" x14ac:dyDescent="0.45">
      <c r="A289" s="15">
        <v>43587</v>
      </c>
      <c r="B289">
        <v>115.364769</v>
      </c>
      <c r="C289" t="b">
        <f t="shared" si="24"/>
        <v>1</v>
      </c>
      <c r="E289" s="15">
        <v>43587</v>
      </c>
      <c r="F289">
        <f t="shared" si="25"/>
        <v>115.364769</v>
      </c>
      <c r="G289">
        <v>1141.6899410000001</v>
      </c>
      <c r="I289" s="13">
        <f t="shared" si="26"/>
        <v>-2.0598019895080144E-2</v>
      </c>
      <c r="J289" s="13">
        <f t="shared" si="27"/>
        <v>-6.9583978381524414E-3</v>
      </c>
      <c r="L289" s="15">
        <v>43587</v>
      </c>
      <c r="M289">
        <f t="shared" si="28"/>
        <v>137.79406741991218</v>
      </c>
      <c r="N289">
        <f t="shared" si="29"/>
        <v>100.58853498569599</v>
      </c>
    </row>
    <row r="290" spans="1:14" x14ac:dyDescent="0.45">
      <c r="A290" s="15">
        <v>43588</v>
      </c>
      <c r="B290">
        <v>115.286491</v>
      </c>
      <c r="C290" t="b">
        <f t="shared" si="24"/>
        <v>1</v>
      </c>
      <c r="E290" s="15">
        <v>43588</v>
      </c>
      <c r="F290">
        <f t="shared" si="25"/>
        <v>115.286491</v>
      </c>
      <c r="G290">
        <v>1138.6400149999999</v>
      </c>
      <c r="I290" s="13">
        <f t="shared" si="26"/>
        <v>-6.7852604116946935E-4</v>
      </c>
      <c r="J290" s="13">
        <f t="shared" si="27"/>
        <v>-2.671413569019232E-3</v>
      </c>
      <c r="L290" s="15">
        <v>43588</v>
      </c>
      <c r="M290">
        <f t="shared" si="28"/>
        <v>137.7005705568491</v>
      </c>
      <c r="N290">
        <f t="shared" si="29"/>
        <v>100.31982140844744</v>
      </c>
    </row>
    <row r="291" spans="1:14" x14ac:dyDescent="0.45">
      <c r="A291" s="15">
        <v>43591</v>
      </c>
      <c r="B291">
        <v>113.642914</v>
      </c>
      <c r="C291" t="b">
        <f t="shared" ref="C291:C322" si="30">E291=A291</f>
        <v>1</v>
      </c>
      <c r="E291" s="15">
        <v>43591</v>
      </c>
      <c r="F291">
        <f t="shared" si="25"/>
        <v>113.642914</v>
      </c>
      <c r="G291">
        <v>1130.0600589999999</v>
      </c>
      <c r="I291" s="13">
        <f t="shared" si="26"/>
        <v>-1.4256457853331628E-2</v>
      </c>
      <c r="J291" s="13">
        <f t="shared" si="27"/>
        <v>-7.5352665346123393E-3</v>
      </c>
      <c r="L291" s="15">
        <v>43591</v>
      </c>
      <c r="M291">
        <f t="shared" si="28"/>
        <v>135.73744817632567</v>
      </c>
      <c r="N291">
        <f t="shared" si="29"/>
        <v>99.563884815430072</v>
      </c>
    </row>
    <row r="292" spans="1:14" x14ac:dyDescent="0.45">
      <c r="A292" s="15">
        <v>43592</v>
      </c>
      <c r="B292">
        <v>115.090828</v>
      </c>
      <c r="C292" t="b">
        <f t="shared" si="30"/>
        <v>1</v>
      </c>
      <c r="E292" s="15">
        <v>43592</v>
      </c>
      <c r="F292">
        <f t="shared" si="25"/>
        <v>115.090828</v>
      </c>
      <c r="G292">
        <v>1133.76001</v>
      </c>
      <c r="I292" s="13">
        <f t="shared" si="26"/>
        <v>1.2740908773247295E-2</v>
      </c>
      <c r="J292" s="13">
        <f t="shared" si="27"/>
        <v>3.2741189023830497E-3</v>
      </c>
      <c r="L292" s="15">
        <v>43592</v>
      </c>
      <c r="M292">
        <f t="shared" si="28"/>
        <v>137.46686662065363</v>
      </c>
      <c r="N292">
        <f t="shared" si="29"/>
        <v>99.889868812698964</v>
      </c>
    </row>
    <row r="293" spans="1:14" x14ac:dyDescent="0.45">
      <c r="A293" s="15">
        <v>43593</v>
      </c>
      <c r="B293">
        <v>114.386444</v>
      </c>
      <c r="C293" t="b">
        <f t="shared" si="30"/>
        <v>1</v>
      </c>
      <c r="E293" s="15">
        <v>43593</v>
      </c>
      <c r="F293">
        <f t="shared" si="25"/>
        <v>114.386444</v>
      </c>
      <c r="G293">
        <v>1138.959961</v>
      </c>
      <c r="I293" s="13">
        <f t="shared" si="26"/>
        <v>-6.1202444385924926E-3</v>
      </c>
      <c r="J293" s="13">
        <f t="shared" si="27"/>
        <v>4.586465349046831E-3</v>
      </c>
      <c r="L293" s="15">
        <v>43593</v>
      </c>
      <c r="M293">
        <f t="shared" si="28"/>
        <v>136.62553579472785</v>
      </c>
      <c r="N293">
        <f t="shared" si="29"/>
        <v>100.34801023472924</v>
      </c>
    </row>
    <row r="294" spans="1:14" x14ac:dyDescent="0.45">
      <c r="A294" s="15">
        <v>43594</v>
      </c>
      <c r="B294">
        <v>110.08178700000001</v>
      </c>
      <c r="C294" t="b">
        <f t="shared" si="30"/>
        <v>1</v>
      </c>
      <c r="E294" s="15">
        <v>43594</v>
      </c>
      <c r="F294">
        <f t="shared" si="25"/>
        <v>110.08178700000001</v>
      </c>
      <c r="G294">
        <v>1125.9300539999999</v>
      </c>
      <c r="I294" s="13">
        <f t="shared" si="26"/>
        <v>-3.7632579958513213E-2</v>
      </c>
      <c r="J294" s="13">
        <f t="shared" si="27"/>
        <v>-1.1440180029296143E-2</v>
      </c>
      <c r="L294" s="15">
        <v>43594</v>
      </c>
      <c r="M294">
        <f t="shared" si="28"/>
        <v>131.48396439455806</v>
      </c>
      <c r="N294">
        <f t="shared" si="29"/>
        <v>99.200010932062284</v>
      </c>
    </row>
    <row r="295" spans="1:14" x14ac:dyDescent="0.45">
      <c r="A295" s="15">
        <v>43595</v>
      </c>
      <c r="B295">
        <v>111.529709</v>
      </c>
      <c r="C295" t="b">
        <f t="shared" si="30"/>
        <v>1</v>
      </c>
      <c r="E295" s="15">
        <v>43595</v>
      </c>
      <c r="F295">
        <f t="shared" si="25"/>
        <v>111.529709</v>
      </c>
      <c r="G295">
        <v>1125.1099850000001</v>
      </c>
      <c r="I295" s="13">
        <f t="shared" si="26"/>
        <v>1.315314766828779E-2</v>
      </c>
      <c r="J295" s="13">
        <f t="shared" si="27"/>
        <v>-7.2834808617683322E-4</v>
      </c>
      <c r="L295" s="15">
        <v>43595</v>
      </c>
      <c r="M295">
        <f t="shared" si="28"/>
        <v>133.21339239425157</v>
      </c>
      <c r="N295">
        <f t="shared" si="29"/>
        <v>99.127758793951202</v>
      </c>
    </row>
    <row r="296" spans="1:14" x14ac:dyDescent="0.45">
      <c r="A296" s="15">
        <v>43598</v>
      </c>
      <c r="B296">
        <v>106.481522</v>
      </c>
      <c r="C296" t="b">
        <f t="shared" si="30"/>
        <v>1</v>
      </c>
      <c r="E296" s="15">
        <v>43598</v>
      </c>
      <c r="F296">
        <f t="shared" si="25"/>
        <v>106.481522</v>
      </c>
      <c r="G296">
        <v>1101.880005</v>
      </c>
      <c r="I296" s="13">
        <f t="shared" si="26"/>
        <v>-4.5263159433151512E-2</v>
      </c>
      <c r="J296" s="13">
        <f t="shared" si="27"/>
        <v>-2.0646852583038888E-2</v>
      </c>
      <c r="L296" s="15">
        <v>43598</v>
      </c>
      <c r="M296">
        <f t="shared" si="28"/>
        <v>127.18373337567959</v>
      </c>
      <c r="N296">
        <f t="shared" si="29"/>
        <v>97.08108257124546</v>
      </c>
    </row>
    <row r="297" spans="1:14" x14ac:dyDescent="0.45">
      <c r="A297" s="15">
        <v>43599</v>
      </c>
      <c r="B297">
        <v>109.377388</v>
      </c>
      <c r="C297" t="b">
        <f t="shared" si="30"/>
        <v>1</v>
      </c>
      <c r="E297" s="15">
        <v>43599</v>
      </c>
      <c r="F297">
        <f t="shared" si="25"/>
        <v>109.377388</v>
      </c>
      <c r="G297">
        <v>1108.869995</v>
      </c>
      <c r="I297" s="13">
        <f t="shared" si="26"/>
        <v>2.7195948607872111E-2</v>
      </c>
      <c r="J297" s="13">
        <f t="shared" si="27"/>
        <v>6.343694384399079E-3</v>
      </c>
      <c r="L297" s="15">
        <v>43599</v>
      </c>
      <c r="M297">
        <f t="shared" si="28"/>
        <v>130.64261565232189</v>
      </c>
      <c r="N297">
        <f t="shared" si="29"/>
        <v>97.696935289584047</v>
      </c>
    </row>
    <row r="298" spans="1:14" x14ac:dyDescent="0.45">
      <c r="A298" s="15">
        <v>43600</v>
      </c>
      <c r="B298">
        <v>107.851181</v>
      </c>
      <c r="C298" t="b">
        <f t="shared" si="30"/>
        <v>1</v>
      </c>
      <c r="E298" s="15">
        <v>43600</v>
      </c>
      <c r="F298">
        <f t="shared" si="25"/>
        <v>107.851181</v>
      </c>
      <c r="G298">
        <v>1103.920044</v>
      </c>
      <c r="I298" s="13">
        <f t="shared" si="26"/>
        <v>-1.3953587920750077E-2</v>
      </c>
      <c r="J298" s="13">
        <f t="shared" si="27"/>
        <v>-4.4639597268569808E-3</v>
      </c>
      <c r="L298" s="15">
        <v>43600</v>
      </c>
      <c r="M298">
        <f t="shared" si="28"/>
        <v>128.81968242862047</v>
      </c>
      <c r="N298">
        <f t="shared" si="29"/>
        <v>97.260820105013991</v>
      </c>
    </row>
    <row r="299" spans="1:14" x14ac:dyDescent="0.45">
      <c r="A299" s="15">
        <v>43601</v>
      </c>
      <c r="B299">
        <v>109.377388</v>
      </c>
      <c r="C299" t="b">
        <f t="shared" si="30"/>
        <v>1</v>
      </c>
      <c r="E299" s="15">
        <v>43601</v>
      </c>
      <c r="F299">
        <f t="shared" si="25"/>
        <v>109.377388</v>
      </c>
      <c r="G299">
        <v>1117.9300539999999</v>
      </c>
      <c r="I299" s="13">
        <f t="shared" si="26"/>
        <v>1.4151045782243132E-2</v>
      </c>
      <c r="J299" s="13">
        <f t="shared" si="27"/>
        <v>1.2691145591700037E-2</v>
      </c>
      <c r="L299" s="15">
        <v>43601</v>
      </c>
      <c r="M299">
        <f t="shared" si="28"/>
        <v>130.64261565232189</v>
      </c>
      <c r="N299">
        <f t="shared" si="29"/>
        <v>98.495171333334866</v>
      </c>
    </row>
    <row r="300" spans="1:14" x14ac:dyDescent="0.45">
      <c r="A300" s="15">
        <v>43605</v>
      </c>
      <c r="B300">
        <v>105.581459</v>
      </c>
      <c r="C300" t="b">
        <f t="shared" si="30"/>
        <v>1</v>
      </c>
      <c r="E300" s="15">
        <v>43605</v>
      </c>
      <c r="F300">
        <f t="shared" si="25"/>
        <v>105.581459</v>
      </c>
      <c r="G300">
        <v>1108.780029</v>
      </c>
      <c r="I300" s="13">
        <f t="shared" si="26"/>
        <v>-3.470487885485074E-2</v>
      </c>
      <c r="J300" s="13">
        <f t="shared" si="27"/>
        <v>-8.1847920335094138E-3</v>
      </c>
      <c r="L300" s="15">
        <v>43605</v>
      </c>
      <c r="M300">
        <f t="shared" si="28"/>
        <v>126.10867950282723</v>
      </c>
      <c r="N300">
        <f t="shared" si="29"/>
        <v>97.689008839666641</v>
      </c>
    </row>
    <row r="301" spans="1:14" x14ac:dyDescent="0.45">
      <c r="A301" s="15">
        <v>43606</v>
      </c>
      <c r="B301">
        <v>109.729591</v>
      </c>
      <c r="C301" t="b">
        <f t="shared" si="30"/>
        <v>1</v>
      </c>
      <c r="E301" s="15">
        <v>43606</v>
      </c>
      <c r="F301">
        <f t="shared" si="25"/>
        <v>109.729591</v>
      </c>
      <c r="G301">
        <v>1120.5500489999999</v>
      </c>
      <c r="I301" s="13">
        <f t="shared" si="26"/>
        <v>3.9288451204297248E-2</v>
      </c>
      <c r="J301" s="13">
        <f t="shared" si="27"/>
        <v>1.0615288598420314E-2</v>
      </c>
      <c r="L301" s="15">
        <v>43606</v>
      </c>
      <c r="M301">
        <f t="shared" si="28"/>
        <v>131.06329420391242</v>
      </c>
      <c r="N301">
        <f t="shared" si="29"/>
        <v>98.726005861393332</v>
      </c>
    </row>
    <row r="302" spans="1:14" x14ac:dyDescent="0.45">
      <c r="A302" s="15">
        <v>43607</v>
      </c>
      <c r="B302">
        <v>111.41231500000001</v>
      </c>
      <c r="C302" t="b">
        <f t="shared" si="30"/>
        <v>1</v>
      </c>
      <c r="E302" s="15">
        <v>43607</v>
      </c>
      <c r="F302">
        <f t="shared" si="25"/>
        <v>111.41231500000001</v>
      </c>
      <c r="G302">
        <v>1132.3599850000001</v>
      </c>
      <c r="I302" s="13">
        <f t="shared" si="26"/>
        <v>1.5335188846188341E-2</v>
      </c>
      <c r="J302" s="13">
        <f t="shared" si="27"/>
        <v>1.0539409650233367E-2</v>
      </c>
      <c r="L302" s="15">
        <v>43607</v>
      </c>
      <c r="M302">
        <f t="shared" si="28"/>
        <v>133.07317457133297</v>
      </c>
      <c r="N302">
        <f t="shared" si="29"/>
        <v>99.766519680297904</v>
      </c>
    </row>
    <row r="303" spans="1:14" x14ac:dyDescent="0.45">
      <c r="A303" s="15">
        <v>43608</v>
      </c>
      <c r="B303">
        <v>107.420731</v>
      </c>
      <c r="C303" t="b">
        <f t="shared" si="30"/>
        <v>1</v>
      </c>
      <c r="E303" s="15">
        <v>43608</v>
      </c>
      <c r="F303">
        <f t="shared" si="25"/>
        <v>107.420731</v>
      </c>
      <c r="G303">
        <v>1118.619995</v>
      </c>
      <c r="I303" s="13">
        <f t="shared" si="26"/>
        <v>-3.582713454971298E-2</v>
      </c>
      <c r="J303" s="13">
        <f t="shared" si="27"/>
        <v>-1.2133941663436731E-2</v>
      </c>
      <c r="L303" s="15">
        <v>43608</v>
      </c>
      <c r="M303">
        <f t="shared" si="28"/>
        <v>128.30554404100837</v>
      </c>
      <c r="N303">
        <f t="shared" si="29"/>
        <v>98.555958550533063</v>
      </c>
    </row>
    <row r="304" spans="1:14" x14ac:dyDescent="0.45">
      <c r="A304" s="15">
        <v>43609</v>
      </c>
      <c r="B304">
        <v>108.24251599999999</v>
      </c>
      <c r="C304" t="b">
        <f t="shared" si="30"/>
        <v>1</v>
      </c>
      <c r="E304" s="15">
        <v>43609</v>
      </c>
      <c r="F304">
        <f t="shared" si="25"/>
        <v>108.24251599999999</v>
      </c>
      <c r="G304">
        <v>1122.969971</v>
      </c>
      <c r="I304" s="13">
        <f t="shared" si="26"/>
        <v>7.65015274379377E-3</v>
      </c>
      <c r="J304" s="13">
        <f t="shared" si="27"/>
        <v>3.888698592411588E-3</v>
      </c>
      <c r="L304" s="15">
        <v>43609</v>
      </c>
      <c r="M304">
        <f t="shared" si="28"/>
        <v>129.28710105079765</v>
      </c>
      <c r="N304">
        <f t="shared" si="29"/>
        <v>98.9392129678223</v>
      </c>
    </row>
    <row r="305" spans="1:14" x14ac:dyDescent="0.45">
      <c r="A305" s="15">
        <v>43612</v>
      </c>
      <c r="B305">
        <v>108.43817900000001</v>
      </c>
      <c r="C305" t="b">
        <f t="shared" si="30"/>
        <v>1</v>
      </c>
      <c r="E305" s="15">
        <v>43612</v>
      </c>
      <c r="F305">
        <f t="shared" si="25"/>
        <v>108.43817900000001</v>
      </c>
      <c r="G305">
        <v>1114.780029</v>
      </c>
      <c r="I305" s="13">
        <f t="shared" si="26"/>
        <v>1.8076353657558997E-3</v>
      </c>
      <c r="J305" s="13">
        <f t="shared" si="27"/>
        <v>-7.2931086418159818E-3</v>
      </c>
      <c r="L305" s="15">
        <v>43612</v>
      </c>
      <c r="M305">
        <f t="shared" si="28"/>
        <v>129.52080498699311</v>
      </c>
      <c r="N305">
        <f t="shared" si="29"/>
        <v>98.217638538712208</v>
      </c>
    </row>
    <row r="306" spans="1:14" x14ac:dyDescent="0.45">
      <c r="A306" s="15">
        <v>43613</v>
      </c>
      <c r="B306">
        <v>111.92105100000001</v>
      </c>
      <c r="C306" t="b">
        <f t="shared" si="30"/>
        <v>1</v>
      </c>
      <c r="E306" s="15">
        <v>43613</v>
      </c>
      <c r="F306">
        <f t="shared" si="25"/>
        <v>111.92105100000001</v>
      </c>
      <c r="G306">
        <v>1127.6999510000001</v>
      </c>
      <c r="I306" s="13">
        <f t="shared" si="26"/>
        <v>3.2118503207251292E-2</v>
      </c>
      <c r="J306" s="13">
        <f t="shared" si="27"/>
        <v>1.1589660438741101E-2</v>
      </c>
      <c r="L306" s="15">
        <v>43613</v>
      </c>
      <c r="M306">
        <f t="shared" si="28"/>
        <v>133.68081937737361</v>
      </c>
      <c r="N306">
        <f t="shared" si="29"/>
        <v>99.355947618470893</v>
      </c>
    </row>
    <row r="307" spans="1:14" x14ac:dyDescent="0.45">
      <c r="A307" s="15">
        <v>43614</v>
      </c>
      <c r="B307">
        <v>107.22506</v>
      </c>
      <c r="C307" t="b">
        <f t="shared" si="30"/>
        <v>1</v>
      </c>
      <c r="E307" s="15">
        <v>43614</v>
      </c>
      <c r="F307">
        <f t="shared" si="25"/>
        <v>107.22506</v>
      </c>
      <c r="G307">
        <v>1097.119995</v>
      </c>
      <c r="I307" s="13">
        <f t="shared" si="26"/>
        <v>-4.1958067388055631E-2</v>
      </c>
      <c r="J307" s="13">
        <f t="shared" si="27"/>
        <v>-2.7117103244425067E-2</v>
      </c>
      <c r="L307" s="15">
        <v>43614</v>
      </c>
      <c r="M307">
        <f t="shared" si="28"/>
        <v>128.07183054944727</v>
      </c>
      <c r="N307">
        <f t="shared" si="29"/>
        <v>96.661702128953124</v>
      </c>
    </row>
    <row r="308" spans="1:14" x14ac:dyDescent="0.45">
      <c r="A308" s="15">
        <v>43619</v>
      </c>
      <c r="B308">
        <v>106.598923</v>
      </c>
      <c r="C308" t="b">
        <f t="shared" si="30"/>
        <v>1</v>
      </c>
      <c r="E308" s="15">
        <v>43619</v>
      </c>
      <c r="F308">
        <f t="shared" si="25"/>
        <v>106.598923</v>
      </c>
      <c r="G308">
        <v>1099.9399410000001</v>
      </c>
      <c r="I308" s="13">
        <f t="shared" si="26"/>
        <v>-5.8394651399589215E-3</v>
      </c>
      <c r="J308" s="13">
        <f t="shared" si="27"/>
        <v>2.5703168412312127E-3</v>
      </c>
      <c r="L308" s="15">
        <v>43619</v>
      </c>
      <c r="M308">
        <f t="shared" si="28"/>
        <v>127.32395955954304</v>
      </c>
      <c r="N308">
        <f t="shared" si="29"/>
        <v>96.910153329837243</v>
      </c>
    </row>
    <row r="309" spans="1:14" x14ac:dyDescent="0.45">
      <c r="A309" s="15">
        <v>43620</v>
      </c>
      <c r="B309">
        <v>106.598923</v>
      </c>
      <c r="C309" t="b">
        <f t="shared" si="30"/>
        <v>1</v>
      </c>
      <c r="E309" s="15">
        <v>43620</v>
      </c>
      <c r="F309">
        <f t="shared" si="25"/>
        <v>106.598923</v>
      </c>
      <c r="G309">
        <v>1094.540039</v>
      </c>
      <c r="I309" s="13">
        <f t="shared" si="26"/>
        <v>0</v>
      </c>
      <c r="J309" s="13">
        <f t="shared" si="27"/>
        <v>-4.9092698598532936E-3</v>
      </c>
      <c r="L309" s="15">
        <v>43620</v>
      </c>
      <c r="M309">
        <f t="shared" si="28"/>
        <v>127.32395955954304</v>
      </c>
      <c r="N309">
        <f t="shared" si="29"/>
        <v>96.434395234981309</v>
      </c>
    </row>
    <row r="310" spans="1:14" x14ac:dyDescent="0.45">
      <c r="A310" s="15">
        <v>43623</v>
      </c>
      <c r="B310">
        <v>107.30332900000001</v>
      </c>
      <c r="C310" t="b">
        <f t="shared" si="30"/>
        <v>1</v>
      </c>
      <c r="E310" s="15">
        <v>43623</v>
      </c>
      <c r="F310">
        <f t="shared" si="25"/>
        <v>107.30332900000001</v>
      </c>
      <c r="G310">
        <v>1112.8599850000001</v>
      </c>
      <c r="I310" s="13">
        <f t="shared" si="26"/>
        <v>6.6080029720376743E-3</v>
      </c>
      <c r="J310" s="13">
        <f t="shared" si="27"/>
        <v>1.6737575006152916E-2</v>
      </c>
      <c r="L310" s="15">
        <v>43623</v>
      </c>
      <c r="M310">
        <f t="shared" si="28"/>
        <v>128.16531666272411</v>
      </c>
      <c r="N310">
        <f t="shared" si="29"/>
        <v>98.048473158399801</v>
      </c>
    </row>
    <row r="311" spans="1:14" x14ac:dyDescent="0.45">
      <c r="A311" s="15">
        <v>43627</v>
      </c>
      <c r="B311">
        <v>109.612183</v>
      </c>
      <c r="C311" t="b">
        <f t="shared" si="30"/>
        <v>1</v>
      </c>
      <c r="E311" s="15">
        <v>43627</v>
      </c>
      <c r="F311">
        <f t="shared" si="25"/>
        <v>109.612183</v>
      </c>
      <c r="G311">
        <v>1129.48999</v>
      </c>
      <c r="I311" s="13">
        <f t="shared" si="26"/>
        <v>2.151707707036743E-2</v>
      </c>
      <c r="J311" s="13">
        <f t="shared" si="27"/>
        <v>1.4943483658458545E-2</v>
      </c>
      <c r="L311" s="15">
        <v>43627</v>
      </c>
      <c r="M311">
        <f t="shared" si="28"/>
        <v>130.92305965910398</v>
      </c>
      <c r="N311">
        <f t="shared" si="29"/>
        <v>99.513658914779157</v>
      </c>
    </row>
    <row r="312" spans="1:14" x14ac:dyDescent="0.45">
      <c r="A312" s="15">
        <v>43628</v>
      </c>
      <c r="B312">
        <v>110.433983</v>
      </c>
      <c r="C312" t="b">
        <f t="shared" si="30"/>
        <v>1</v>
      </c>
      <c r="E312" s="15">
        <v>43628</v>
      </c>
      <c r="F312">
        <f t="shared" si="25"/>
        <v>110.433983</v>
      </c>
      <c r="G312">
        <v>1137.969971</v>
      </c>
      <c r="I312" s="13">
        <f t="shared" si="26"/>
        <v>7.497341787271905E-3</v>
      </c>
      <c r="J312" s="13">
        <f t="shared" si="27"/>
        <v>7.5077965055714291E-3</v>
      </c>
      <c r="L312" s="15">
        <v>43628</v>
      </c>
      <c r="M312">
        <f t="shared" si="28"/>
        <v>131.90463458520367</v>
      </c>
      <c r="N312">
        <f t="shared" si="29"/>
        <v>100.26078721543617</v>
      </c>
    </row>
    <row r="313" spans="1:14" x14ac:dyDescent="0.45">
      <c r="A313" s="15">
        <v>43629</v>
      </c>
      <c r="B313">
        <v>111.060112</v>
      </c>
      <c r="C313" t="b">
        <f t="shared" si="30"/>
        <v>1</v>
      </c>
      <c r="E313" s="15">
        <v>43629</v>
      </c>
      <c r="F313">
        <f t="shared" si="25"/>
        <v>111.060112</v>
      </c>
      <c r="G313">
        <v>1133.8199460000001</v>
      </c>
      <c r="I313" s="13">
        <f t="shared" si="26"/>
        <v>5.669713099091922E-3</v>
      </c>
      <c r="J313" s="13">
        <f t="shared" si="27"/>
        <v>-3.6468668820435202E-3</v>
      </c>
      <c r="L313" s="15">
        <v>43629</v>
      </c>
      <c r="M313">
        <f t="shared" si="28"/>
        <v>132.65249601974233</v>
      </c>
      <c r="N313">
        <f t="shared" si="29"/>
        <v>99.895149470972584</v>
      </c>
    </row>
    <row r="314" spans="1:14" x14ac:dyDescent="0.45">
      <c r="A314" s="15">
        <v>43630</v>
      </c>
      <c r="B314">
        <v>111.334045</v>
      </c>
      <c r="C314" t="b">
        <f t="shared" si="30"/>
        <v>1</v>
      </c>
      <c r="E314" s="15">
        <v>43630</v>
      </c>
      <c r="F314">
        <f t="shared" si="25"/>
        <v>111.334045</v>
      </c>
      <c r="G314">
        <v>1125.9399410000001</v>
      </c>
      <c r="I314" s="13">
        <f t="shared" si="26"/>
        <v>2.466529117132632E-3</v>
      </c>
      <c r="J314" s="13">
        <f t="shared" si="27"/>
        <v>-6.9499615241377377E-3</v>
      </c>
      <c r="L314" s="15">
        <v>43630</v>
      </c>
      <c r="M314">
        <f t="shared" si="28"/>
        <v>132.97968726363536</v>
      </c>
      <c r="N314">
        <f t="shared" si="29"/>
        <v>99.200882025701333</v>
      </c>
    </row>
    <row r="315" spans="1:14" x14ac:dyDescent="0.45">
      <c r="A315" s="15">
        <v>43634</v>
      </c>
      <c r="B315">
        <v>112.899376</v>
      </c>
      <c r="C315" t="b">
        <f t="shared" si="30"/>
        <v>1</v>
      </c>
      <c r="E315" s="15">
        <v>43634</v>
      </c>
      <c r="F315">
        <f t="shared" si="25"/>
        <v>112.899376</v>
      </c>
      <c r="G315">
        <v>1138.660034</v>
      </c>
      <c r="I315" s="13">
        <f t="shared" si="26"/>
        <v>1.4059769408360179E-2</v>
      </c>
      <c r="J315" s="13">
        <f t="shared" si="27"/>
        <v>1.1297310395350646E-2</v>
      </c>
      <c r="L315" s="15">
        <v>43634</v>
      </c>
      <c r="M315">
        <f t="shared" si="28"/>
        <v>134.84935100255791</v>
      </c>
      <c r="N315">
        <f t="shared" si="29"/>
        <v>100.32158518143824</v>
      </c>
    </row>
    <row r="316" spans="1:14" x14ac:dyDescent="0.45">
      <c r="A316" s="15">
        <v>43635</v>
      </c>
      <c r="B316">
        <v>112.116714</v>
      </c>
      <c r="C316" t="b">
        <f t="shared" si="30"/>
        <v>1</v>
      </c>
      <c r="E316" s="15">
        <v>43635</v>
      </c>
      <c r="F316">
        <f t="shared" si="25"/>
        <v>112.116714</v>
      </c>
      <c r="G316">
        <v>1142.1899410000001</v>
      </c>
      <c r="I316" s="13">
        <f t="shared" si="26"/>
        <v>-6.9323855253194955E-3</v>
      </c>
      <c r="J316" s="13">
        <f t="shared" si="27"/>
        <v>3.1000534791758572E-3</v>
      </c>
      <c r="L316" s="15">
        <v>43635</v>
      </c>
      <c r="M316">
        <f t="shared" si="28"/>
        <v>133.91452331356905</v>
      </c>
      <c r="N316">
        <f t="shared" si="29"/>
        <v>100.63258746061639</v>
      </c>
    </row>
    <row r="317" spans="1:14" x14ac:dyDescent="0.45">
      <c r="A317" s="15">
        <v>43636</v>
      </c>
      <c r="B317">
        <v>115.87350499999999</v>
      </c>
      <c r="C317" t="b">
        <f t="shared" si="30"/>
        <v>1</v>
      </c>
      <c r="E317" s="15">
        <v>43636</v>
      </c>
      <c r="F317">
        <f t="shared" si="25"/>
        <v>115.87350499999999</v>
      </c>
      <c r="G317">
        <v>1141.280029</v>
      </c>
      <c r="I317" s="13">
        <f t="shared" si="26"/>
        <v>3.3507858605274388E-2</v>
      </c>
      <c r="J317" s="13">
        <f t="shared" si="27"/>
        <v>-7.9663807860486102E-4</v>
      </c>
      <c r="L317" s="15">
        <v>43636</v>
      </c>
      <c r="M317">
        <f t="shared" si="28"/>
        <v>138.40171222595285</v>
      </c>
      <c r="N317">
        <f t="shared" si="29"/>
        <v>100.55241970949673</v>
      </c>
    </row>
    <row r="318" spans="1:14" x14ac:dyDescent="0.45">
      <c r="A318" s="15">
        <v>43640</v>
      </c>
      <c r="B318">
        <v>115.24736799999999</v>
      </c>
      <c r="C318" t="b">
        <f t="shared" si="30"/>
        <v>1</v>
      </c>
      <c r="E318" s="15">
        <v>43640</v>
      </c>
      <c r="F318">
        <f t="shared" si="25"/>
        <v>115.24736799999999</v>
      </c>
      <c r="G318">
        <v>1129.26001</v>
      </c>
      <c r="I318" s="13">
        <f t="shared" si="26"/>
        <v>-5.4036252722311495E-3</v>
      </c>
      <c r="J318" s="13">
        <f t="shared" si="27"/>
        <v>-1.0532050587560127E-2</v>
      </c>
      <c r="L318" s="15">
        <v>43640</v>
      </c>
      <c r="M318">
        <f t="shared" si="28"/>
        <v>137.65384123604863</v>
      </c>
      <c r="N318">
        <f t="shared" si="29"/>
        <v>99.493396538414729</v>
      </c>
    </row>
    <row r="319" spans="1:14" x14ac:dyDescent="0.45">
      <c r="A319" s="15">
        <v>43641</v>
      </c>
      <c r="B319">
        <v>116.421364</v>
      </c>
      <c r="C319" t="b">
        <f t="shared" si="30"/>
        <v>1</v>
      </c>
      <c r="E319" s="15">
        <v>43641</v>
      </c>
      <c r="F319">
        <f t="shared" si="25"/>
        <v>116.421364</v>
      </c>
      <c r="G319">
        <v>1130.98999</v>
      </c>
      <c r="I319" s="13">
        <f t="shared" si="26"/>
        <v>1.0186748906925169E-2</v>
      </c>
      <c r="J319" s="13">
        <f t="shared" si="27"/>
        <v>1.5319589684221757E-3</v>
      </c>
      <c r="L319" s="15">
        <v>43641</v>
      </c>
      <c r="M319">
        <f t="shared" si="28"/>
        <v>139.05608635279401</v>
      </c>
      <c r="N319">
        <f t="shared" si="29"/>
        <v>99.645816339540531</v>
      </c>
    </row>
    <row r="320" spans="1:14" x14ac:dyDescent="0.45">
      <c r="A320" s="15">
        <v>43642</v>
      </c>
      <c r="B320">
        <v>115.24736799999999</v>
      </c>
      <c r="C320" t="b">
        <f t="shared" si="30"/>
        <v>1</v>
      </c>
      <c r="E320" s="15">
        <v>43642</v>
      </c>
      <c r="F320">
        <f t="shared" si="25"/>
        <v>115.24736799999999</v>
      </c>
      <c r="G320">
        <v>1125</v>
      </c>
      <c r="I320" s="13">
        <f t="shared" si="26"/>
        <v>-1.0084025471476243E-2</v>
      </c>
      <c r="J320" s="13">
        <f t="shared" si="27"/>
        <v>-5.2962360878190395E-3</v>
      </c>
      <c r="L320" s="15">
        <v>43642</v>
      </c>
      <c r="M320">
        <f t="shared" si="28"/>
        <v>137.65384123604863</v>
      </c>
      <c r="N320">
        <f t="shared" si="29"/>
        <v>99.118068571042869</v>
      </c>
    </row>
    <row r="321" spans="1:14" x14ac:dyDescent="0.45">
      <c r="A321" s="15">
        <v>43643</v>
      </c>
      <c r="B321">
        <v>112.35150899999999</v>
      </c>
      <c r="C321" t="b">
        <f t="shared" si="30"/>
        <v>1</v>
      </c>
      <c r="E321" s="15">
        <v>43643</v>
      </c>
      <c r="F321">
        <f t="shared" si="25"/>
        <v>112.35150899999999</v>
      </c>
      <c r="G321">
        <v>1114.01001</v>
      </c>
      <c r="I321" s="13">
        <f t="shared" si="26"/>
        <v>-2.5127333059788426E-2</v>
      </c>
      <c r="J321" s="13">
        <f t="shared" si="27"/>
        <v>-9.7688799999999798E-3</v>
      </c>
      <c r="L321" s="15">
        <v>43643</v>
      </c>
      <c r="M321">
        <f t="shared" si="28"/>
        <v>134.1949673203512</v>
      </c>
      <c r="N321">
        <f t="shared" si="29"/>
        <v>98.14979605334058</v>
      </c>
    </row>
    <row r="322" spans="1:14" x14ac:dyDescent="0.45">
      <c r="A322" s="15">
        <v>43644</v>
      </c>
      <c r="B322">
        <v>110.942711</v>
      </c>
      <c r="C322" t="b">
        <f t="shared" si="30"/>
        <v>1</v>
      </c>
      <c r="E322" s="15">
        <v>43644</v>
      </c>
      <c r="F322">
        <f t="shared" si="25"/>
        <v>110.942711</v>
      </c>
      <c r="G322">
        <v>1122.7700199999999</v>
      </c>
      <c r="I322" s="13">
        <f t="shared" si="26"/>
        <v>-1.253919962926342E-2</v>
      </c>
      <c r="J322" s="13">
        <f t="shared" si="27"/>
        <v>7.8634930757937038E-3</v>
      </c>
      <c r="L322" s="15">
        <v>43644</v>
      </c>
      <c r="M322">
        <f t="shared" si="28"/>
        <v>132.51226983587884</v>
      </c>
      <c r="N322">
        <f t="shared" si="29"/>
        <v>98.92159629499659</v>
      </c>
    </row>
    <row r="323" spans="1:14" x14ac:dyDescent="0.45">
      <c r="A323" s="15">
        <v>43647</v>
      </c>
      <c r="B323">
        <v>115.79523500000001</v>
      </c>
      <c r="C323" t="b">
        <f t="shared" ref="C323:C354" si="31">E323=A323</f>
        <v>1</v>
      </c>
      <c r="E323" s="15">
        <v>43647</v>
      </c>
      <c r="F323">
        <f t="shared" ref="F323:F386" si="32">VLOOKUP(E323,A323:B1562,2,0)</f>
        <v>115.79523500000001</v>
      </c>
      <c r="G323">
        <v>1141.420044</v>
      </c>
      <c r="I323" s="13">
        <f t="shared" si="26"/>
        <v>4.3739006882570264E-2</v>
      </c>
      <c r="J323" s="13">
        <f t="shared" si="27"/>
        <v>1.6610724963960211E-2</v>
      </c>
      <c r="L323" s="15">
        <v>43647</v>
      </c>
      <c r="M323">
        <f t="shared" si="28"/>
        <v>138.30822491825535</v>
      </c>
      <c r="N323">
        <f t="shared" si="29"/>
        <v>100.56475572404868</v>
      </c>
    </row>
    <row r="324" spans="1:14" x14ac:dyDescent="0.45">
      <c r="A324" s="15">
        <v>43648</v>
      </c>
      <c r="B324">
        <v>115.79523500000001</v>
      </c>
      <c r="C324" t="b">
        <f t="shared" si="31"/>
        <v>1</v>
      </c>
      <c r="E324" s="15">
        <v>43648</v>
      </c>
      <c r="F324">
        <f t="shared" si="32"/>
        <v>115.79523500000001</v>
      </c>
      <c r="G324">
        <v>1144.829956</v>
      </c>
      <c r="I324" s="13">
        <f t="shared" ref="I324:I387" si="33">F324/F323-1</f>
        <v>0</v>
      </c>
      <c r="J324" s="13">
        <f t="shared" ref="J324:J387" si="34">G324/G323-1</f>
        <v>2.9874295776779469E-3</v>
      </c>
      <c r="L324" s="15">
        <v>43648</v>
      </c>
      <c r="M324">
        <f t="shared" ref="M324:M387" si="35">M323*(1+I324)</f>
        <v>138.30822491825535</v>
      </c>
      <c r="N324">
        <f t="shared" ref="N324:N387" si="36">N323*(1+J324)</f>
        <v>100.86518584977065</v>
      </c>
    </row>
    <row r="325" spans="1:14" x14ac:dyDescent="0.45">
      <c r="A325" s="15">
        <v>43649</v>
      </c>
      <c r="B325">
        <v>115.834366</v>
      </c>
      <c r="C325" t="b">
        <f t="shared" si="31"/>
        <v>1</v>
      </c>
      <c r="E325" s="15">
        <v>43649</v>
      </c>
      <c r="F325">
        <f t="shared" si="32"/>
        <v>115.834366</v>
      </c>
      <c r="G325">
        <v>1159.660034</v>
      </c>
      <c r="I325" s="13">
        <f t="shared" si="33"/>
        <v>3.3793273099713694E-4</v>
      </c>
      <c r="J325" s="13">
        <f t="shared" si="34"/>
        <v>1.2953956980489734E-2</v>
      </c>
      <c r="L325" s="15">
        <v>43649</v>
      </c>
      <c r="M325">
        <f t="shared" si="35"/>
        <v>138.35496379442134</v>
      </c>
      <c r="N325">
        <f t="shared" si="36"/>
        <v>102.17178912809769</v>
      </c>
    </row>
    <row r="326" spans="1:14" x14ac:dyDescent="0.45">
      <c r="A326" s="15">
        <v>43650</v>
      </c>
      <c r="B326">
        <v>116.30397000000001</v>
      </c>
      <c r="C326" t="b">
        <f t="shared" si="31"/>
        <v>1</v>
      </c>
      <c r="E326" s="15">
        <v>43650</v>
      </c>
      <c r="F326">
        <f t="shared" si="32"/>
        <v>116.30397000000001</v>
      </c>
      <c r="G326">
        <v>1153.959961</v>
      </c>
      <c r="I326" s="13">
        <f t="shared" si="33"/>
        <v>4.0540991090676215E-3</v>
      </c>
      <c r="J326" s="13">
        <f t="shared" si="34"/>
        <v>-4.9152965807908178E-3</v>
      </c>
      <c r="L326" s="15">
        <v>43650</v>
      </c>
      <c r="M326">
        <f t="shared" si="35"/>
        <v>138.91586852987538</v>
      </c>
      <c r="N326">
        <f t="shared" si="36"/>
        <v>101.66958448234307</v>
      </c>
    </row>
    <row r="327" spans="1:14" x14ac:dyDescent="0.45">
      <c r="A327" s="15">
        <v>43651</v>
      </c>
      <c r="B327">
        <v>113.955978</v>
      </c>
      <c r="C327" t="b">
        <f t="shared" si="31"/>
        <v>1</v>
      </c>
      <c r="E327" s="15">
        <v>43651</v>
      </c>
      <c r="F327">
        <f t="shared" si="32"/>
        <v>113.955978</v>
      </c>
      <c r="G327">
        <v>1141.089966</v>
      </c>
      <c r="I327" s="13">
        <f t="shared" si="33"/>
        <v>-2.018840801393107E-2</v>
      </c>
      <c r="J327" s="13">
        <f t="shared" si="34"/>
        <v>-1.1152895624599646E-2</v>
      </c>
      <c r="L327" s="15">
        <v>43651</v>
      </c>
      <c r="M327">
        <f t="shared" si="35"/>
        <v>136.11137829638466</v>
      </c>
      <c r="N327">
        <f t="shared" si="36"/>
        <v>100.53567421841508</v>
      </c>
    </row>
    <row r="328" spans="1:14" x14ac:dyDescent="0.45">
      <c r="A328" s="15">
        <v>43654</v>
      </c>
      <c r="B328">
        <v>115.834366</v>
      </c>
      <c r="C328" t="b">
        <f t="shared" si="31"/>
        <v>1</v>
      </c>
      <c r="E328" s="15">
        <v>43654</v>
      </c>
      <c r="F328">
        <f t="shared" si="32"/>
        <v>115.834366</v>
      </c>
      <c r="G328">
        <v>1141.290039</v>
      </c>
      <c r="I328" s="13">
        <f t="shared" si="33"/>
        <v>1.6483452934781484E-2</v>
      </c>
      <c r="J328" s="13">
        <f t="shared" si="34"/>
        <v>1.7533499194755109E-4</v>
      </c>
      <c r="L328" s="15">
        <v>43654</v>
      </c>
      <c r="M328">
        <f t="shared" si="35"/>
        <v>138.35496379442137</v>
      </c>
      <c r="N328">
        <f t="shared" si="36"/>
        <v>100.55330164004461</v>
      </c>
    </row>
    <row r="329" spans="1:14" x14ac:dyDescent="0.45">
      <c r="A329" s="15">
        <v>43655</v>
      </c>
      <c r="B329">
        <v>114.777779</v>
      </c>
      <c r="C329" t="b">
        <f t="shared" si="31"/>
        <v>1</v>
      </c>
      <c r="E329" s="15">
        <v>43655</v>
      </c>
      <c r="F329">
        <f t="shared" si="32"/>
        <v>114.777779</v>
      </c>
      <c r="G329">
        <v>1135.1800539999999</v>
      </c>
      <c r="I329" s="13">
        <f t="shared" si="33"/>
        <v>-9.121533069037624E-3</v>
      </c>
      <c r="J329" s="13">
        <f t="shared" si="34"/>
        <v>-5.353577785847996E-3</v>
      </c>
      <c r="L329" s="15">
        <v>43655</v>
      </c>
      <c r="M329">
        <f t="shared" si="35"/>
        <v>137.09295441690506</v>
      </c>
      <c r="N329">
        <f t="shared" si="36"/>
        <v>100.01498171809079</v>
      </c>
    </row>
    <row r="330" spans="1:14" x14ac:dyDescent="0.45">
      <c r="A330" s="15">
        <v>43656</v>
      </c>
      <c r="B330">
        <v>115.75610399999999</v>
      </c>
      <c r="C330" t="b">
        <f t="shared" si="31"/>
        <v>1</v>
      </c>
      <c r="E330" s="15">
        <v>43656</v>
      </c>
      <c r="F330">
        <f t="shared" si="32"/>
        <v>115.75610399999999</v>
      </c>
      <c r="G330">
        <v>1138.6999510000001</v>
      </c>
      <c r="I330" s="13">
        <f t="shared" si="33"/>
        <v>8.5236446333396554E-3</v>
      </c>
      <c r="J330" s="13">
        <f t="shared" si="34"/>
        <v>3.1007389423354237E-3</v>
      </c>
      <c r="L330" s="15">
        <v>43656</v>
      </c>
      <c r="M330">
        <f t="shared" si="35"/>
        <v>138.26148604208939</v>
      </c>
      <c r="N330">
        <f t="shared" si="36"/>
        <v>100.32510206672104</v>
      </c>
    </row>
    <row r="331" spans="1:14" x14ac:dyDescent="0.45">
      <c r="A331" s="15">
        <v>43657</v>
      </c>
      <c r="B331">
        <v>116.2257</v>
      </c>
      <c r="C331" t="b">
        <f t="shared" si="31"/>
        <v>1</v>
      </c>
      <c r="E331" s="15">
        <v>43657</v>
      </c>
      <c r="F331">
        <f t="shared" si="32"/>
        <v>116.2257</v>
      </c>
      <c r="G331">
        <v>1135.1400149999999</v>
      </c>
      <c r="I331" s="13">
        <f t="shared" si="33"/>
        <v>4.0567709500658466E-3</v>
      </c>
      <c r="J331" s="13">
        <f t="shared" si="34"/>
        <v>-3.1263161088870284E-3</v>
      </c>
      <c r="L331" s="15">
        <v>43657</v>
      </c>
      <c r="M331">
        <f t="shared" si="35"/>
        <v>138.82238122217788</v>
      </c>
      <c r="N331">
        <f t="shared" si="36"/>
        <v>100.01145408400411</v>
      </c>
    </row>
    <row r="332" spans="1:14" x14ac:dyDescent="0.45">
      <c r="A332" s="15">
        <v>43658</v>
      </c>
      <c r="B332">
        <v>113.955978</v>
      </c>
      <c r="C332" t="b">
        <f t="shared" si="31"/>
        <v>1</v>
      </c>
      <c r="E332" s="15">
        <v>43658</v>
      </c>
      <c r="F332">
        <f t="shared" si="32"/>
        <v>113.955978</v>
      </c>
      <c r="G332">
        <v>1124.030029</v>
      </c>
      <c r="I332" s="13">
        <f t="shared" si="33"/>
        <v>-1.9528572424171275E-2</v>
      </c>
      <c r="J332" s="13">
        <f t="shared" si="34"/>
        <v>-9.7873265440298063E-3</v>
      </c>
      <c r="L332" s="15">
        <v>43658</v>
      </c>
      <c r="M332">
        <f t="shared" si="35"/>
        <v>136.11137829638466</v>
      </c>
      <c r="N332">
        <f t="shared" si="36"/>
        <v>99.032609324740719</v>
      </c>
    </row>
    <row r="333" spans="1:14" x14ac:dyDescent="0.45">
      <c r="A333" s="15">
        <v>43661</v>
      </c>
      <c r="B333">
        <v>114.856033</v>
      </c>
      <c r="C333" t="b">
        <f t="shared" si="31"/>
        <v>1</v>
      </c>
      <c r="E333" s="15">
        <v>43661</v>
      </c>
      <c r="F333">
        <f t="shared" si="32"/>
        <v>114.856033</v>
      </c>
      <c r="G333">
        <v>1130.099976</v>
      </c>
      <c r="I333" s="13">
        <f t="shared" si="33"/>
        <v>7.8982692772817664E-3</v>
      </c>
      <c r="J333" s="13">
        <f t="shared" si="34"/>
        <v>5.4001644470300647E-3</v>
      </c>
      <c r="L333" s="15">
        <v>43661</v>
      </c>
      <c r="M333">
        <f t="shared" si="35"/>
        <v>137.18642261387146</v>
      </c>
      <c r="N333">
        <f t="shared" si="36"/>
        <v>99.567401700712807</v>
      </c>
    </row>
    <row r="334" spans="1:14" x14ac:dyDescent="0.45">
      <c r="A334" s="15">
        <v>43662</v>
      </c>
      <c r="B334">
        <v>115.169106</v>
      </c>
      <c r="C334" t="b">
        <f t="shared" si="31"/>
        <v>1</v>
      </c>
      <c r="E334" s="15">
        <v>43662</v>
      </c>
      <c r="F334">
        <f t="shared" si="32"/>
        <v>115.169106</v>
      </c>
      <c r="G334">
        <v>1134.6899410000001</v>
      </c>
      <c r="I334" s="13">
        <f t="shared" si="33"/>
        <v>2.7257862893454998E-3</v>
      </c>
      <c r="J334" s="13">
        <f t="shared" si="34"/>
        <v>4.0615565856805258E-3</v>
      </c>
      <c r="L334" s="15">
        <v>43662</v>
      </c>
      <c r="M334">
        <f t="shared" si="35"/>
        <v>137.56036348371671</v>
      </c>
      <c r="N334">
        <f t="shared" si="36"/>
        <v>99.971800336809437</v>
      </c>
    </row>
    <row r="335" spans="1:14" x14ac:dyDescent="0.45">
      <c r="A335" s="15">
        <v>43663</v>
      </c>
      <c r="B335">
        <v>114.89516399999999</v>
      </c>
      <c r="C335" t="b">
        <f t="shared" si="31"/>
        <v>1</v>
      </c>
      <c r="E335" s="15">
        <v>43663</v>
      </c>
      <c r="F335">
        <f t="shared" si="32"/>
        <v>114.89516399999999</v>
      </c>
      <c r="G335">
        <v>1132.4300539999999</v>
      </c>
      <c r="I335" s="13">
        <f t="shared" si="33"/>
        <v>-2.3786066377905479E-3</v>
      </c>
      <c r="J335" s="13">
        <f t="shared" si="34"/>
        <v>-1.9916339418754037E-3</v>
      </c>
      <c r="L335" s="15">
        <v>43663</v>
      </c>
      <c r="M335">
        <f t="shared" si="35"/>
        <v>137.23316149003747</v>
      </c>
      <c r="N335">
        <f t="shared" si="36"/>
        <v>99.772693106028257</v>
      </c>
    </row>
    <row r="336" spans="1:14" x14ac:dyDescent="0.45">
      <c r="A336" s="15">
        <v>43664</v>
      </c>
      <c r="B336">
        <v>115.051697</v>
      </c>
      <c r="C336" t="b">
        <f t="shared" si="31"/>
        <v>1</v>
      </c>
      <c r="E336" s="15">
        <v>43664</v>
      </c>
      <c r="F336">
        <f t="shared" si="32"/>
        <v>115.051697</v>
      </c>
      <c r="G336">
        <v>1131.3199460000001</v>
      </c>
      <c r="I336" s="13">
        <f t="shared" si="33"/>
        <v>1.3623985079129763E-3</v>
      </c>
      <c r="J336" s="13">
        <f t="shared" si="34"/>
        <v>-9.802883596021772E-4</v>
      </c>
      <c r="L336" s="15">
        <v>43664</v>
      </c>
      <c r="M336">
        <f t="shared" si="35"/>
        <v>137.42012774448767</v>
      </c>
      <c r="N336">
        <f t="shared" si="36"/>
        <v>99.674887096370256</v>
      </c>
    </row>
    <row r="337" spans="1:14" x14ac:dyDescent="0.45">
      <c r="A337" s="15">
        <v>43665</v>
      </c>
      <c r="B337">
        <v>115.75610399999999</v>
      </c>
      <c r="C337" t="b">
        <f t="shared" si="31"/>
        <v>1</v>
      </c>
      <c r="E337" s="15">
        <v>43665</v>
      </c>
      <c r="F337">
        <f t="shared" si="32"/>
        <v>115.75610399999999</v>
      </c>
      <c r="G337">
        <v>1128.410034</v>
      </c>
      <c r="I337" s="13">
        <f t="shared" si="33"/>
        <v>6.1225259458796977E-3</v>
      </c>
      <c r="J337" s="13">
        <f t="shared" si="34"/>
        <v>-2.5721388633592746E-3</v>
      </c>
      <c r="L337" s="15">
        <v>43665</v>
      </c>
      <c r="M337">
        <f t="shared" si="35"/>
        <v>138.26148604208939</v>
      </c>
      <c r="N337">
        <f t="shared" si="36"/>
        <v>99.418509445568731</v>
      </c>
    </row>
    <row r="338" spans="1:14" x14ac:dyDescent="0.45">
      <c r="A338" s="15">
        <v>43668</v>
      </c>
      <c r="B338">
        <v>114.738647</v>
      </c>
      <c r="C338" t="b">
        <f t="shared" si="31"/>
        <v>1</v>
      </c>
      <c r="E338" s="15">
        <v>43668</v>
      </c>
      <c r="F338">
        <f t="shared" si="32"/>
        <v>114.738647</v>
      </c>
      <c r="G338">
        <v>1128.4499510000001</v>
      </c>
      <c r="I338" s="13">
        <f t="shared" si="33"/>
        <v>-8.789661752955924E-3</v>
      </c>
      <c r="J338" s="13">
        <f t="shared" si="34"/>
        <v>3.5374552509681578E-5</v>
      </c>
      <c r="L338" s="15">
        <v>43668</v>
      </c>
      <c r="M338">
        <f t="shared" si="35"/>
        <v>137.04621434631838</v>
      </c>
      <c r="N338">
        <f t="shared" si="36"/>
        <v>99.422026330851551</v>
      </c>
    </row>
    <row r="339" spans="1:14" x14ac:dyDescent="0.45">
      <c r="A339" s="15">
        <v>43669</v>
      </c>
      <c r="B339">
        <v>116.617035</v>
      </c>
      <c r="C339" t="b">
        <f t="shared" si="31"/>
        <v>1</v>
      </c>
      <c r="E339" s="15">
        <v>43669</v>
      </c>
      <c r="F339">
        <f t="shared" si="32"/>
        <v>116.617035</v>
      </c>
      <c r="G339">
        <v>1133.420044</v>
      </c>
      <c r="I339" s="13">
        <f t="shared" si="33"/>
        <v>1.6371014031566933E-2</v>
      </c>
      <c r="J339" s="13">
        <f t="shared" si="34"/>
        <v>4.4043539508291651E-3</v>
      </c>
      <c r="L339" s="15">
        <v>43669</v>
      </c>
      <c r="M339">
        <f t="shared" si="35"/>
        <v>139.28979984435509</v>
      </c>
      <c r="N339">
        <f t="shared" si="36"/>
        <v>99.859916125321277</v>
      </c>
    </row>
    <row r="340" spans="1:14" x14ac:dyDescent="0.45">
      <c r="A340" s="15">
        <v>43670</v>
      </c>
      <c r="B340">
        <v>115.208237</v>
      </c>
      <c r="C340" t="b">
        <f t="shared" si="31"/>
        <v>1</v>
      </c>
      <c r="E340" s="15">
        <v>43670</v>
      </c>
      <c r="F340">
        <f t="shared" si="32"/>
        <v>115.208237</v>
      </c>
      <c r="G340">
        <v>1139.51001</v>
      </c>
      <c r="I340" s="13">
        <f t="shared" si="33"/>
        <v>-1.2080550667404655E-2</v>
      </c>
      <c r="J340" s="13">
        <f t="shared" si="34"/>
        <v>5.3730883199381019E-3</v>
      </c>
      <c r="L340" s="15">
        <v>43670</v>
      </c>
      <c r="M340">
        <f t="shared" si="35"/>
        <v>137.6071023598827</v>
      </c>
      <c r="N340">
        <f t="shared" si="36"/>
        <v>100.39647227428424</v>
      </c>
    </row>
    <row r="341" spans="1:14" x14ac:dyDescent="0.45">
      <c r="A341" s="15">
        <v>43671</v>
      </c>
      <c r="B341">
        <v>115.834366</v>
      </c>
      <c r="C341" t="b">
        <f t="shared" si="31"/>
        <v>1</v>
      </c>
      <c r="E341" s="15">
        <v>43671</v>
      </c>
      <c r="F341">
        <f t="shared" si="32"/>
        <v>115.834366</v>
      </c>
      <c r="G341">
        <v>1141.160034</v>
      </c>
      <c r="I341" s="13">
        <f t="shared" si="33"/>
        <v>5.4347589747425484E-3</v>
      </c>
      <c r="J341" s="13">
        <f t="shared" si="34"/>
        <v>1.4480118520416863E-3</v>
      </c>
      <c r="L341" s="15">
        <v>43671</v>
      </c>
      <c r="M341">
        <f t="shared" si="35"/>
        <v>138.35496379442139</v>
      </c>
      <c r="N341">
        <f t="shared" si="36"/>
        <v>100.54184755604058</v>
      </c>
    </row>
    <row r="342" spans="1:14" x14ac:dyDescent="0.45">
      <c r="A342" s="15">
        <v>43672</v>
      </c>
      <c r="B342">
        <v>115.24736799999999</v>
      </c>
      <c r="C342" t="b">
        <f t="shared" si="31"/>
        <v>1</v>
      </c>
      <c r="E342" s="15">
        <v>43672</v>
      </c>
      <c r="F342">
        <f t="shared" si="32"/>
        <v>115.24736799999999</v>
      </c>
      <c r="G342">
        <v>1138.589966</v>
      </c>
      <c r="I342" s="13">
        <f t="shared" si="33"/>
        <v>-5.0675634552185267E-3</v>
      </c>
      <c r="J342" s="13">
        <f t="shared" si="34"/>
        <v>-2.2521538815124531E-3</v>
      </c>
      <c r="L342" s="15">
        <v>43672</v>
      </c>
      <c r="M342">
        <f t="shared" si="35"/>
        <v>137.65384123604869</v>
      </c>
      <c r="N342">
        <f t="shared" si="36"/>
        <v>100.31541184381281</v>
      </c>
    </row>
    <row r="343" spans="1:14" x14ac:dyDescent="0.45">
      <c r="A343" s="15">
        <v>43675</v>
      </c>
      <c r="B343">
        <v>115.443031</v>
      </c>
      <c r="C343" t="b">
        <f t="shared" si="31"/>
        <v>1</v>
      </c>
      <c r="E343" s="15">
        <v>43675</v>
      </c>
      <c r="F343">
        <f t="shared" si="32"/>
        <v>115.443031</v>
      </c>
      <c r="G343">
        <v>1139.349976</v>
      </c>
      <c r="I343" s="13">
        <f t="shared" si="33"/>
        <v>1.6977654535244024E-3</v>
      </c>
      <c r="J343" s="13">
        <f t="shared" si="34"/>
        <v>6.6750105191060172E-4</v>
      </c>
      <c r="L343" s="15">
        <v>43675</v>
      </c>
      <c r="M343">
        <f t="shared" si="35"/>
        <v>137.88754517224419</v>
      </c>
      <c r="N343">
        <f t="shared" si="36"/>
        <v>100.3823724867414</v>
      </c>
    </row>
    <row r="344" spans="1:14" x14ac:dyDescent="0.45">
      <c r="A344" s="15">
        <v>43676</v>
      </c>
      <c r="B344">
        <v>108.007721</v>
      </c>
      <c r="C344" t="b">
        <f t="shared" si="31"/>
        <v>1</v>
      </c>
      <c r="E344" s="15">
        <v>43676</v>
      </c>
      <c r="F344">
        <f t="shared" si="32"/>
        <v>108.007721</v>
      </c>
      <c r="G344">
        <v>1119.01001</v>
      </c>
      <c r="I344" s="13">
        <f t="shared" si="33"/>
        <v>-6.4406746215802335E-2</v>
      </c>
      <c r="J344" s="13">
        <f t="shared" si="34"/>
        <v>-1.7852254731605011E-2</v>
      </c>
      <c r="L344" s="15">
        <v>43676</v>
      </c>
      <c r="M344">
        <f t="shared" si="35"/>
        <v>129.00665704401547</v>
      </c>
      <c r="N344">
        <f t="shared" si="36"/>
        <v>98.590320802545236</v>
      </c>
    </row>
    <row r="345" spans="1:14" x14ac:dyDescent="0.45">
      <c r="A345" s="15">
        <v>43677</v>
      </c>
      <c r="B345">
        <v>108.555588</v>
      </c>
      <c r="C345" t="b">
        <f t="shared" si="31"/>
        <v>1</v>
      </c>
      <c r="E345" s="15">
        <v>43677</v>
      </c>
      <c r="F345">
        <f t="shared" si="32"/>
        <v>108.555588</v>
      </c>
      <c r="G345">
        <v>1124.369995</v>
      </c>
      <c r="I345" s="13">
        <f t="shared" si="33"/>
        <v>5.0724799572430257E-3</v>
      </c>
      <c r="J345" s="13">
        <f t="shared" si="34"/>
        <v>4.7899348103239703E-3</v>
      </c>
      <c r="L345" s="15">
        <v>43677</v>
      </c>
      <c r="M345">
        <f t="shared" si="35"/>
        <v>129.66104072622215</v>
      </c>
      <c r="N345">
        <f t="shared" si="36"/>
        <v>99.062562012118349</v>
      </c>
    </row>
    <row r="346" spans="1:14" x14ac:dyDescent="0.45">
      <c r="A346" s="15">
        <v>43678</v>
      </c>
      <c r="B346">
        <v>110.74704</v>
      </c>
      <c r="C346" t="b">
        <f t="shared" si="31"/>
        <v>1</v>
      </c>
      <c r="E346" s="15">
        <v>43678</v>
      </c>
      <c r="F346">
        <f t="shared" si="32"/>
        <v>110.74704</v>
      </c>
      <c r="G346">
        <v>1138.420044</v>
      </c>
      <c r="I346" s="13">
        <f t="shared" si="33"/>
        <v>2.0187371653313635E-2</v>
      </c>
      <c r="J346" s="13">
        <f t="shared" si="34"/>
        <v>1.249593022090556E-2</v>
      </c>
      <c r="L346" s="15">
        <v>43678</v>
      </c>
      <c r="M346">
        <f t="shared" si="35"/>
        <v>132.27855634431785</v>
      </c>
      <c r="N346">
        <f t="shared" si="36"/>
        <v>100.3004408745259</v>
      </c>
    </row>
    <row r="347" spans="1:14" x14ac:dyDescent="0.45">
      <c r="A347" s="15">
        <v>43679</v>
      </c>
      <c r="B347">
        <v>107.929451</v>
      </c>
      <c r="C347" t="b">
        <f t="shared" si="31"/>
        <v>1</v>
      </c>
      <c r="E347" s="15">
        <v>43679</v>
      </c>
      <c r="F347">
        <f t="shared" si="32"/>
        <v>107.929451</v>
      </c>
      <c r="G347">
        <v>1118.530029</v>
      </c>
      <c r="I347" s="13">
        <f t="shared" si="33"/>
        <v>-2.5441664174500667E-2</v>
      </c>
      <c r="J347" s="13">
        <f t="shared" si="34"/>
        <v>-1.7471595923516547E-2</v>
      </c>
      <c r="L347" s="15">
        <v>43679</v>
      </c>
      <c r="M347">
        <f t="shared" si="35"/>
        <v>128.91316973631794</v>
      </c>
      <c r="N347">
        <f t="shared" si="36"/>
        <v>98.548032100615629</v>
      </c>
    </row>
    <row r="348" spans="1:14" x14ac:dyDescent="0.45">
      <c r="A348" s="15">
        <v>43683</v>
      </c>
      <c r="B348">
        <v>106.324997</v>
      </c>
      <c r="C348" t="b">
        <f t="shared" si="31"/>
        <v>1</v>
      </c>
      <c r="E348" s="15">
        <v>43683</v>
      </c>
      <c r="F348">
        <f t="shared" si="32"/>
        <v>106.324997</v>
      </c>
      <c r="G348">
        <v>1098.8000489999999</v>
      </c>
      <c r="I348" s="13">
        <f t="shared" si="33"/>
        <v>-1.4865766342126663E-2</v>
      </c>
      <c r="J348" s="13">
        <f t="shared" si="34"/>
        <v>-1.763920457069823E-2</v>
      </c>
      <c r="L348" s="15">
        <v>43683</v>
      </c>
      <c r="M348">
        <f t="shared" si="35"/>
        <v>126.99677667659492</v>
      </c>
      <c r="N348">
        <f t="shared" si="36"/>
        <v>96.80972320235314</v>
      </c>
    </row>
    <row r="349" spans="1:14" x14ac:dyDescent="0.45">
      <c r="A349" s="15">
        <v>43684</v>
      </c>
      <c r="B349">
        <v>107.655525</v>
      </c>
      <c r="C349" t="b">
        <f t="shared" si="31"/>
        <v>1</v>
      </c>
      <c r="E349" s="15">
        <v>43684</v>
      </c>
      <c r="F349">
        <f t="shared" si="32"/>
        <v>107.655525</v>
      </c>
      <c r="G349">
        <v>1104.650024</v>
      </c>
      <c r="I349" s="13">
        <f t="shared" si="33"/>
        <v>1.2513783564931602E-2</v>
      </c>
      <c r="J349" s="13">
        <f t="shared" si="34"/>
        <v>5.3239668175515398E-3</v>
      </c>
      <c r="L349" s="15">
        <v>43684</v>
      </c>
      <c r="M349">
        <f t="shared" si="35"/>
        <v>128.58598685336977</v>
      </c>
      <c r="N349">
        <f t="shared" si="36"/>
        <v>97.325134956298811</v>
      </c>
    </row>
    <row r="350" spans="1:14" x14ac:dyDescent="0.45">
      <c r="A350" s="15">
        <v>43685</v>
      </c>
      <c r="B350">
        <v>108.79038199999999</v>
      </c>
      <c r="C350" t="b">
        <f t="shared" si="31"/>
        <v>1</v>
      </c>
      <c r="E350" s="15">
        <v>43685</v>
      </c>
      <c r="F350">
        <f t="shared" si="32"/>
        <v>108.79038199999999</v>
      </c>
      <c r="G350">
        <v>1121.75</v>
      </c>
      <c r="I350" s="13">
        <f t="shared" si="33"/>
        <v>1.0541558364050463E-2</v>
      </c>
      <c r="J350" s="13">
        <f t="shared" si="34"/>
        <v>1.5479994232091787E-2</v>
      </c>
      <c r="L350" s="15">
        <v>43685</v>
      </c>
      <c r="M350">
        <f t="shared" si="35"/>
        <v>129.94148353858361</v>
      </c>
      <c r="N350">
        <f t="shared" si="36"/>
        <v>98.831727484059869</v>
      </c>
    </row>
    <row r="351" spans="1:14" x14ac:dyDescent="0.45">
      <c r="A351" s="15">
        <v>43686</v>
      </c>
      <c r="B351">
        <v>107.420731</v>
      </c>
      <c r="C351" t="b">
        <f t="shared" si="31"/>
        <v>1</v>
      </c>
      <c r="E351" s="15">
        <v>43686</v>
      </c>
      <c r="F351">
        <f t="shared" si="32"/>
        <v>107.420731</v>
      </c>
      <c r="G351">
        <v>1113.969971</v>
      </c>
      <c r="I351" s="13">
        <f t="shared" si="33"/>
        <v>-1.2589816993196945E-2</v>
      </c>
      <c r="J351" s="13">
        <f t="shared" si="34"/>
        <v>-6.9356175618453531E-3</v>
      </c>
      <c r="L351" s="15">
        <v>43686</v>
      </c>
      <c r="M351">
        <f t="shared" si="35"/>
        <v>128.30554404100832</v>
      </c>
      <c r="N351">
        <f t="shared" si="36"/>
        <v>98.146268419253914</v>
      </c>
    </row>
    <row r="352" spans="1:14" x14ac:dyDescent="0.45">
      <c r="A352" s="15">
        <v>43689</v>
      </c>
      <c r="B352">
        <v>104.759674</v>
      </c>
      <c r="C352" t="b">
        <f t="shared" si="31"/>
        <v>1</v>
      </c>
      <c r="E352" s="15">
        <v>43689</v>
      </c>
      <c r="F352">
        <f t="shared" si="32"/>
        <v>104.759674</v>
      </c>
      <c r="G352">
        <v>1104.3000489999999</v>
      </c>
      <c r="I352" s="13">
        <f t="shared" si="33"/>
        <v>-2.477228534220266E-2</v>
      </c>
      <c r="J352" s="13">
        <f t="shared" si="34"/>
        <v>-8.6805948559990354E-3</v>
      </c>
      <c r="L352" s="15">
        <v>43689</v>
      </c>
      <c r="M352">
        <f t="shared" si="35"/>
        <v>125.12712249303792</v>
      </c>
      <c r="N352">
        <f t="shared" si="36"/>
        <v>97.294300426478245</v>
      </c>
    </row>
    <row r="353" spans="1:14" x14ac:dyDescent="0.45">
      <c r="A353" s="15">
        <v>43690</v>
      </c>
      <c r="B353">
        <v>103.703064</v>
      </c>
      <c r="C353" t="b">
        <f t="shared" si="31"/>
        <v>1</v>
      </c>
      <c r="E353" s="15">
        <v>43690</v>
      </c>
      <c r="F353">
        <f t="shared" si="32"/>
        <v>103.703064</v>
      </c>
      <c r="G353">
        <v>1113.76001</v>
      </c>
      <c r="I353" s="13">
        <f t="shared" si="33"/>
        <v>-1.0086037495687594E-2</v>
      </c>
      <c r="J353" s="13">
        <f t="shared" si="34"/>
        <v>8.5664770263902401E-3</v>
      </c>
      <c r="L353" s="15">
        <v>43690</v>
      </c>
      <c r="M353">
        <f t="shared" si="35"/>
        <v>123.86508564384565</v>
      </c>
      <c r="N353">
        <f t="shared" si="36"/>
        <v>98.127769815880384</v>
      </c>
    </row>
    <row r="354" spans="1:14" x14ac:dyDescent="0.45">
      <c r="A354" s="15">
        <v>43691</v>
      </c>
      <c r="B354">
        <v>103.429131</v>
      </c>
      <c r="C354" t="b">
        <f t="shared" si="31"/>
        <v>1</v>
      </c>
      <c r="E354" s="15">
        <v>43691</v>
      </c>
      <c r="F354">
        <f t="shared" si="32"/>
        <v>103.429131</v>
      </c>
      <c r="G354">
        <v>1098.6999510000001</v>
      </c>
      <c r="I354" s="13">
        <f t="shared" si="33"/>
        <v>-2.6415130800764297E-3</v>
      </c>
      <c r="J354" s="13">
        <f t="shared" si="34"/>
        <v>-1.3521816966655109E-2</v>
      </c>
      <c r="L354" s="15">
        <v>43691</v>
      </c>
      <c r="M354">
        <f t="shared" si="35"/>
        <v>123.53789439995263</v>
      </c>
      <c r="N354">
        <f t="shared" si="36"/>
        <v>96.800904073083984</v>
      </c>
    </row>
    <row r="355" spans="1:14" x14ac:dyDescent="0.45">
      <c r="A355" s="15">
        <v>43692</v>
      </c>
      <c r="B355">
        <v>98.811408999999998</v>
      </c>
      <c r="C355" t="b">
        <f t="shared" ref="C355:C386" si="37">E355=A355</f>
        <v>1</v>
      </c>
      <c r="E355" s="15">
        <v>43692</v>
      </c>
      <c r="F355">
        <f t="shared" si="32"/>
        <v>98.811408999999998</v>
      </c>
      <c r="G355">
        <v>1098.9300539999999</v>
      </c>
      <c r="I355" s="13">
        <f t="shared" si="33"/>
        <v>-4.4646241879379267E-2</v>
      </c>
      <c r="J355" s="13">
        <f t="shared" si="34"/>
        <v>2.0943206540646742E-4</v>
      </c>
      <c r="L355" s="15">
        <v>43692</v>
      </c>
      <c r="M355">
        <f t="shared" si="35"/>
        <v>118.02239168530313</v>
      </c>
      <c r="N355">
        <f t="shared" si="36"/>
        <v>96.821177286357226</v>
      </c>
    </row>
    <row r="356" spans="1:14" x14ac:dyDescent="0.45">
      <c r="A356" s="15">
        <v>43693</v>
      </c>
      <c r="B356">
        <v>98.889679000000001</v>
      </c>
      <c r="C356" t="b">
        <f t="shared" si="37"/>
        <v>1</v>
      </c>
      <c r="E356" s="15">
        <v>43693</v>
      </c>
      <c r="F356">
        <f t="shared" si="32"/>
        <v>98.889679000000001</v>
      </c>
      <c r="G356">
        <v>1120.290039</v>
      </c>
      <c r="I356" s="13">
        <f t="shared" si="33"/>
        <v>7.9211500769105214E-4</v>
      </c>
      <c r="J356" s="13">
        <f t="shared" si="34"/>
        <v>1.9437074199810667E-2</v>
      </c>
      <c r="L356" s="15">
        <v>43693</v>
      </c>
      <c r="M356">
        <f t="shared" si="35"/>
        <v>118.11587899300065</v>
      </c>
      <c r="N356">
        <f t="shared" si="36"/>
        <v>98.703097693385175</v>
      </c>
    </row>
    <row r="357" spans="1:14" x14ac:dyDescent="0.45">
      <c r="A357" s="15">
        <v>43696</v>
      </c>
      <c r="B357">
        <v>99.515816000000001</v>
      </c>
      <c r="C357" t="b">
        <f t="shared" si="37"/>
        <v>1</v>
      </c>
      <c r="E357" s="15">
        <v>43696</v>
      </c>
      <c r="F357">
        <f t="shared" si="32"/>
        <v>99.515816000000001</v>
      </c>
      <c r="G357">
        <v>1123.790039</v>
      </c>
      <c r="I357" s="13">
        <f t="shared" si="33"/>
        <v>6.3316718825632279E-3</v>
      </c>
      <c r="J357" s="13">
        <f t="shared" si="34"/>
        <v>3.1241909489119202E-3</v>
      </c>
      <c r="L357" s="15">
        <v>43696</v>
      </c>
      <c r="M357">
        <f t="shared" si="35"/>
        <v>118.86374998290488</v>
      </c>
      <c r="N357">
        <f t="shared" si="36"/>
        <v>99.011465017828414</v>
      </c>
    </row>
    <row r="358" spans="1:14" x14ac:dyDescent="0.45">
      <c r="A358" s="15">
        <v>43697</v>
      </c>
      <c r="B358">
        <v>100.728943</v>
      </c>
      <c r="C358" t="b">
        <f t="shared" si="37"/>
        <v>1</v>
      </c>
      <c r="E358" s="15">
        <v>43697</v>
      </c>
      <c r="F358">
        <f t="shared" si="32"/>
        <v>100.728943</v>
      </c>
      <c r="G358">
        <v>1124.099976</v>
      </c>
      <c r="I358" s="13">
        <f t="shared" si="33"/>
        <v>1.2190293450440093E-2</v>
      </c>
      <c r="J358" s="13">
        <f t="shared" si="34"/>
        <v>2.7579618010831197E-4</v>
      </c>
      <c r="L358" s="15">
        <v>43697</v>
      </c>
      <c r="M358">
        <f t="shared" si="35"/>
        <v>120.31273397581623</v>
      </c>
      <c r="N358">
        <f t="shared" si="36"/>
        <v>99.038772001667255</v>
      </c>
    </row>
    <row r="359" spans="1:14" x14ac:dyDescent="0.45">
      <c r="A359" s="15">
        <v>43698</v>
      </c>
      <c r="B359">
        <v>104.25093099999999</v>
      </c>
      <c r="C359" t="b">
        <f t="shared" si="37"/>
        <v>1</v>
      </c>
      <c r="E359" s="15">
        <v>43698</v>
      </c>
      <c r="F359">
        <f t="shared" si="32"/>
        <v>104.25093099999999</v>
      </c>
      <c r="G359">
        <v>1142.400024</v>
      </c>
      <c r="I359" s="13">
        <f t="shared" si="33"/>
        <v>3.4965005043287256E-2</v>
      </c>
      <c r="J359" s="13">
        <f t="shared" si="34"/>
        <v>1.6279733467408297E-2</v>
      </c>
      <c r="L359" s="15">
        <v>43698</v>
      </c>
      <c r="M359">
        <f t="shared" si="35"/>
        <v>124.51946932605232</v>
      </c>
      <c r="N359">
        <f t="shared" si="36"/>
        <v>100.65109681279381</v>
      </c>
    </row>
    <row r="360" spans="1:14" x14ac:dyDescent="0.45">
      <c r="A360" s="15">
        <v>43699</v>
      </c>
      <c r="B360">
        <v>104.25093099999999</v>
      </c>
      <c r="C360" t="b">
        <f t="shared" si="37"/>
        <v>1</v>
      </c>
      <c r="E360" s="15">
        <v>43699</v>
      </c>
      <c r="F360">
        <f t="shared" si="32"/>
        <v>104.25093099999999</v>
      </c>
      <c r="G360">
        <v>1138.9499510000001</v>
      </c>
      <c r="I360" s="13">
        <f t="shared" si="33"/>
        <v>0</v>
      </c>
      <c r="J360" s="13">
        <f t="shared" si="34"/>
        <v>-3.0200218203076945E-3</v>
      </c>
      <c r="L360" s="15">
        <v>43699</v>
      </c>
      <c r="M360">
        <f t="shared" si="35"/>
        <v>124.51946932605232</v>
      </c>
      <c r="N360">
        <f t="shared" si="36"/>
        <v>100.34712830418127</v>
      </c>
    </row>
    <row r="361" spans="1:14" x14ac:dyDescent="0.45">
      <c r="A361" s="15">
        <v>43700</v>
      </c>
      <c r="B361">
        <v>104.955338</v>
      </c>
      <c r="C361" t="b">
        <f t="shared" si="37"/>
        <v>1</v>
      </c>
      <c r="E361" s="15">
        <v>43700</v>
      </c>
      <c r="F361">
        <f t="shared" si="32"/>
        <v>104.955338</v>
      </c>
      <c r="G361">
        <v>1135.3900149999999</v>
      </c>
      <c r="I361" s="13">
        <f t="shared" si="33"/>
        <v>6.7568413369853975E-3</v>
      </c>
      <c r="J361" s="13">
        <f t="shared" si="34"/>
        <v>-3.125629881167713E-3</v>
      </c>
      <c r="L361" s="15">
        <v>43700</v>
      </c>
      <c r="M361">
        <f t="shared" si="35"/>
        <v>125.36082762365407</v>
      </c>
      <c r="N361">
        <f t="shared" si="36"/>
        <v>100.03348032146435</v>
      </c>
    </row>
    <row r="362" spans="1:14" x14ac:dyDescent="0.45">
      <c r="A362" s="15">
        <v>43703</v>
      </c>
      <c r="B362">
        <v>104.798805</v>
      </c>
      <c r="C362" t="b">
        <f t="shared" si="37"/>
        <v>1</v>
      </c>
      <c r="E362" s="15">
        <v>43703</v>
      </c>
      <c r="F362">
        <f t="shared" si="32"/>
        <v>104.798805</v>
      </c>
      <c r="G362">
        <v>1124.420044</v>
      </c>
      <c r="I362" s="13">
        <f t="shared" si="33"/>
        <v>-1.4914248573044686E-3</v>
      </c>
      <c r="J362" s="13">
        <f t="shared" si="34"/>
        <v>-9.6618526277950645E-3</v>
      </c>
      <c r="L362" s="15">
        <v>43703</v>
      </c>
      <c r="M362">
        <f t="shared" si="35"/>
        <v>125.17386136920389</v>
      </c>
      <c r="N362">
        <f t="shared" si="36"/>
        <v>99.06697157675292</v>
      </c>
    </row>
    <row r="363" spans="1:14" x14ac:dyDescent="0.45">
      <c r="A363" s="15">
        <v>43704</v>
      </c>
      <c r="B363">
        <v>103.429131</v>
      </c>
      <c r="C363" t="b">
        <f t="shared" si="37"/>
        <v>1</v>
      </c>
      <c r="E363" s="15">
        <v>43704</v>
      </c>
      <c r="F363">
        <f t="shared" si="32"/>
        <v>103.429131</v>
      </c>
      <c r="G363">
        <v>1129.3599850000001</v>
      </c>
      <c r="I363" s="13">
        <f t="shared" si="33"/>
        <v>-1.3069557424819855E-2</v>
      </c>
      <c r="J363" s="13">
        <f t="shared" si="34"/>
        <v>4.393323497175361E-3</v>
      </c>
      <c r="L363" s="15">
        <v>43704</v>
      </c>
      <c r="M363">
        <f t="shared" si="35"/>
        <v>123.53789439995263</v>
      </c>
      <c r="N363">
        <f t="shared" si="36"/>
        <v>99.502204830775071</v>
      </c>
    </row>
    <row r="364" spans="1:14" x14ac:dyDescent="0.45">
      <c r="A364" s="15">
        <v>43705</v>
      </c>
      <c r="B364">
        <v>101.668137</v>
      </c>
      <c r="C364" t="b">
        <f t="shared" si="37"/>
        <v>1</v>
      </c>
      <c r="E364" s="15">
        <v>43705</v>
      </c>
      <c r="F364">
        <f t="shared" si="32"/>
        <v>101.668137</v>
      </c>
      <c r="G364">
        <v>1123.2700199999999</v>
      </c>
      <c r="I364" s="13">
        <f t="shared" si="33"/>
        <v>-1.7026092967947215E-2</v>
      </c>
      <c r="J364" s="13">
        <f t="shared" si="34"/>
        <v>-5.3924037338723974E-3</v>
      </c>
      <c r="L364" s="15">
        <v>43705</v>
      </c>
      <c r="M364">
        <f t="shared" si="35"/>
        <v>121.4345267248346</v>
      </c>
      <c r="N364">
        <f t="shared" si="36"/>
        <v>98.965648769917067</v>
      </c>
    </row>
    <row r="365" spans="1:14" x14ac:dyDescent="0.45">
      <c r="A365" s="15">
        <v>43706</v>
      </c>
      <c r="B365">
        <v>95.348122000000004</v>
      </c>
      <c r="C365" t="b">
        <f t="shared" si="37"/>
        <v>1</v>
      </c>
      <c r="E365" s="15">
        <v>43706</v>
      </c>
      <c r="F365">
        <f t="shared" si="32"/>
        <v>95.348122000000004</v>
      </c>
      <c r="G365">
        <v>1122.8599850000001</v>
      </c>
      <c r="I365" s="13">
        <f t="shared" si="33"/>
        <v>-6.2163182944918072E-2</v>
      </c>
      <c r="J365" s="13">
        <f t="shared" si="34"/>
        <v>-3.6503689469058465E-4</v>
      </c>
      <c r="L365" s="15">
        <v>43706</v>
      </c>
      <c r="M365">
        <f t="shared" si="35"/>
        <v>113.88577002420917</v>
      </c>
      <c r="N365">
        <f t="shared" si="36"/>
        <v>98.929522656809056</v>
      </c>
    </row>
    <row r="366" spans="1:14" x14ac:dyDescent="0.45">
      <c r="A366" s="15">
        <v>43707</v>
      </c>
      <c r="B366">
        <v>97.539580999999998</v>
      </c>
      <c r="C366" t="b">
        <f t="shared" si="37"/>
        <v>1</v>
      </c>
      <c r="E366" s="15">
        <v>43707</v>
      </c>
      <c r="F366">
        <f t="shared" si="32"/>
        <v>97.539580999999998</v>
      </c>
      <c r="G366">
        <v>1133.6899410000001</v>
      </c>
      <c r="I366" s="13">
        <f t="shared" si="33"/>
        <v>2.298376679091807E-2</v>
      </c>
      <c r="J366" s="13">
        <f t="shared" si="34"/>
        <v>9.6449745691133959E-3</v>
      </c>
      <c r="L366" s="15">
        <v>43707</v>
      </c>
      <c r="M366">
        <f t="shared" si="35"/>
        <v>116.50329400324972</v>
      </c>
      <c r="N366">
        <f t="shared" si="36"/>
        <v>99.883695386968512</v>
      </c>
    </row>
    <row r="367" spans="1:14" x14ac:dyDescent="0.45">
      <c r="A367" s="15">
        <v>43710</v>
      </c>
      <c r="B367">
        <v>97.422188000000006</v>
      </c>
      <c r="C367" t="b">
        <f t="shared" si="37"/>
        <v>1</v>
      </c>
      <c r="E367" s="15">
        <v>43710</v>
      </c>
      <c r="F367">
        <f t="shared" si="32"/>
        <v>97.422188000000006</v>
      </c>
      <c r="G367">
        <v>1141.709961</v>
      </c>
      <c r="I367" s="13">
        <f t="shared" si="33"/>
        <v>-1.203542180481465E-3</v>
      </c>
      <c r="J367" s="13">
        <f t="shared" si="34"/>
        <v>7.0742622916153408E-3</v>
      </c>
      <c r="L367" s="15">
        <v>43710</v>
      </c>
      <c r="M367">
        <f t="shared" si="35"/>
        <v>116.36307737475178</v>
      </c>
      <c r="N367">
        <f t="shared" si="36"/>
        <v>100.59029884679174</v>
      </c>
    </row>
    <row r="368" spans="1:14" x14ac:dyDescent="0.45">
      <c r="A368" s="15">
        <v>43711</v>
      </c>
      <c r="B368">
        <v>96.404715999999993</v>
      </c>
      <c r="C368" t="b">
        <f t="shared" si="37"/>
        <v>1</v>
      </c>
      <c r="E368" s="15">
        <v>43711</v>
      </c>
      <c r="F368">
        <f t="shared" si="32"/>
        <v>96.404715999999993</v>
      </c>
      <c r="G368">
        <v>1144.6400149999999</v>
      </c>
      <c r="I368" s="13">
        <f t="shared" si="33"/>
        <v>-1.0443945274561162E-2</v>
      </c>
      <c r="J368" s="13">
        <f t="shared" si="34"/>
        <v>2.5663733348122442E-3</v>
      </c>
      <c r="L368" s="15">
        <v>43711</v>
      </c>
      <c r="M368">
        <f t="shared" si="35"/>
        <v>115.14778776267035</v>
      </c>
      <c r="N368">
        <f t="shared" si="36"/>
        <v>100.84845110749293</v>
      </c>
    </row>
    <row r="369" spans="1:14" x14ac:dyDescent="0.45">
      <c r="A369" s="15">
        <v>43712</v>
      </c>
      <c r="B369">
        <v>97.754813999999996</v>
      </c>
      <c r="C369" t="b">
        <f t="shared" si="37"/>
        <v>1</v>
      </c>
      <c r="E369" s="15">
        <v>43712</v>
      </c>
      <c r="F369">
        <f t="shared" si="32"/>
        <v>97.754813999999996</v>
      </c>
      <c r="G369">
        <v>1151.5</v>
      </c>
      <c r="I369" s="13">
        <f t="shared" si="33"/>
        <v>1.4004480859629354E-2</v>
      </c>
      <c r="J369" s="13">
        <f t="shared" si="34"/>
        <v>5.9931375018371646E-3</v>
      </c>
      <c r="L369" s="15">
        <v>43712</v>
      </c>
      <c r="M369">
        <f t="shared" si="35"/>
        <v>116.76037275242133</v>
      </c>
      <c r="N369">
        <f t="shared" si="36"/>
        <v>101.45284974182744</v>
      </c>
    </row>
    <row r="370" spans="1:14" x14ac:dyDescent="0.45">
      <c r="A370" s="15">
        <v>43713</v>
      </c>
      <c r="B370">
        <v>97.911354000000003</v>
      </c>
      <c r="C370" t="b">
        <f t="shared" si="37"/>
        <v>1</v>
      </c>
      <c r="E370" s="15">
        <v>43713</v>
      </c>
      <c r="F370">
        <f t="shared" si="32"/>
        <v>97.911354000000003</v>
      </c>
      <c r="G370">
        <v>1155.619995</v>
      </c>
      <c r="I370" s="13">
        <f t="shared" si="33"/>
        <v>1.6013533614827047E-3</v>
      </c>
      <c r="J370" s="13">
        <f t="shared" si="34"/>
        <v>3.5779374728615032E-3</v>
      </c>
      <c r="L370" s="15">
        <v>43713</v>
      </c>
      <c r="M370">
        <f t="shared" si="35"/>
        <v>116.94734736781639</v>
      </c>
      <c r="N370">
        <f t="shared" si="36"/>
        <v>101.8158416946473</v>
      </c>
    </row>
    <row r="371" spans="1:14" x14ac:dyDescent="0.45">
      <c r="A371" s="15">
        <v>43714</v>
      </c>
      <c r="B371">
        <v>98.928818000000007</v>
      </c>
      <c r="C371" t="b">
        <f t="shared" si="37"/>
        <v>1</v>
      </c>
      <c r="E371" s="15">
        <v>43714</v>
      </c>
      <c r="F371">
        <f t="shared" si="32"/>
        <v>98.928818000000007</v>
      </c>
      <c r="G371">
        <v>1156.73999</v>
      </c>
      <c r="I371" s="13">
        <f t="shared" si="33"/>
        <v>1.0391685524030247E-2</v>
      </c>
      <c r="J371" s="13">
        <f t="shared" si="34"/>
        <v>9.6917239650218256E-4</v>
      </c>
      <c r="L371" s="15">
        <v>43714</v>
      </c>
      <c r="M371">
        <f t="shared" si="35"/>
        <v>118.16262742453226</v>
      </c>
      <c r="N371">
        <f t="shared" si="36"/>
        <v>101.9145187979444</v>
      </c>
    </row>
    <row r="372" spans="1:14" x14ac:dyDescent="0.45">
      <c r="A372" s="15">
        <v>43717</v>
      </c>
      <c r="B372">
        <v>102.529076</v>
      </c>
      <c r="C372" t="b">
        <f t="shared" si="37"/>
        <v>1</v>
      </c>
      <c r="E372" s="15">
        <v>43717</v>
      </c>
      <c r="F372">
        <f t="shared" si="32"/>
        <v>102.529076</v>
      </c>
      <c r="G372">
        <v>1149.51001</v>
      </c>
      <c r="I372" s="13">
        <f t="shared" si="33"/>
        <v>3.6392408933865861E-2</v>
      </c>
      <c r="J372" s="13">
        <f t="shared" si="34"/>
        <v>-6.2503069510029263E-3</v>
      </c>
      <c r="L372" s="15">
        <v>43717</v>
      </c>
      <c r="M372">
        <f t="shared" si="35"/>
        <v>122.46285008246588</v>
      </c>
      <c r="N372">
        <f t="shared" si="36"/>
        <v>101.27752177269349</v>
      </c>
    </row>
    <row r="373" spans="1:14" x14ac:dyDescent="0.45">
      <c r="A373" s="15">
        <v>43718</v>
      </c>
      <c r="B373">
        <v>104.094398</v>
      </c>
      <c r="C373" t="b">
        <f t="shared" si="37"/>
        <v>1</v>
      </c>
      <c r="E373" s="15">
        <v>43718</v>
      </c>
      <c r="F373">
        <f t="shared" si="32"/>
        <v>104.094398</v>
      </c>
      <c r="G373">
        <v>1132.089966</v>
      </c>
      <c r="I373" s="13">
        <f t="shared" si="33"/>
        <v>1.526710335319903E-2</v>
      </c>
      <c r="J373" s="13">
        <f t="shared" si="34"/>
        <v>-1.5154321274679416E-2</v>
      </c>
      <c r="L373" s="15">
        <v>43718</v>
      </c>
      <c r="M373">
        <f t="shared" si="35"/>
        <v>124.3325030716022</v>
      </c>
      <c r="N373">
        <f t="shared" si="36"/>
        <v>99.742729669846753</v>
      </c>
    </row>
    <row r="374" spans="1:14" x14ac:dyDescent="0.45">
      <c r="A374" s="15">
        <v>43719</v>
      </c>
      <c r="B374">
        <v>108.007721</v>
      </c>
      <c r="C374" t="b">
        <f t="shared" si="37"/>
        <v>1</v>
      </c>
      <c r="E374" s="15">
        <v>43719</v>
      </c>
      <c r="F374">
        <f t="shared" si="32"/>
        <v>108.007721</v>
      </c>
      <c r="G374">
        <v>1152.660034</v>
      </c>
      <c r="I374" s="13">
        <f t="shared" si="33"/>
        <v>3.7593982723258534E-2</v>
      </c>
      <c r="J374" s="13">
        <f t="shared" si="34"/>
        <v>1.8169994097447795E-2</v>
      </c>
      <c r="L374" s="15">
        <v>43719</v>
      </c>
      <c r="M374">
        <f t="shared" si="35"/>
        <v>129.0066570440155</v>
      </c>
      <c r="N374">
        <f t="shared" si="36"/>
        <v>101.55505447921119</v>
      </c>
    </row>
    <row r="375" spans="1:14" x14ac:dyDescent="0.45">
      <c r="A375" s="15">
        <v>43720</v>
      </c>
      <c r="B375">
        <v>108.320786</v>
      </c>
      <c r="C375" t="b">
        <f t="shared" si="37"/>
        <v>1</v>
      </c>
      <c r="E375" s="15">
        <v>43720</v>
      </c>
      <c r="F375">
        <f t="shared" si="32"/>
        <v>108.320786</v>
      </c>
      <c r="G375">
        <v>1149.219971</v>
      </c>
      <c r="I375" s="13">
        <f t="shared" si="33"/>
        <v>2.8985427810295228E-3</v>
      </c>
      <c r="J375" s="13">
        <f t="shared" si="34"/>
        <v>-2.9844558660216958E-3</v>
      </c>
      <c r="L375" s="15">
        <v>43720</v>
      </c>
      <c r="M375">
        <f t="shared" si="35"/>
        <v>129.38058835849517</v>
      </c>
      <c r="N375">
        <f t="shared" si="36"/>
        <v>101.25196790114656</v>
      </c>
    </row>
    <row r="376" spans="1:14" x14ac:dyDescent="0.45">
      <c r="A376" s="15">
        <v>43721</v>
      </c>
      <c r="B376">
        <v>108.35992400000001</v>
      </c>
      <c r="C376" t="b">
        <f t="shared" si="37"/>
        <v>1</v>
      </c>
      <c r="E376" s="15">
        <v>43721</v>
      </c>
      <c r="F376">
        <f t="shared" si="32"/>
        <v>108.35992400000001</v>
      </c>
      <c r="G376">
        <v>1147.910034</v>
      </c>
      <c r="I376" s="13">
        <f t="shared" si="33"/>
        <v>3.6131569429342925E-4</v>
      </c>
      <c r="J376" s="13">
        <f t="shared" si="34"/>
        <v>-1.139848795753351E-3</v>
      </c>
      <c r="L376" s="15">
        <v>43721</v>
      </c>
      <c r="M376">
        <f t="shared" si="35"/>
        <v>129.42733559560602</v>
      </c>
      <c r="N376">
        <f t="shared" si="36"/>
        <v>101.13655596746678</v>
      </c>
    </row>
    <row r="377" spans="1:14" x14ac:dyDescent="0.45">
      <c r="A377" s="15">
        <v>43724</v>
      </c>
      <c r="B377">
        <v>106.833725</v>
      </c>
      <c r="C377" t="b">
        <f t="shared" si="37"/>
        <v>1</v>
      </c>
      <c r="E377" s="15">
        <v>43724</v>
      </c>
      <c r="F377">
        <f t="shared" si="32"/>
        <v>106.833725</v>
      </c>
      <c r="G377">
        <v>1138.8199460000001</v>
      </c>
      <c r="I377" s="13">
        <f t="shared" si="33"/>
        <v>-1.4084533687934386E-2</v>
      </c>
      <c r="J377" s="13">
        <f t="shared" si="34"/>
        <v>-7.9188157004993487E-3</v>
      </c>
      <c r="L377" s="15">
        <v>43724</v>
      </c>
      <c r="M377">
        <f t="shared" si="35"/>
        <v>127.60441192727012</v>
      </c>
      <c r="N377">
        <f t="shared" si="36"/>
        <v>100.33567422017717</v>
      </c>
    </row>
    <row r="378" spans="1:14" x14ac:dyDescent="0.45">
      <c r="A378" s="15">
        <v>43725</v>
      </c>
      <c r="B378">
        <v>106.794594</v>
      </c>
      <c r="C378" t="b">
        <f t="shared" si="37"/>
        <v>1</v>
      </c>
      <c r="E378" s="15">
        <v>43725</v>
      </c>
      <c r="F378">
        <f t="shared" si="32"/>
        <v>106.794594</v>
      </c>
      <c r="G378">
        <v>1144.420044</v>
      </c>
      <c r="I378" s="13">
        <f t="shared" si="33"/>
        <v>-3.6627946839817849E-4</v>
      </c>
      <c r="J378" s="13">
        <f t="shared" si="34"/>
        <v>4.9174568988448186E-3</v>
      </c>
      <c r="L378" s="15">
        <v>43725</v>
      </c>
      <c r="M378">
        <f t="shared" si="35"/>
        <v>127.55767305110413</v>
      </c>
      <c r="N378">
        <f t="shared" si="36"/>
        <v>100.82907057357143</v>
      </c>
    </row>
    <row r="379" spans="1:14" x14ac:dyDescent="0.45">
      <c r="A379" s="15">
        <v>43726</v>
      </c>
      <c r="B379">
        <v>108.751259</v>
      </c>
      <c r="C379" t="b">
        <f t="shared" si="37"/>
        <v>1</v>
      </c>
      <c r="E379" s="15">
        <v>43726</v>
      </c>
      <c r="F379">
        <f t="shared" si="32"/>
        <v>108.751259</v>
      </c>
      <c r="G379">
        <v>1143.8000489999999</v>
      </c>
      <c r="I379" s="13">
        <f t="shared" si="33"/>
        <v>1.832176074380687E-2</v>
      </c>
      <c r="J379" s="13">
        <f t="shared" si="34"/>
        <v>-5.4175475451567756E-4</v>
      </c>
      <c r="L379" s="15">
        <v>43726</v>
      </c>
      <c r="M379">
        <f t="shared" si="35"/>
        <v>129.8947542177832</v>
      </c>
      <c r="N379">
        <f t="shared" si="36"/>
        <v>100.7744459451948</v>
      </c>
    </row>
    <row r="380" spans="1:14" x14ac:dyDescent="0.45">
      <c r="A380" s="15">
        <v>43727</v>
      </c>
      <c r="B380">
        <v>110.394836</v>
      </c>
      <c r="C380" t="b">
        <f t="shared" si="37"/>
        <v>1</v>
      </c>
      <c r="E380" s="15">
        <v>43727</v>
      </c>
      <c r="F380">
        <f t="shared" si="32"/>
        <v>110.394836</v>
      </c>
      <c r="G380">
        <v>1146.5</v>
      </c>
      <c r="I380" s="13">
        <f t="shared" si="33"/>
        <v>1.5113176758716929E-2</v>
      </c>
      <c r="J380" s="13">
        <f t="shared" si="34"/>
        <v>2.3605096033703088E-3</v>
      </c>
      <c r="L380" s="15">
        <v>43727</v>
      </c>
      <c r="M380">
        <f t="shared" si="35"/>
        <v>131.85787659830666</v>
      </c>
      <c r="N380">
        <f t="shared" si="36"/>
        <v>101.01232499262275</v>
      </c>
    </row>
    <row r="381" spans="1:14" x14ac:dyDescent="0.45">
      <c r="A381" s="15">
        <v>43728</v>
      </c>
      <c r="B381">
        <v>107.929451</v>
      </c>
      <c r="C381" t="b">
        <f t="shared" si="37"/>
        <v>1</v>
      </c>
      <c r="E381" s="15">
        <v>43728</v>
      </c>
      <c r="F381">
        <f t="shared" si="32"/>
        <v>107.929451</v>
      </c>
      <c r="G381">
        <v>1150.3100589999999</v>
      </c>
      <c r="I381" s="13">
        <f t="shared" si="33"/>
        <v>-2.2332430477092213E-2</v>
      </c>
      <c r="J381" s="13">
        <f t="shared" si="34"/>
        <v>3.3232088966419493E-3</v>
      </c>
      <c r="L381" s="15">
        <v>43728</v>
      </c>
      <c r="M381">
        <f t="shared" si="35"/>
        <v>128.91316973631797</v>
      </c>
      <c r="N381">
        <f t="shared" si="36"/>
        <v>101.34801004970872</v>
      </c>
    </row>
    <row r="382" spans="1:14" x14ac:dyDescent="0.45">
      <c r="A382" s="15">
        <v>43731</v>
      </c>
      <c r="B382">
        <v>105.97279399999999</v>
      </c>
      <c r="C382" t="b">
        <f t="shared" si="37"/>
        <v>1</v>
      </c>
      <c r="E382" s="15">
        <v>43731</v>
      </c>
      <c r="F382">
        <f t="shared" si="32"/>
        <v>105.97279399999999</v>
      </c>
      <c r="G382">
        <v>1148.8199460000001</v>
      </c>
      <c r="I382" s="13">
        <f t="shared" si="33"/>
        <v>-1.81290369020779E-2</v>
      </c>
      <c r="J382" s="13">
        <f t="shared" si="34"/>
        <v>-1.295401173223909E-3</v>
      </c>
      <c r="L382" s="15">
        <v>43731</v>
      </c>
      <c r="M382">
        <f t="shared" si="35"/>
        <v>126.57609812500442</v>
      </c>
      <c r="N382">
        <f t="shared" si="36"/>
        <v>101.21672371858642</v>
      </c>
    </row>
    <row r="383" spans="1:14" x14ac:dyDescent="0.45">
      <c r="A383" s="15">
        <v>43732</v>
      </c>
      <c r="B383">
        <v>108.08599100000001</v>
      </c>
      <c r="C383" t="b">
        <f t="shared" si="37"/>
        <v>1</v>
      </c>
      <c r="E383" s="15">
        <v>43732</v>
      </c>
      <c r="F383">
        <f t="shared" si="32"/>
        <v>108.08599100000001</v>
      </c>
      <c r="G383">
        <v>1154.4300539999999</v>
      </c>
      <c r="I383" s="13">
        <f t="shared" si="33"/>
        <v>1.9940938803595376E-2</v>
      </c>
      <c r="J383" s="13">
        <f t="shared" si="34"/>
        <v>4.8833657698348354E-3</v>
      </c>
      <c r="L383" s="15">
        <v>43732</v>
      </c>
      <c r="M383">
        <f t="shared" si="35"/>
        <v>129.10014435171303</v>
      </c>
      <c r="N383">
        <f t="shared" si="36"/>
        <v>101.7110020025286</v>
      </c>
    </row>
    <row r="384" spans="1:14" x14ac:dyDescent="0.45">
      <c r="A384" s="15">
        <v>43733</v>
      </c>
      <c r="B384">
        <v>107.381592</v>
      </c>
      <c r="C384" t="b">
        <f t="shared" si="37"/>
        <v>1</v>
      </c>
      <c r="E384" s="15">
        <v>43733</v>
      </c>
      <c r="F384">
        <f t="shared" si="32"/>
        <v>107.381592</v>
      </c>
      <c r="G384">
        <v>1142.9799800000001</v>
      </c>
      <c r="I384" s="13">
        <f t="shared" si="33"/>
        <v>-6.5170240239552646E-3</v>
      </c>
      <c r="J384" s="13">
        <f t="shared" si="34"/>
        <v>-9.9183783030650785E-3</v>
      </c>
      <c r="L384" s="15">
        <v>43733</v>
      </c>
      <c r="M384">
        <f t="shared" si="35"/>
        <v>128.25879560947683</v>
      </c>
      <c r="N384">
        <f t="shared" si="36"/>
        <v>100.70219380708372</v>
      </c>
    </row>
    <row r="385" spans="1:14" x14ac:dyDescent="0.45">
      <c r="A385" s="15">
        <v>43734</v>
      </c>
      <c r="B385">
        <v>107.30332900000001</v>
      </c>
      <c r="C385" t="b">
        <f t="shared" si="37"/>
        <v>1</v>
      </c>
      <c r="E385" s="15">
        <v>43734</v>
      </c>
      <c r="F385">
        <f t="shared" si="32"/>
        <v>107.30332900000001</v>
      </c>
      <c r="G385">
        <v>1150.329956</v>
      </c>
      <c r="I385" s="13">
        <f t="shared" si="33"/>
        <v>-7.2883069194940031E-4</v>
      </c>
      <c r="J385" s="13">
        <f t="shared" si="34"/>
        <v>6.4305378297175864E-3</v>
      </c>
      <c r="L385" s="15">
        <v>43734</v>
      </c>
      <c r="M385">
        <f t="shared" si="35"/>
        <v>128.16531666272419</v>
      </c>
      <c r="N385">
        <f t="shared" si="36"/>
        <v>101.34976307389572</v>
      </c>
    </row>
    <row r="386" spans="1:14" x14ac:dyDescent="0.45">
      <c r="A386" s="15">
        <v>43735</v>
      </c>
      <c r="B386">
        <v>106.63806200000001</v>
      </c>
      <c r="C386" t="b">
        <f t="shared" si="37"/>
        <v>1</v>
      </c>
      <c r="E386" s="15">
        <v>43735</v>
      </c>
      <c r="F386">
        <f t="shared" si="32"/>
        <v>106.63806200000001</v>
      </c>
      <c r="G386">
        <v>1148.6400149999999</v>
      </c>
      <c r="I386" s="13">
        <f t="shared" si="33"/>
        <v>-6.1998728855839902E-3</v>
      </c>
      <c r="J386" s="13">
        <f t="shared" si="34"/>
        <v>-1.4690924036060427E-3</v>
      </c>
      <c r="L386" s="15">
        <v>43735</v>
      </c>
      <c r="M386">
        <f t="shared" si="35"/>
        <v>127.37070799107468</v>
      </c>
      <c r="N386">
        <f t="shared" si="36"/>
        <v>101.20087090685658</v>
      </c>
    </row>
    <row r="387" spans="1:14" x14ac:dyDescent="0.45">
      <c r="A387" s="15">
        <v>43738</v>
      </c>
      <c r="B387">
        <v>104.055267</v>
      </c>
      <c r="C387" t="b">
        <f t="shared" ref="C387:C450" si="38">E387=A387</f>
        <v>1</v>
      </c>
      <c r="E387" s="15">
        <v>43738</v>
      </c>
      <c r="F387">
        <f t="shared" ref="F387:F450" si="39">VLOOKUP(E387,A387:B1626,2,0)</f>
        <v>104.055267</v>
      </c>
      <c r="G387">
        <v>1141.650024</v>
      </c>
      <c r="I387" s="13">
        <f t="shared" si="33"/>
        <v>-2.4220198225282874E-2</v>
      </c>
      <c r="J387" s="13">
        <f t="shared" si="34"/>
        <v>-6.0854496697991811E-3</v>
      </c>
      <c r="L387" s="15">
        <v>43738</v>
      </c>
      <c r="M387">
        <f t="shared" si="35"/>
        <v>124.28576419543623</v>
      </c>
      <c r="N387">
        <f t="shared" si="36"/>
        <v>100.58501810041307</v>
      </c>
    </row>
    <row r="388" spans="1:14" x14ac:dyDescent="0.45">
      <c r="A388" s="15">
        <v>43739</v>
      </c>
      <c r="B388">
        <v>103.742195</v>
      </c>
      <c r="C388" t="b">
        <f t="shared" si="38"/>
        <v>1</v>
      </c>
      <c r="E388" s="15">
        <v>43739</v>
      </c>
      <c r="F388">
        <f t="shared" si="39"/>
        <v>103.742195</v>
      </c>
      <c r="G388">
        <v>1128.8000489999999</v>
      </c>
      <c r="I388" s="13">
        <f t="shared" ref="I388:I451" si="40">F388/F387-1</f>
        <v>-3.0087088239368898E-3</v>
      </c>
      <c r="J388" s="13">
        <f t="shared" ref="J388:J451" si="41">G388/G387-1</f>
        <v>-1.1255616633701448E-2</v>
      </c>
      <c r="L388" s="15">
        <v>43739</v>
      </c>
      <c r="M388">
        <f t="shared" ref="M388:M451" si="42">M387*(1+I388)</f>
        <v>123.91182452001168</v>
      </c>
      <c r="N388">
        <f t="shared" ref="N388:N451" si="43">N387*(1+J388)</f>
        <v>99.452871697580889</v>
      </c>
    </row>
    <row r="389" spans="1:14" x14ac:dyDescent="0.45">
      <c r="A389" s="15">
        <v>43740</v>
      </c>
      <c r="B389">
        <v>101.12027</v>
      </c>
      <c r="C389" t="b">
        <f t="shared" si="38"/>
        <v>1</v>
      </c>
      <c r="E389" s="15">
        <v>43740</v>
      </c>
      <c r="F389">
        <f t="shared" si="39"/>
        <v>101.12027</v>
      </c>
      <c r="G389">
        <v>1099.76001</v>
      </c>
      <c r="I389" s="13">
        <f t="shared" si="40"/>
        <v>-2.5273467560619767E-2</v>
      </c>
      <c r="J389" s="13">
        <f t="shared" si="41"/>
        <v>-2.5726468585580253E-2</v>
      </c>
      <c r="L389" s="15">
        <v>43740</v>
      </c>
      <c r="M389">
        <f t="shared" si="42"/>
        <v>120.78014304262796</v>
      </c>
      <c r="N389">
        <f t="shared" si="43"/>
        <v>96.894300518107329</v>
      </c>
    </row>
    <row r="390" spans="1:14" x14ac:dyDescent="0.45">
      <c r="A390" s="15">
        <v>43741</v>
      </c>
      <c r="B390">
        <v>101.707268</v>
      </c>
      <c r="C390" t="b">
        <f t="shared" si="38"/>
        <v>1</v>
      </c>
      <c r="E390" s="15">
        <v>43741</v>
      </c>
      <c r="F390">
        <f t="shared" si="39"/>
        <v>101.707268</v>
      </c>
      <c r="G390">
        <v>1101.0600589999999</v>
      </c>
      <c r="I390" s="13">
        <f t="shared" si="40"/>
        <v>5.8049488989695419E-3</v>
      </c>
      <c r="J390" s="13">
        <f t="shared" si="41"/>
        <v>1.1821206337552237E-3</v>
      </c>
      <c r="L390" s="15">
        <v>43741</v>
      </c>
      <c r="M390">
        <f t="shared" si="42"/>
        <v>121.48126560100064</v>
      </c>
      <c r="N390">
        <f t="shared" si="43"/>
        <v>97.008841270043064</v>
      </c>
    </row>
    <row r="391" spans="1:14" x14ac:dyDescent="0.45">
      <c r="A391" s="15">
        <v>43742</v>
      </c>
      <c r="B391">
        <v>102.92040299999999</v>
      </c>
      <c r="C391" t="b">
        <f t="shared" si="38"/>
        <v>1</v>
      </c>
      <c r="E391" s="15">
        <v>43742</v>
      </c>
      <c r="F391">
        <f t="shared" si="39"/>
        <v>102.92040299999999</v>
      </c>
      <c r="G391">
        <v>1113.089966</v>
      </c>
      <c r="I391" s="13">
        <f t="shared" si="40"/>
        <v>1.1927711990061374E-2</v>
      </c>
      <c r="J391" s="13">
        <f t="shared" si="41"/>
        <v>1.0925750054838756E-2</v>
      </c>
      <c r="L391" s="15">
        <v>43742</v>
      </c>
      <c r="M391">
        <f t="shared" si="42"/>
        <v>122.93025914927753</v>
      </c>
      <c r="N391">
        <f t="shared" si="43"/>
        <v>98.068735622869085</v>
      </c>
    </row>
    <row r="392" spans="1:14" x14ac:dyDescent="0.45">
      <c r="A392" s="15">
        <v>43745</v>
      </c>
      <c r="B392">
        <v>103.03780399999999</v>
      </c>
      <c r="C392" t="b">
        <f t="shared" si="38"/>
        <v>1</v>
      </c>
      <c r="E392" s="15">
        <v>43745</v>
      </c>
      <c r="F392">
        <f t="shared" si="39"/>
        <v>103.03780399999999</v>
      </c>
      <c r="G392">
        <v>1121.6999510000001</v>
      </c>
      <c r="I392" s="13">
        <f t="shared" si="40"/>
        <v>1.1406970491556478E-3</v>
      </c>
      <c r="J392" s="13">
        <f t="shared" si="41"/>
        <v>7.7352103271048911E-3</v>
      </c>
      <c r="L392" s="15">
        <v>43745</v>
      </c>
      <c r="M392">
        <f t="shared" si="42"/>
        <v>123.07048533314105</v>
      </c>
      <c r="N392">
        <f t="shared" si="43"/>
        <v>98.827317919425226</v>
      </c>
    </row>
    <row r="393" spans="1:14" x14ac:dyDescent="0.45">
      <c r="A393" s="15">
        <v>43746</v>
      </c>
      <c r="B393">
        <v>101.550735</v>
      </c>
      <c r="C393" t="b">
        <f t="shared" si="38"/>
        <v>1</v>
      </c>
      <c r="E393" s="15">
        <v>43746</v>
      </c>
      <c r="F393">
        <f t="shared" si="39"/>
        <v>101.550735</v>
      </c>
      <c r="G393">
        <v>1112.4399410000001</v>
      </c>
      <c r="I393" s="13">
        <f t="shared" si="40"/>
        <v>-1.4432266044800302E-2</v>
      </c>
      <c r="J393" s="13">
        <f t="shared" si="41"/>
        <v>-8.2553360118672314E-3</v>
      </c>
      <c r="L393" s="15">
        <v>43746</v>
      </c>
      <c r="M393">
        <f t="shared" si="42"/>
        <v>121.29429934655046</v>
      </c>
      <c r="N393">
        <f t="shared" si="43"/>
        <v>98.01146520284874</v>
      </c>
    </row>
    <row r="394" spans="1:14" x14ac:dyDescent="0.45">
      <c r="A394" s="15">
        <v>43747</v>
      </c>
      <c r="B394">
        <v>102.450806</v>
      </c>
      <c r="C394" t="b">
        <f t="shared" si="38"/>
        <v>1</v>
      </c>
      <c r="E394" s="15">
        <v>43747</v>
      </c>
      <c r="F394">
        <f t="shared" si="39"/>
        <v>102.450806</v>
      </c>
      <c r="G394">
        <v>1114.01001</v>
      </c>
      <c r="I394" s="13">
        <f t="shared" si="40"/>
        <v>8.8632642589931976E-3</v>
      </c>
      <c r="J394" s="13">
        <f t="shared" si="41"/>
        <v>1.4113741714347761E-3</v>
      </c>
      <c r="L394" s="15">
        <v>43747</v>
      </c>
      <c r="M394">
        <f t="shared" si="42"/>
        <v>122.36936277476836</v>
      </c>
      <c r="N394">
        <f t="shared" si="43"/>
        <v>98.149796053340523</v>
      </c>
    </row>
    <row r="395" spans="1:14" x14ac:dyDescent="0.45">
      <c r="A395" s="15">
        <v>43748</v>
      </c>
      <c r="B395">
        <v>102.529076</v>
      </c>
      <c r="C395" t="b">
        <f t="shared" si="38"/>
        <v>1</v>
      </c>
      <c r="E395" s="15">
        <v>43748</v>
      </c>
      <c r="F395">
        <f t="shared" si="39"/>
        <v>102.529076</v>
      </c>
      <c r="G395">
        <v>1106.0200199999999</v>
      </c>
      <c r="I395" s="13">
        <f t="shared" si="40"/>
        <v>7.6397642005865407E-4</v>
      </c>
      <c r="J395" s="13">
        <f t="shared" si="41"/>
        <v>-7.1722784609449253E-3</v>
      </c>
      <c r="L395" s="15">
        <v>43748</v>
      </c>
      <c r="M395">
        <f t="shared" si="42"/>
        <v>122.46285008246589</v>
      </c>
      <c r="N395">
        <f t="shared" si="43"/>
        <v>97.445838385161011</v>
      </c>
    </row>
    <row r="396" spans="1:14" x14ac:dyDescent="0.45">
      <c r="A396" s="15">
        <v>43749</v>
      </c>
      <c r="B396">
        <v>105.542328</v>
      </c>
      <c r="C396" t="b">
        <f t="shared" si="38"/>
        <v>1</v>
      </c>
      <c r="E396" s="15">
        <v>43749</v>
      </c>
      <c r="F396">
        <f t="shared" si="39"/>
        <v>105.542328</v>
      </c>
      <c r="G396">
        <v>1117.369995</v>
      </c>
      <c r="I396" s="13">
        <f t="shared" si="40"/>
        <v>2.9389243691223754E-2</v>
      </c>
      <c r="J396" s="13">
        <f t="shared" si="41"/>
        <v>1.0261997789154043E-2</v>
      </c>
      <c r="L396" s="15">
        <v>43749</v>
      </c>
      <c r="M396">
        <f t="shared" si="42"/>
        <v>126.06194062666128</v>
      </c>
      <c r="N396">
        <f t="shared" si="43"/>
        <v>98.4458273632318</v>
      </c>
    </row>
    <row r="397" spans="1:14" x14ac:dyDescent="0.45">
      <c r="A397" s="15">
        <v>43752</v>
      </c>
      <c r="B397">
        <v>105.77713</v>
      </c>
      <c r="C397" t="b">
        <f t="shared" si="38"/>
        <v>1</v>
      </c>
      <c r="E397" s="15">
        <v>43752</v>
      </c>
      <c r="F397">
        <f t="shared" si="39"/>
        <v>105.77713</v>
      </c>
      <c r="G397">
        <v>1128.040039</v>
      </c>
      <c r="I397" s="13">
        <f t="shared" si="40"/>
        <v>2.2247187877075802E-3</v>
      </c>
      <c r="J397" s="13">
        <f t="shared" si="41"/>
        <v>9.5492487249042579E-3</v>
      </c>
      <c r="L397" s="15">
        <v>43752</v>
      </c>
      <c r="M397">
        <f t="shared" si="42"/>
        <v>126.34239299438829</v>
      </c>
      <c r="N397">
        <f t="shared" si="43"/>
        <v>99.385911054652283</v>
      </c>
    </row>
    <row r="398" spans="1:14" x14ac:dyDescent="0.45">
      <c r="A398" s="15">
        <v>43753</v>
      </c>
      <c r="B398">
        <v>105.659721</v>
      </c>
      <c r="C398" t="b">
        <f t="shared" si="38"/>
        <v>1</v>
      </c>
      <c r="E398" s="15">
        <v>43753</v>
      </c>
      <c r="F398">
        <f t="shared" si="39"/>
        <v>105.659721</v>
      </c>
      <c r="G398">
        <v>1139.829956</v>
      </c>
      <c r="I398" s="13">
        <f t="shared" si="40"/>
        <v>-1.1099658309882132E-3</v>
      </c>
      <c r="J398" s="13">
        <f t="shared" si="41"/>
        <v>1.0451683089592878E-2</v>
      </c>
      <c r="L398" s="15">
        <v>43753</v>
      </c>
      <c r="M398">
        <f t="shared" si="42"/>
        <v>126.20215725515924</v>
      </c>
      <c r="N398">
        <f t="shared" si="43"/>
        <v>100.42466110056597</v>
      </c>
    </row>
    <row r="399" spans="1:14" x14ac:dyDescent="0.45">
      <c r="A399" s="15">
        <v>43754</v>
      </c>
      <c r="B399">
        <v>102.529076</v>
      </c>
      <c r="C399" t="b">
        <f t="shared" si="38"/>
        <v>1</v>
      </c>
      <c r="E399" s="15">
        <v>43754</v>
      </c>
      <c r="F399">
        <f t="shared" si="39"/>
        <v>102.529076</v>
      </c>
      <c r="G399">
        <v>1131.3100589999999</v>
      </c>
      <c r="I399" s="13">
        <f t="shared" si="40"/>
        <v>-2.9629502807413277E-2</v>
      </c>
      <c r="J399" s="13">
        <f t="shared" si="41"/>
        <v>-7.4747087977042881E-3</v>
      </c>
      <c r="L399" s="15">
        <v>43754</v>
      </c>
      <c r="M399">
        <f t="shared" si="42"/>
        <v>122.46285008246588</v>
      </c>
      <c r="N399">
        <f t="shared" si="43"/>
        <v>99.674016002731094</v>
      </c>
    </row>
    <row r="400" spans="1:14" x14ac:dyDescent="0.45">
      <c r="A400" s="15">
        <v>43755</v>
      </c>
      <c r="B400">
        <v>103.585663</v>
      </c>
      <c r="C400" t="b">
        <f t="shared" si="38"/>
        <v>1</v>
      </c>
      <c r="E400" s="15">
        <v>43755</v>
      </c>
      <c r="F400">
        <f t="shared" si="39"/>
        <v>103.585663</v>
      </c>
      <c r="G400">
        <v>1132.160034</v>
      </c>
      <c r="I400" s="13">
        <f t="shared" si="40"/>
        <v>1.030524258308918E-2</v>
      </c>
      <c r="J400" s="13">
        <f t="shared" si="41"/>
        <v>7.5131922786164651E-4</v>
      </c>
      <c r="L400" s="15">
        <v>43755</v>
      </c>
      <c r="M400">
        <f t="shared" si="42"/>
        <v>123.72485945998217</v>
      </c>
      <c r="N400">
        <f t="shared" si="43"/>
        <v>99.748903007472137</v>
      </c>
    </row>
    <row r="401" spans="1:14" x14ac:dyDescent="0.45">
      <c r="A401" s="15">
        <v>43756</v>
      </c>
      <c r="B401">
        <v>103.116074</v>
      </c>
      <c r="C401" t="b">
        <f t="shared" si="38"/>
        <v>1</v>
      </c>
      <c r="E401" s="15">
        <v>43756</v>
      </c>
      <c r="F401">
        <f t="shared" si="39"/>
        <v>103.116074</v>
      </c>
      <c r="G401">
        <v>1121.23999</v>
      </c>
      <c r="I401" s="13">
        <f t="shared" si="40"/>
        <v>-4.5333397151688937E-3</v>
      </c>
      <c r="J401" s="13">
        <f t="shared" si="41"/>
        <v>-9.6453183932122544E-3</v>
      </c>
      <c r="L401" s="15">
        <v>43756</v>
      </c>
      <c r="M401">
        <f t="shared" si="42"/>
        <v>123.16397264083854</v>
      </c>
      <c r="N401">
        <f t="shared" si="43"/>
        <v>98.786793078591415</v>
      </c>
    </row>
    <row r="402" spans="1:14" x14ac:dyDescent="0.45">
      <c r="A402" s="15">
        <v>43759</v>
      </c>
      <c r="B402">
        <v>105.464066</v>
      </c>
      <c r="C402" t="b">
        <f t="shared" si="38"/>
        <v>1</v>
      </c>
      <c r="E402" s="15">
        <v>43759</v>
      </c>
      <c r="F402">
        <f t="shared" si="39"/>
        <v>105.464066</v>
      </c>
      <c r="G402">
        <v>1133.2700199999999</v>
      </c>
      <c r="I402" s="13">
        <f t="shared" si="40"/>
        <v>2.2770378166259597E-2</v>
      </c>
      <c r="J402" s="13">
        <f t="shared" si="41"/>
        <v>1.0729219531315337E-2</v>
      </c>
      <c r="L402" s="15">
        <v>43759</v>
      </c>
      <c r="M402">
        <f t="shared" si="42"/>
        <v>125.96846287432928</v>
      </c>
      <c r="N402">
        <f t="shared" si="43"/>
        <v>99.84669826832625</v>
      </c>
    </row>
    <row r="403" spans="1:14" x14ac:dyDescent="0.45">
      <c r="A403" s="15">
        <v>43760</v>
      </c>
      <c r="B403">
        <v>104.994469</v>
      </c>
      <c r="C403" t="b">
        <f t="shared" si="38"/>
        <v>1</v>
      </c>
      <c r="E403" s="15">
        <v>43760</v>
      </c>
      <c r="F403">
        <f t="shared" si="39"/>
        <v>104.994469</v>
      </c>
      <c r="G403">
        <v>1141.2700199999999</v>
      </c>
      <c r="I403" s="13">
        <f t="shared" si="40"/>
        <v>-4.4526730080747257E-3</v>
      </c>
      <c r="J403" s="13">
        <f t="shared" si="41"/>
        <v>7.0592178905430902E-3</v>
      </c>
      <c r="L403" s="15">
        <v>43760</v>
      </c>
      <c r="M403">
        <f t="shared" si="42"/>
        <v>125.40756649982009</v>
      </c>
      <c r="N403">
        <f t="shared" si="43"/>
        <v>100.55153786705368</v>
      </c>
    </row>
    <row r="404" spans="1:14" x14ac:dyDescent="0.45">
      <c r="A404" s="15">
        <v>43761</v>
      </c>
      <c r="B404">
        <v>106.207588</v>
      </c>
      <c r="C404" t="b">
        <f t="shared" si="38"/>
        <v>1</v>
      </c>
      <c r="E404" s="15">
        <v>43761</v>
      </c>
      <c r="F404">
        <f t="shared" si="39"/>
        <v>106.207588</v>
      </c>
      <c r="G404">
        <v>1142.4300539999999</v>
      </c>
      <c r="I404" s="13">
        <f t="shared" si="40"/>
        <v>1.1554122912893705E-2</v>
      </c>
      <c r="J404" s="13">
        <f t="shared" si="41"/>
        <v>1.0164413150886009E-3</v>
      </c>
      <c r="L404" s="15">
        <v>43761</v>
      </c>
      <c r="M404">
        <f t="shared" si="42"/>
        <v>126.85654093736591</v>
      </c>
      <c r="N404">
        <f t="shared" si="43"/>
        <v>100.65374260443745</v>
      </c>
    </row>
    <row r="405" spans="1:14" x14ac:dyDescent="0.45">
      <c r="A405" s="15">
        <v>43762</v>
      </c>
      <c r="B405">
        <v>105.50318900000001</v>
      </c>
      <c r="C405" t="b">
        <f t="shared" si="38"/>
        <v>1</v>
      </c>
      <c r="E405" s="15">
        <v>43762</v>
      </c>
      <c r="F405">
        <f t="shared" si="39"/>
        <v>105.50318900000001</v>
      </c>
      <c r="G405">
        <v>1144.579956</v>
      </c>
      <c r="I405" s="13">
        <f t="shared" si="40"/>
        <v>-6.6322850679934042E-3</v>
      </c>
      <c r="J405" s="13">
        <f t="shared" si="41"/>
        <v>1.881867509063273E-3</v>
      </c>
      <c r="L405" s="15">
        <v>43762</v>
      </c>
      <c r="M405">
        <f t="shared" si="42"/>
        <v>126.01519219512971</v>
      </c>
      <c r="N405">
        <f t="shared" si="43"/>
        <v>100.84315961231036</v>
      </c>
    </row>
    <row r="406" spans="1:14" x14ac:dyDescent="0.45">
      <c r="A406" s="15">
        <v>43763</v>
      </c>
      <c r="B406">
        <v>106.990257</v>
      </c>
      <c r="C406" t="b">
        <f t="shared" si="38"/>
        <v>1</v>
      </c>
      <c r="E406" s="15">
        <v>43763</v>
      </c>
      <c r="F406">
        <f t="shared" si="39"/>
        <v>106.990257</v>
      </c>
      <c r="G406">
        <v>1148.9300539999999</v>
      </c>
      <c r="I406" s="13">
        <f t="shared" si="40"/>
        <v>1.4095005223017321E-2</v>
      </c>
      <c r="J406" s="13">
        <f t="shared" si="41"/>
        <v>3.800606482051494E-3</v>
      </c>
      <c r="L406" s="15">
        <v>43763</v>
      </c>
      <c r="M406">
        <f t="shared" si="42"/>
        <v>127.7913769872996</v>
      </c>
      <c r="N406">
        <f t="shared" si="43"/>
        <v>101.22642477840346</v>
      </c>
    </row>
    <row r="407" spans="1:14" x14ac:dyDescent="0.45">
      <c r="A407" s="15">
        <v>43766</v>
      </c>
      <c r="B407">
        <v>108.08599100000001</v>
      </c>
      <c r="C407" t="b">
        <f t="shared" si="38"/>
        <v>1</v>
      </c>
      <c r="E407" s="15">
        <v>43766</v>
      </c>
      <c r="F407">
        <f t="shared" si="39"/>
        <v>108.08599100000001</v>
      </c>
      <c r="G407">
        <v>1159.089966</v>
      </c>
      <c r="I407" s="13">
        <f t="shared" si="40"/>
        <v>1.0241437217970217E-2</v>
      </c>
      <c r="J407" s="13">
        <f t="shared" si="41"/>
        <v>8.8429334445803143E-3</v>
      </c>
      <c r="L407" s="15">
        <v>43766</v>
      </c>
      <c r="M407">
        <f t="shared" si="42"/>
        <v>129.100144351713</v>
      </c>
      <c r="N407">
        <f t="shared" si="43"/>
        <v>102.1215633155517</v>
      </c>
    </row>
    <row r="408" spans="1:14" x14ac:dyDescent="0.45">
      <c r="A408" s="15">
        <v>43767</v>
      </c>
      <c r="B408">
        <v>105.855385</v>
      </c>
      <c r="C408" t="b">
        <f t="shared" si="38"/>
        <v>1</v>
      </c>
      <c r="E408" s="15">
        <v>43767</v>
      </c>
      <c r="F408">
        <f t="shared" si="39"/>
        <v>105.855385</v>
      </c>
      <c r="G408">
        <v>1146.8000489999999</v>
      </c>
      <c r="I408" s="13">
        <f t="shared" si="40"/>
        <v>-2.0637327551541906E-2</v>
      </c>
      <c r="J408" s="13">
        <f t="shared" si="41"/>
        <v>-1.0603074274219026E-2</v>
      </c>
      <c r="L408" s="15">
        <v>43767</v>
      </c>
      <c r="M408">
        <f t="shared" si="42"/>
        <v>126.43586238577535</v>
      </c>
      <c r="N408">
        <f t="shared" si="43"/>
        <v>101.03876079471755</v>
      </c>
    </row>
    <row r="409" spans="1:14" x14ac:dyDescent="0.45">
      <c r="A409" s="15">
        <v>43768</v>
      </c>
      <c r="B409">
        <v>107.616394</v>
      </c>
      <c r="C409" t="b">
        <f t="shared" si="38"/>
        <v>1</v>
      </c>
      <c r="E409" s="15">
        <v>43768</v>
      </c>
      <c r="F409">
        <f t="shared" si="39"/>
        <v>107.616394</v>
      </c>
      <c r="G409">
        <v>1155.8100589999999</v>
      </c>
      <c r="I409" s="13">
        <f t="shared" si="40"/>
        <v>1.6635988806804614E-2</v>
      </c>
      <c r="J409" s="13">
        <f t="shared" si="41"/>
        <v>7.8566529604324753E-3</v>
      </c>
      <c r="L409" s="15">
        <v>43768</v>
      </c>
      <c r="M409">
        <f t="shared" si="42"/>
        <v>128.53924797720379</v>
      </c>
      <c r="N409">
        <f t="shared" si="43"/>
        <v>101.83258727383379</v>
      </c>
    </row>
    <row r="410" spans="1:14" x14ac:dyDescent="0.45">
      <c r="A410" s="15">
        <v>43769</v>
      </c>
      <c r="B410">
        <v>106.990257</v>
      </c>
      <c r="C410" t="b">
        <f t="shared" si="38"/>
        <v>1</v>
      </c>
      <c r="E410" s="15">
        <v>43769</v>
      </c>
      <c r="F410">
        <f t="shared" si="39"/>
        <v>106.990257</v>
      </c>
      <c r="G410">
        <v>1149.410034</v>
      </c>
      <c r="I410" s="13">
        <f t="shared" si="40"/>
        <v>-5.818230631292054E-3</v>
      </c>
      <c r="J410" s="13">
        <f t="shared" si="41"/>
        <v>-5.5372636275005105E-3</v>
      </c>
      <c r="L410" s="15">
        <v>43769</v>
      </c>
      <c r="M410">
        <f t="shared" si="42"/>
        <v>127.79137698729957</v>
      </c>
      <c r="N410">
        <f t="shared" si="43"/>
        <v>101.26871339222812</v>
      </c>
    </row>
    <row r="411" spans="1:14" x14ac:dyDescent="0.45">
      <c r="A411" s="15">
        <v>43770</v>
      </c>
      <c r="B411">
        <v>109.494789</v>
      </c>
      <c r="C411" t="b">
        <f t="shared" si="38"/>
        <v>1</v>
      </c>
      <c r="E411" s="15">
        <v>43770</v>
      </c>
      <c r="F411">
        <f t="shared" si="39"/>
        <v>109.494789</v>
      </c>
      <c r="G411">
        <v>1172.969971</v>
      </c>
      <c r="I411" s="13">
        <f t="shared" si="40"/>
        <v>2.3408972650659221E-2</v>
      </c>
      <c r="J411" s="13">
        <f t="shared" si="41"/>
        <v>2.0497417199335066E-2</v>
      </c>
      <c r="L411" s="15">
        <v>43770</v>
      </c>
      <c r="M411">
        <f t="shared" si="42"/>
        <v>130.78284183618536</v>
      </c>
      <c r="N411">
        <f t="shared" si="43"/>
        <v>103.34446045986851</v>
      </c>
    </row>
    <row r="412" spans="1:14" x14ac:dyDescent="0.45">
      <c r="A412" s="15">
        <v>43773</v>
      </c>
      <c r="B412">
        <v>109.807846</v>
      </c>
      <c r="C412" t="b">
        <f t="shared" si="38"/>
        <v>1</v>
      </c>
      <c r="E412" s="15">
        <v>43773</v>
      </c>
      <c r="F412">
        <f t="shared" si="39"/>
        <v>109.807846</v>
      </c>
      <c r="G412">
        <v>1180.599976</v>
      </c>
      <c r="I412" s="13">
        <f t="shared" si="40"/>
        <v>2.8591040985521676E-3</v>
      </c>
      <c r="J412" s="13">
        <f t="shared" si="41"/>
        <v>6.5048596201444653E-3</v>
      </c>
      <c r="L412" s="15">
        <v>43773</v>
      </c>
      <c r="M412">
        <f t="shared" si="42"/>
        <v>131.15676359529948</v>
      </c>
      <c r="N412">
        <f t="shared" si="43"/>
        <v>104.01670166767953</v>
      </c>
    </row>
    <row r="413" spans="1:14" x14ac:dyDescent="0.45">
      <c r="A413" s="15">
        <v>43774</v>
      </c>
      <c r="B413">
        <v>107.420731</v>
      </c>
      <c r="C413" t="b">
        <f t="shared" si="38"/>
        <v>1</v>
      </c>
      <c r="E413" s="15">
        <v>43774</v>
      </c>
      <c r="F413">
        <f t="shared" si="39"/>
        <v>107.420731</v>
      </c>
      <c r="G413">
        <v>1168.9300539999999</v>
      </c>
      <c r="I413" s="13">
        <f t="shared" si="40"/>
        <v>-2.1739020361076888E-2</v>
      </c>
      <c r="J413" s="13">
        <f t="shared" si="41"/>
        <v>-9.8847384696203466E-3</v>
      </c>
      <c r="L413" s="15">
        <v>43774</v>
      </c>
      <c r="M413">
        <f t="shared" si="42"/>
        <v>128.30554404100832</v>
      </c>
      <c r="N413">
        <f t="shared" si="43"/>
        <v>102.98852377522199</v>
      </c>
    </row>
    <row r="414" spans="1:14" x14ac:dyDescent="0.45">
      <c r="A414" s="15">
        <v>43775</v>
      </c>
      <c r="B414">
        <v>106.207588</v>
      </c>
      <c r="C414" t="b">
        <f t="shared" si="38"/>
        <v>1</v>
      </c>
      <c r="E414" s="15">
        <v>43775</v>
      </c>
      <c r="F414">
        <f t="shared" si="39"/>
        <v>106.207588</v>
      </c>
      <c r="G414">
        <v>1165.0500489999999</v>
      </c>
      <c r="I414" s="13">
        <f t="shared" si="40"/>
        <v>-1.1293378742693538E-2</v>
      </c>
      <c r="J414" s="13">
        <f t="shared" si="41"/>
        <v>-3.3192790165013086E-3</v>
      </c>
      <c r="L414" s="15">
        <v>43775</v>
      </c>
      <c r="M414">
        <f t="shared" si="42"/>
        <v>126.85654093736586</v>
      </c>
      <c r="N414">
        <f t="shared" si="43"/>
        <v>102.64667612931446</v>
      </c>
    </row>
    <row r="415" spans="1:14" x14ac:dyDescent="0.45">
      <c r="A415" s="15">
        <v>43776</v>
      </c>
      <c r="B415">
        <v>117.86930099999999</v>
      </c>
      <c r="C415" t="b">
        <f t="shared" si="38"/>
        <v>1</v>
      </c>
      <c r="E415" s="15">
        <v>43776</v>
      </c>
      <c r="F415">
        <f t="shared" si="39"/>
        <v>117.86930099999999</v>
      </c>
      <c r="G415">
        <v>1183.8100589999999</v>
      </c>
      <c r="I415" s="13">
        <f t="shared" si="40"/>
        <v>0.10980112833369304</v>
      </c>
      <c r="J415" s="13">
        <f t="shared" si="41"/>
        <v>1.6102321111528539E-2</v>
      </c>
      <c r="L415" s="15">
        <v>43776</v>
      </c>
      <c r="M415">
        <f t="shared" si="42"/>
        <v>140.78553226879797</v>
      </c>
      <c r="N415">
        <f t="shared" si="43"/>
        <v>104.29952586937975</v>
      </c>
    </row>
    <row r="416" spans="1:14" x14ac:dyDescent="0.45">
      <c r="A416" s="15">
        <v>43777</v>
      </c>
      <c r="B416">
        <v>122.17395</v>
      </c>
      <c r="C416" t="b">
        <f t="shared" si="38"/>
        <v>1</v>
      </c>
      <c r="E416" s="15">
        <v>43777</v>
      </c>
      <c r="F416">
        <f t="shared" si="39"/>
        <v>122.17395</v>
      </c>
      <c r="G416">
        <v>1195.869995</v>
      </c>
      <c r="I416" s="13">
        <f t="shared" si="40"/>
        <v>3.6520527087880339E-2</v>
      </c>
      <c r="J416" s="13">
        <f t="shared" si="41"/>
        <v>1.0187391050036743E-2</v>
      </c>
      <c r="L416" s="15">
        <v>43777</v>
      </c>
      <c r="M416">
        <f t="shared" si="42"/>
        <v>145.92709411360227</v>
      </c>
      <c r="N416">
        <f t="shared" si="43"/>
        <v>105.36206592574455</v>
      </c>
    </row>
    <row r="417" spans="1:14" x14ac:dyDescent="0.45">
      <c r="A417" s="15">
        <v>43780</v>
      </c>
      <c r="B417">
        <v>122.721817</v>
      </c>
      <c r="C417" t="b">
        <f t="shared" si="38"/>
        <v>1</v>
      </c>
      <c r="E417" s="15">
        <v>43780</v>
      </c>
      <c r="F417">
        <f t="shared" si="39"/>
        <v>122.721817</v>
      </c>
      <c r="G417">
        <v>1195.400024</v>
      </c>
      <c r="I417" s="13">
        <f t="shared" si="40"/>
        <v>4.4843192841026447E-3</v>
      </c>
      <c r="J417" s="13">
        <f t="shared" si="41"/>
        <v>-3.9299505963441561E-4</v>
      </c>
      <c r="L417" s="15">
        <v>43780</v>
      </c>
      <c r="M417">
        <f t="shared" si="42"/>
        <v>146.58147779580895</v>
      </c>
      <c r="N417">
        <f t="shared" si="43"/>
        <v>105.32065915436286</v>
      </c>
    </row>
    <row r="418" spans="1:14" x14ac:dyDescent="0.45">
      <c r="A418" s="15">
        <v>43781</v>
      </c>
      <c r="B418">
        <v>122.878349</v>
      </c>
      <c r="C418" t="b">
        <f t="shared" si="38"/>
        <v>1</v>
      </c>
      <c r="E418" s="15">
        <v>43781</v>
      </c>
      <c r="F418">
        <f t="shared" si="39"/>
        <v>122.878349</v>
      </c>
      <c r="G418">
        <v>1199.920044</v>
      </c>
      <c r="I418" s="13">
        <f t="shared" si="40"/>
        <v>1.2755026272142089E-3</v>
      </c>
      <c r="J418" s="13">
        <f t="shared" si="41"/>
        <v>3.7811777725043072E-3</v>
      </c>
      <c r="L418" s="15">
        <v>43781</v>
      </c>
      <c r="M418">
        <f t="shared" si="42"/>
        <v>146.76844285583846</v>
      </c>
      <c r="N418">
        <f t="shared" si="43"/>
        <v>105.71889528974283</v>
      </c>
    </row>
    <row r="419" spans="1:14" x14ac:dyDescent="0.45">
      <c r="A419" s="15">
        <v>43782</v>
      </c>
      <c r="B419">
        <v>124.326279</v>
      </c>
      <c r="C419" t="b">
        <f t="shared" si="38"/>
        <v>1</v>
      </c>
      <c r="E419" s="15">
        <v>43782</v>
      </c>
      <c r="F419">
        <f t="shared" si="39"/>
        <v>124.326279</v>
      </c>
      <c r="G419">
        <v>1205.1400149999999</v>
      </c>
      <c r="I419" s="13">
        <f t="shared" si="40"/>
        <v>1.1783442826042601E-2</v>
      </c>
      <c r="J419" s="13">
        <f t="shared" si="41"/>
        <v>4.3502656915364035E-3</v>
      </c>
      <c r="L419" s="15">
        <v>43782</v>
      </c>
      <c r="M419">
        <f t="shared" si="42"/>
        <v>148.49788041089752</v>
      </c>
      <c r="N419">
        <f t="shared" si="43"/>
        <v>106.17880057286894</v>
      </c>
    </row>
    <row r="420" spans="1:14" x14ac:dyDescent="0.45">
      <c r="A420" s="15">
        <v>43783</v>
      </c>
      <c r="B420">
        <v>125.22634100000001</v>
      </c>
      <c r="C420" t="b">
        <f t="shared" si="38"/>
        <v>1</v>
      </c>
      <c r="E420" s="15">
        <v>43783</v>
      </c>
      <c r="F420">
        <f t="shared" si="39"/>
        <v>125.22634100000001</v>
      </c>
      <c r="G420">
        <v>1200.51001</v>
      </c>
      <c r="I420" s="13">
        <f t="shared" si="40"/>
        <v>7.2395153079423125E-3</v>
      </c>
      <c r="J420" s="13">
        <f t="shared" si="41"/>
        <v>-3.8418813933416285E-3</v>
      </c>
      <c r="L420" s="15">
        <v>43783</v>
      </c>
      <c r="M420">
        <f t="shared" si="42"/>
        <v>149.57293308932921</v>
      </c>
      <c r="N420">
        <f t="shared" si="43"/>
        <v>105.7708742145807</v>
      </c>
    </row>
    <row r="421" spans="1:14" x14ac:dyDescent="0.45">
      <c r="A421" s="15">
        <v>43784</v>
      </c>
      <c r="B421">
        <v>126.517746</v>
      </c>
      <c r="C421" t="b">
        <f t="shared" si="38"/>
        <v>1</v>
      </c>
      <c r="E421" s="15">
        <v>43784</v>
      </c>
      <c r="F421">
        <f t="shared" si="39"/>
        <v>126.517746</v>
      </c>
      <c r="G421">
        <v>1209.1400149999999</v>
      </c>
      <c r="I421" s="13">
        <f t="shared" si="40"/>
        <v>1.031256674663994E-2</v>
      </c>
      <c r="J421" s="13">
        <f t="shared" si="41"/>
        <v>7.18861561179307E-3</v>
      </c>
      <c r="L421" s="15">
        <v>43784</v>
      </c>
      <c r="M421">
        <f t="shared" si="42"/>
        <v>151.11541394530363</v>
      </c>
      <c r="N421">
        <f t="shared" si="43"/>
        <v>106.53122037223264</v>
      </c>
    </row>
    <row r="422" spans="1:14" x14ac:dyDescent="0.45">
      <c r="A422" s="15">
        <v>43787</v>
      </c>
      <c r="B422">
        <v>124.71762099999999</v>
      </c>
      <c r="C422" t="b">
        <f t="shared" si="38"/>
        <v>1</v>
      </c>
      <c r="E422" s="15">
        <v>43787</v>
      </c>
      <c r="F422">
        <f t="shared" si="39"/>
        <v>124.71762099999999</v>
      </c>
      <c r="G422">
        <v>1205.9399410000001</v>
      </c>
      <c r="I422" s="13">
        <f t="shared" si="40"/>
        <v>-1.4228241151245324E-2</v>
      </c>
      <c r="J422" s="13">
        <f t="shared" si="41"/>
        <v>-2.6465702567951555E-3</v>
      </c>
      <c r="L422" s="15">
        <v>43787</v>
      </c>
      <c r="M422">
        <f t="shared" si="42"/>
        <v>148.96530739401959</v>
      </c>
      <c r="N422">
        <f t="shared" si="43"/>
        <v>106.2492780129754</v>
      </c>
    </row>
    <row r="423" spans="1:14" x14ac:dyDescent="0.45">
      <c r="A423" s="15">
        <v>43788</v>
      </c>
      <c r="B423">
        <v>125.148079</v>
      </c>
      <c r="C423" t="b">
        <f t="shared" si="38"/>
        <v>1</v>
      </c>
      <c r="E423" s="15">
        <v>43788</v>
      </c>
      <c r="F423">
        <f t="shared" si="39"/>
        <v>125.148079</v>
      </c>
      <c r="G423">
        <v>1205.5500489999999</v>
      </c>
      <c r="I423" s="13">
        <f t="shared" si="40"/>
        <v>3.4514609607572133E-3</v>
      </c>
      <c r="J423" s="13">
        <f t="shared" si="41"/>
        <v>-3.2330963321181017E-4</v>
      </c>
      <c r="L423" s="15">
        <v>43788</v>
      </c>
      <c r="M423">
        <f t="shared" si="42"/>
        <v>149.47945533699723</v>
      </c>
      <c r="N423">
        <f t="shared" si="43"/>
        <v>106.21492659787199</v>
      </c>
    </row>
    <row r="424" spans="1:14" x14ac:dyDescent="0.45">
      <c r="A424" s="15">
        <v>43789</v>
      </c>
      <c r="B424">
        <v>125.26546500000001</v>
      </c>
      <c r="C424" t="b">
        <f t="shared" si="38"/>
        <v>1</v>
      </c>
      <c r="E424" s="15">
        <v>43789</v>
      </c>
      <c r="F424">
        <f t="shared" si="39"/>
        <v>125.26546500000001</v>
      </c>
      <c r="G424">
        <v>1199.579956</v>
      </c>
      <c r="I424" s="13">
        <f t="shared" si="40"/>
        <v>9.3797684261698322E-4</v>
      </c>
      <c r="J424" s="13">
        <f t="shared" si="41"/>
        <v>-4.952173495370138E-3</v>
      </c>
      <c r="L424" s="15">
        <v>43789</v>
      </c>
      <c r="M424">
        <f t="shared" si="42"/>
        <v>149.61966360455034</v>
      </c>
      <c r="N424">
        <f t="shared" si="43"/>
        <v>105.68893185356133</v>
      </c>
    </row>
    <row r="425" spans="1:14" x14ac:dyDescent="0.45">
      <c r="A425" s="15">
        <v>43790</v>
      </c>
      <c r="B425">
        <v>123.934952</v>
      </c>
      <c r="C425" t="b">
        <f t="shared" si="38"/>
        <v>1</v>
      </c>
      <c r="E425" s="15">
        <v>43790</v>
      </c>
      <c r="F425">
        <f t="shared" si="39"/>
        <v>123.934952</v>
      </c>
      <c r="G425">
        <v>1187.369995</v>
      </c>
      <c r="I425" s="13">
        <f t="shared" si="40"/>
        <v>-1.0621546808611715E-2</v>
      </c>
      <c r="J425" s="13">
        <f t="shared" si="41"/>
        <v>-1.0178530358838422E-2</v>
      </c>
      <c r="L425" s="15">
        <v>43790</v>
      </c>
      <c r="M425">
        <f t="shared" si="42"/>
        <v>148.03047134408587</v>
      </c>
      <c r="N425">
        <f t="shared" si="43"/>
        <v>104.61317385209665</v>
      </c>
    </row>
    <row r="426" spans="1:14" x14ac:dyDescent="0.45">
      <c r="A426" s="15">
        <v>43791</v>
      </c>
      <c r="B426">
        <v>123.85668200000001</v>
      </c>
      <c r="C426" t="b">
        <f t="shared" si="38"/>
        <v>1</v>
      </c>
      <c r="E426" s="15">
        <v>43791</v>
      </c>
      <c r="F426">
        <f t="shared" si="39"/>
        <v>123.85668200000001</v>
      </c>
      <c r="G426">
        <v>1196.219971</v>
      </c>
      <c r="I426" s="13">
        <f t="shared" si="40"/>
        <v>-6.3154097158957256E-4</v>
      </c>
      <c r="J426" s="13">
        <f t="shared" si="41"/>
        <v>7.4534273539563767E-3</v>
      </c>
      <c r="L426" s="15">
        <v>43791</v>
      </c>
      <c r="M426">
        <f t="shared" si="42"/>
        <v>147.93698403638837</v>
      </c>
      <c r="N426">
        <f t="shared" si="43"/>
        <v>105.39290054367007</v>
      </c>
    </row>
    <row r="427" spans="1:14" x14ac:dyDescent="0.45">
      <c r="A427" s="15">
        <v>43794</v>
      </c>
      <c r="B427">
        <v>125.26546500000001</v>
      </c>
      <c r="C427" t="b">
        <f t="shared" si="38"/>
        <v>1</v>
      </c>
      <c r="E427" s="15">
        <v>43794</v>
      </c>
      <c r="F427">
        <f t="shared" si="39"/>
        <v>125.26546500000001</v>
      </c>
      <c r="G427">
        <v>1212.670044</v>
      </c>
      <c r="I427" s="13">
        <f t="shared" si="40"/>
        <v>1.1374299531130561E-2</v>
      </c>
      <c r="J427" s="13">
        <f t="shared" si="41"/>
        <v>1.3751712393037741E-2</v>
      </c>
      <c r="L427" s="15">
        <v>43794</v>
      </c>
      <c r="M427">
        <f t="shared" si="42"/>
        <v>149.61966360455034</v>
      </c>
      <c r="N427">
        <f t="shared" si="43"/>
        <v>106.84223340021465</v>
      </c>
    </row>
    <row r="428" spans="1:14" x14ac:dyDescent="0.45">
      <c r="A428" s="15">
        <v>43795</v>
      </c>
      <c r="B428">
        <v>126.752533</v>
      </c>
      <c r="C428" t="b">
        <f t="shared" si="38"/>
        <v>1</v>
      </c>
      <c r="E428" s="15">
        <v>43795</v>
      </c>
      <c r="F428">
        <f t="shared" si="39"/>
        <v>126.752533</v>
      </c>
      <c r="G428">
        <v>1224.209961</v>
      </c>
      <c r="I428" s="13">
        <f t="shared" si="40"/>
        <v>1.1871332613502039E-2</v>
      </c>
      <c r="J428" s="13">
        <f t="shared" si="41"/>
        <v>9.5161227549873662E-3</v>
      </c>
      <c r="L428" s="15">
        <v>43795</v>
      </c>
      <c r="M428">
        <f t="shared" si="42"/>
        <v>151.39584839672025</v>
      </c>
      <c r="N428">
        <f t="shared" si="43"/>
        <v>107.8589572086681</v>
      </c>
    </row>
    <row r="429" spans="1:14" x14ac:dyDescent="0.45">
      <c r="A429" s="15">
        <v>43796</v>
      </c>
      <c r="B429">
        <v>126.322075</v>
      </c>
      <c r="C429" t="b">
        <f t="shared" si="38"/>
        <v>1</v>
      </c>
      <c r="E429" s="15">
        <v>43796</v>
      </c>
      <c r="F429">
        <f t="shared" si="39"/>
        <v>126.322075</v>
      </c>
      <c r="G429">
        <v>1225.410034</v>
      </c>
      <c r="I429" s="13">
        <f t="shared" si="40"/>
        <v>-3.3960504757724053E-3</v>
      </c>
      <c r="J429" s="13">
        <f t="shared" si="41"/>
        <v>9.8028364270108526E-4</v>
      </c>
      <c r="L429" s="15">
        <v>43796</v>
      </c>
      <c r="M429">
        <f t="shared" si="42"/>
        <v>150.88170045374261</v>
      </c>
      <c r="N429">
        <f t="shared" si="43"/>
        <v>107.96468958013855</v>
      </c>
    </row>
    <row r="430" spans="1:14" x14ac:dyDescent="0.45">
      <c r="A430" s="15">
        <v>43797</v>
      </c>
      <c r="B430">
        <v>127.30040700000001</v>
      </c>
      <c r="C430" t="b">
        <f t="shared" si="38"/>
        <v>1</v>
      </c>
      <c r="E430" s="15">
        <v>43797</v>
      </c>
      <c r="F430">
        <f t="shared" si="39"/>
        <v>127.30040700000001</v>
      </c>
      <c r="G430">
        <v>1226.7299800000001</v>
      </c>
      <c r="I430" s="13">
        <f t="shared" si="40"/>
        <v>7.7447429516972477E-3</v>
      </c>
      <c r="J430" s="13">
        <f t="shared" si="41"/>
        <v>1.0771463945757898E-3</v>
      </c>
      <c r="L430" s="15">
        <v>43797</v>
      </c>
      <c r="M430">
        <f t="shared" si="42"/>
        <v>152.05024043987183</v>
      </c>
      <c r="N430">
        <f t="shared" si="43"/>
        <v>108.0809833562613</v>
      </c>
    </row>
    <row r="431" spans="1:14" x14ac:dyDescent="0.45">
      <c r="A431" s="15">
        <v>43798</v>
      </c>
      <c r="B431">
        <v>126.282951</v>
      </c>
      <c r="C431" t="b">
        <f t="shared" si="38"/>
        <v>1</v>
      </c>
      <c r="E431" s="15">
        <v>43798</v>
      </c>
      <c r="F431">
        <f t="shared" si="39"/>
        <v>126.282951</v>
      </c>
      <c r="G431">
        <v>1218.780029</v>
      </c>
      <c r="I431" s="13">
        <f t="shared" si="40"/>
        <v>-7.9925588926044178E-3</v>
      </c>
      <c r="J431" s="13">
        <f t="shared" si="41"/>
        <v>-6.4806038244863418E-3</v>
      </c>
      <c r="L431" s="15">
        <v>43798</v>
      </c>
      <c r="M431">
        <f t="shared" si="42"/>
        <v>150.83496993852148</v>
      </c>
      <c r="N431">
        <f t="shared" si="43"/>
        <v>107.38055332216847</v>
      </c>
    </row>
    <row r="432" spans="1:14" x14ac:dyDescent="0.45">
      <c r="A432" s="15">
        <v>43801</v>
      </c>
      <c r="B432">
        <v>128.74833699999999</v>
      </c>
      <c r="C432" t="b">
        <f t="shared" si="38"/>
        <v>1</v>
      </c>
      <c r="E432" s="15">
        <v>43801</v>
      </c>
      <c r="F432">
        <f t="shared" si="39"/>
        <v>128.74833699999999</v>
      </c>
      <c r="G432">
        <v>1214.660034</v>
      </c>
      <c r="I432" s="13">
        <f t="shared" si="40"/>
        <v>1.9522714511161388E-2</v>
      </c>
      <c r="J432" s="13">
        <f t="shared" si="41"/>
        <v>-3.3804254270398681E-3</v>
      </c>
      <c r="L432" s="15">
        <v>43801</v>
      </c>
      <c r="M432">
        <f t="shared" si="42"/>
        <v>153.77967799493084</v>
      </c>
      <c r="N432">
        <f t="shared" si="43"/>
        <v>107.0175613693486</v>
      </c>
    </row>
    <row r="433" spans="1:14" x14ac:dyDescent="0.45">
      <c r="A433" s="15">
        <v>43802</v>
      </c>
      <c r="B433">
        <v>127.49608600000001</v>
      </c>
      <c r="C433" t="b">
        <f t="shared" si="38"/>
        <v>1</v>
      </c>
      <c r="E433" s="15">
        <v>43802</v>
      </c>
      <c r="F433">
        <f t="shared" si="39"/>
        <v>127.49608600000001</v>
      </c>
      <c r="G433">
        <v>1215.219971</v>
      </c>
      <c r="I433" s="13">
        <f t="shared" si="40"/>
        <v>-9.7263469896312627E-3</v>
      </c>
      <c r="J433" s="13">
        <f t="shared" si="41"/>
        <v>4.6098248425607835E-4</v>
      </c>
      <c r="L433" s="15">
        <v>43802</v>
      </c>
      <c r="M433">
        <f t="shared" si="42"/>
        <v>152.28396348679837</v>
      </c>
      <c r="N433">
        <f t="shared" si="43"/>
        <v>107.06689459064766</v>
      </c>
    </row>
    <row r="434" spans="1:14" x14ac:dyDescent="0.45">
      <c r="A434" s="15">
        <v>43803</v>
      </c>
      <c r="B434">
        <v>128.43525700000001</v>
      </c>
      <c r="C434" t="b">
        <f t="shared" si="38"/>
        <v>1</v>
      </c>
      <c r="E434" s="15">
        <v>43803</v>
      </c>
      <c r="F434">
        <f t="shared" si="39"/>
        <v>128.43525700000001</v>
      </c>
      <c r="G434">
        <v>1223.579956</v>
      </c>
      <c r="I434" s="13">
        <f t="shared" si="40"/>
        <v>7.3662731889667654E-3</v>
      </c>
      <c r="J434" s="13">
        <f t="shared" si="41"/>
        <v>6.8794006019508025E-3</v>
      </c>
      <c r="L434" s="15">
        <v>43803</v>
      </c>
      <c r="M434">
        <f t="shared" si="42"/>
        <v>153.40572876414078</v>
      </c>
      <c r="N434">
        <f t="shared" si="43"/>
        <v>107.80345064974357</v>
      </c>
    </row>
    <row r="435" spans="1:14" x14ac:dyDescent="0.45">
      <c r="A435" s="15">
        <v>43804</v>
      </c>
      <c r="B435">
        <v>129.100525</v>
      </c>
      <c r="C435" t="b">
        <f t="shared" si="38"/>
        <v>1</v>
      </c>
      <c r="E435" s="15">
        <v>43804</v>
      </c>
      <c r="F435">
        <f t="shared" si="39"/>
        <v>129.100525</v>
      </c>
      <c r="G435">
        <v>1231.5500489999999</v>
      </c>
      <c r="I435" s="13">
        <f t="shared" si="40"/>
        <v>5.1797926483692081E-3</v>
      </c>
      <c r="J435" s="13">
        <f t="shared" si="41"/>
        <v>6.5137492330742397E-3</v>
      </c>
      <c r="L435" s="15">
        <v>43804</v>
      </c>
      <c r="M435">
        <f t="shared" si="42"/>
        <v>154.20033863021098</v>
      </c>
      <c r="N435">
        <f t="shared" si="43"/>
        <v>108.5056552937361</v>
      </c>
    </row>
    <row r="436" spans="1:14" x14ac:dyDescent="0.45">
      <c r="A436" s="15">
        <v>43805</v>
      </c>
      <c r="B436">
        <v>130.82240300000001</v>
      </c>
      <c r="C436" t="b">
        <f t="shared" si="38"/>
        <v>1</v>
      </c>
      <c r="E436" s="15">
        <v>43805</v>
      </c>
      <c r="F436">
        <f t="shared" si="39"/>
        <v>130.82240300000001</v>
      </c>
      <c r="G436">
        <v>1240.3100589999999</v>
      </c>
      <c r="I436" s="13">
        <f t="shared" si="40"/>
        <v>1.3337498046580354E-2</v>
      </c>
      <c r="J436" s="13">
        <f t="shared" si="41"/>
        <v>7.1129955352711161E-3</v>
      </c>
      <c r="L436" s="15">
        <v>43805</v>
      </c>
      <c r="M436">
        <f t="shared" si="42"/>
        <v>156.25698534547345</v>
      </c>
      <c r="N436">
        <f t="shared" si="43"/>
        <v>109.27745553539211</v>
      </c>
    </row>
    <row r="437" spans="1:14" x14ac:dyDescent="0.45">
      <c r="A437" s="15">
        <v>43808</v>
      </c>
      <c r="B437">
        <v>129.72666899999999</v>
      </c>
      <c r="C437" t="b">
        <f t="shared" si="38"/>
        <v>1</v>
      </c>
      <c r="E437" s="15">
        <v>43808</v>
      </c>
      <c r="F437">
        <f t="shared" si="39"/>
        <v>129.72666899999999</v>
      </c>
      <c r="G437">
        <v>1234.540039</v>
      </c>
      <c r="I437" s="13">
        <f t="shared" si="40"/>
        <v>-8.3757366847940773E-3</v>
      </c>
      <c r="J437" s="13">
        <f t="shared" si="41"/>
        <v>-4.6520786944612702E-3</v>
      </c>
      <c r="L437" s="15">
        <v>43808</v>
      </c>
      <c r="M437">
        <f t="shared" si="42"/>
        <v>154.94821798106005</v>
      </c>
      <c r="N437">
        <f t="shared" si="43"/>
        <v>108.76908821271097</v>
      </c>
    </row>
    <row r="438" spans="1:14" x14ac:dyDescent="0.45">
      <c r="A438" s="15">
        <v>43809</v>
      </c>
      <c r="B438">
        <v>128.591812</v>
      </c>
      <c r="C438" t="b">
        <f t="shared" si="38"/>
        <v>1</v>
      </c>
      <c r="E438" s="15">
        <v>43809</v>
      </c>
      <c r="F438">
        <f t="shared" si="39"/>
        <v>128.591812</v>
      </c>
      <c r="G438">
        <v>1232.9499510000001</v>
      </c>
      <c r="I438" s="13">
        <f t="shared" si="40"/>
        <v>-8.748062435797066E-3</v>
      </c>
      <c r="J438" s="13">
        <f t="shared" si="41"/>
        <v>-1.2880003481198221E-3</v>
      </c>
      <c r="L438" s="15">
        <v>43809</v>
      </c>
      <c r="M438">
        <f t="shared" si="42"/>
        <v>153.59272129584625</v>
      </c>
      <c r="N438">
        <f t="shared" si="43"/>
        <v>108.62899358922832</v>
      </c>
    </row>
    <row r="439" spans="1:14" x14ac:dyDescent="0.45">
      <c r="A439" s="15">
        <v>43810</v>
      </c>
      <c r="B439">
        <v>129.530991</v>
      </c>
      <c r="C439" t="b">
        <f t="shared" si="38"/>
        <v>1</v>
      </c>
      <c r="E439" s="15">
        <v>43810</v>
      </c>
      <c r="F439">
        <f t="shared" si="39"/>
        <v>129.530991</v>
      </c>
      <c r="G439">
        <v>1228.5200199999999</v>
      </c>
      <c r="I439" s="13">
        <f t="shared" si="40"/>
        <v>7.3035676641681757E-3</v>
      </c>
      <c r="J439" s="13">
        <f t="shared" si="41"/>
        <v>-3.5929528172714553E-3</v>
      </c>
      <c r="L439" s="15">
        <v>43810</v>
      </c>
      <c r="M439">
        <f t="shared" si="42"/>
        <v>154.71449612855417</v>
      </c>
      <c r="N439">
        <f t="shared" si="43"/>
        <v>108.23869474067453</v>
      </c>
    </row>
    <row r="440" spans="1:14" x14ac:dyDescent="0.45">
      <c r="A440" s="15">
        <v>43811</v>
      </c>
      <c r="B440">
        <v>133.48345900000001</v>
      </c>
      <c r="C440" t="b">
        <f t="shared" si="38"/>
        <v>1</v>
      </c>
      <c r="E440" s="15">
        <v>43811</v>
      </c>
      <c r="F440">
        <f t="shared" si="39"/>
        <v>133.48345900000001</v>
      </c>
      <c r="G440">
        <v>1233.589966</v>
      </c>
      <c r="I440" s="13">
        <f t="shared" si="40"/>
        <v>3.0513686103119664E-2</v>
      </c>
      <c r="J440" s="13">
        <f t="shared" si="41"/>
        <v>4.126872918196467E-3</v>
      </c>
      <c r="L440" s="15">
        <v>43811</v>
      </c>
      <c r="M440">
        <f t="shared" si="42"/>
        <v>159.43540569902319</v>
      </c>
      <c r="N440">
        <f t="shared" si="43"/>
        <v>108.68538207870075</v>
      </c>
    </row>
    <row r="441" spans="1:14" x14ac:dyDescent="0.45">
      <c r="A441" s="15">
        <v>43812</v>
      </c>
      <c r="B441">
        <v>133.24864199999999</v>
      </c>
      <c r="C441" t="b">
        <f t="shared" si="38"/>
        <v>1</v>
      </c>
      <c r="E441" s="15">
        <v>43812</v>
      </c>
      <c r="F441">
        <f t="shared" si="39"/>
        <v>133.24864199999999</v>
      </c>
      <c r="G441">
        <v>1234.900024</v>
      </c>
      <c r="I441" s="13">
        <f t="shared" si="40"/>
        <v>-1.759146801852185E-3</v>
      </c>
      <c r="J441" s="13">
        <f t="shared" si="41"/>
        <v>1.0619882101083888E-3</v>
      </c>
      <c r="L441" s="15">
        <v>43812</v>
      </c>
      <c r="M441">
        <f t="shared" si="42"/>
        <v>159.15493541498574</v>
      </c>
      <c r="N441">
        <f t="shared" si="43"/>
        <v>108.80080467307945</v>
      </c>
    </row>
    <row r="442" spans="1:14" x14ac:dyDescent="0.45">
      <c r="A442" s="15">
        <v>43815</v>
      </c>
      <c r="B442">
        <v>134.81399500000001</v>
      </c>
      <c r="C442" t="b">
        <f t="shared" si="38"/>
        <v>1</v>
      </c>
      <c r="E442" s="15">
        <v>43815</v>
      </c>
      <c r="F442">
        <f t="shared" si="39"/>
        <v>134.81399500000001</v>
      </c>
      <c r="G442">
        <v>1257.0600589999999</v>
      </c>
      <c r="I442" s="13">
        <f t="shared" si="40"/>
        <v>1.174760940528019E-2</v>
      </c>
      <c r="J442" s="13">
        <f t="shared" si="41"/>
        <v>1.7944800849724496E-2</v>
      </c>
      <c r="L442" s="15">
        <v>43815</v>
      </c>
      <c r="M442">
        <f t="shared" si="42"/>
        <v>161.0246254311636</v>
      </c>
      <c r="N442">
        <f t="shared" si="43"/>
        <v>110.75321344522764</v>
      </c>
    </row>
    <row r="443" spans="1:14" x14ac:dyDescent="0.45">
      <c r="A443" s="15">
        <v>43816</v>
      </c>
      <c r="B443">
        <v>135.12704500000001</v>
      </c>
      <c r="C443" t="b">
        <f t="shared" si="38"/>
        <v>1</v>
      </c>
      <c r="E443" s="15">
        <v>43816</v>
      </c>
      <c r="F443">
        <f t="shared" si="39"/>
        <v>135.12704500000001</v>
      </c>
      <c r="G443">
        <v>1254.589966</v>
      </c>
      <c r="I443" s="13">
        <f t="shared" si="40"/>
        <v>2.3220882965451217E-3</v>
      </c>
      <c r="J443" s="13">
        <f t="shared" si="41"/>
        <v>-1.964976122115325E-3</v>
      </c>
      <c r="L443" s="15">
        <v>43816</v>
      </c>
      <c r="M443">
        <f t="shared" si="42"/>
        <v>161.39853882933286</v>
      </c>
      <c r="N443">
        <f t="shared" si="43"/>
        <v>110.53558602536023</v>
      </c>
    </row>
    <row r="444" spans="1:14" x14ac:dyDescent="0.45">
      <c r="A444" s="15">
        <v>43817</v>
      </c>
      <c r="B444">
        <v>133.60084499999999</v>
      </c>
      <c r="C444" t="b">
        <f t="shared" si="38"/>
        <v>1</v>
      </c>
      <c r="E444" s="15">
        <v>43817</v>
      </c>
      <c r="F444">
        <f t="shared" si="39"/>
        <v>133.60084499999999</v>
      </c>
      <c r="G444">
        <v>1240.9300539999999</v>
      </c>
      <c r="I444" s="13">
        <f t="shared" si="40"/>
        <v>-1.1294556171194459E-2</v>
      </c>
      <c r="J444" s="13">
        <f t="shared" si="41"/>
        <v>-1.0887949346153225E-2</v>
      </c>
      <c r="L444" s="15">
        <v>43817</v>
      </c>
      <c r="M444">
        <f t="shared" si="42"/>
        <v>159.57561396657624</v>
      </c>
      <c r="N444">
        <f t="shared" si="43"/>
        <v>109.33208016376875</v>
      </c>
    </row>
    <row r="445" spans="1:14" x14ac:dyDescent="0.45">
      <c r="A445" s="15">
        <v>43818</v>
      </c>
      <c r="B445">
        <v>132.661652</v>
      </c>
      <c r="C445" t="b">
        <f t="shared" si="38"/>
        <v>1</v>
      </c>
      <c r="E445" s="15">
        <v>43818</v>
      </c>
      <c r="F445">
        <f t="shared" si="39"/>
        <v>132.661652</v>
      </c>
      <c r="G445">
        <v>1240.6899410000001</v>
      </c>
      <c r="I445" s="13">
        <f t="shared" si="40"/>
        <v>-7.0298432618445261E-3</v>
      </c>
      <c r="J445" s="13">
        <f t="shared" si="41"/>
        <v>-1.9349438691229626E-4</v>
      </c>
      <c r="L445" s="15">
        <v>43818</v>
      </c>
      <c r="M445">
        <f t="shared" si="42"/>
        <v>158.45382241197859</v>
      </c>
      <c r="N445">
        <f t="shared" si="43"/>
        <v>109.31092501994762</v>
      </c>
    </row>
    <row r="446" spans="1:14" x14ac:dyDescent="0.45">
      <c r="A446" s="15">
        <v>43819</v>
      </c>
      <c r="B446">
        <v>130.82240300000001</v>
      </c>
      <c r="C446" t="b">
        <f t="shared" si="38"/>
        <v>1</v>
      </c>
      <c r="E446" s="15">
        <v>43819</v>
      </c>
      <c r="F446">
        <f t="shared" si="39"/>
        <v>130.82240300000001</v>
      </c>
      <c r="G446">
        <v>1247.150024</v>
      </c>
      <c r="I446" s="13">
        <f t="shared" si="40"/>
        <v>-1.386420998285165E-2</v>
      </c>
      <c r="J446" s="13">
        <f t="shared" si="41"/>
        <v>5.2068472440367497E-3</v>
      </c>
      <c r="L446" s="15">
        <v>43819</v>
      </c>
      <c r="M446">
        <f t="shared" si="42"/>
        <v>156.25698534547342</v>
      </c>
      <c r="N446">
        <f t="shared" si="43"/>
        <v>109.88009030863084</v>
      </c>
    </row>
    <row r="447" spans="1:14" x14ac:dyDescent="0.45">
      <c r="A447" s="15">
        <v>43822</v>
      </c>
      <c r="B447">
        <v>131.878998</v>
      </c>
      <c r="C447" t="b">
        <f t="shared" si="38"/>
        <v>1</v>
      </c>
      <c r="E447" s="15">
        <v>43822</v>
      </c>
      <c r="F447">
        <f t="shared" si="39"/>
        <v>131.878998</v>
      </c>
      <c r="G447">
        <v>1258.880005</v>
      </c>
      <c r="I447" s="13">
        <f t="shared" si="40"/>
        <v>8.0765600980436947E-3</v>
      </c>
      <c r="J447" s="13">
        <f t="shared" si="41"/>
        <v>9.405428997530052E-3</v>
      </c>
      <c r="L447" s="15">
        <v>43822</v>
      </c>
      <c r="M447">
        <f t="shared" si="42"/>
        <v>157.51900427835528</v>
      </c>
      <c r="N447">
        <f t="shared" si="43"/>
        <v>110.91355969627085</v>
      </c>
    </row>
    <row r="448" spans="1:14" x14ac:dyDescent="0.45">
      <c r="A448" s="15">
        <v>43826</v>
      </c>
      <c r="B448">
        <v>133.60084499999999</v>
      </c>
      <c r="C448" t="b">
        <f t="shared" si="38"/>
        <v>1</v>
      </c>
      <c r="E448" s="15">
        <v>43826</v>
      </c>
      <c r="F448">
        <f t="shared" si="39"/>
        <v>133.60084499999999</v>
      </c>
      <c r="G448">
        <v>1264.3599850000001</v>
      </c>
      <c r="I448" s="13">
        <f t="shared" si="40"/>
        <v>1.3056263894270614E-2</v>
      </c>
      <c r="J448" s="13">
        <f t="shared" si="41"/>
        <v>4.3530598454457614E-3</v>
      </c>
      <c r="L448" s="15">
        <v>43826</v>
      </c>
      <c r="M448">
        <f t="shared" si="42"/>
        <v>159.57561396657624</v>
      </c>
      <c r="N448">
        <f t="shared" si="43"/>
        <v>111.39637305930015</v>
      </c>
    </row>
    <row r="449" spans="1:14" x14ac:dyDescent="0.45">
      <c r="A449" s="15">
        <v>43829</v>
      </c>
      <c r="B449">
        <v>131.72247300000001</v>
      </c>
      <c r="C449" t="b">
        <f t="shared" si="38"/>
        <v>1</v>
      </c>
      <c r="E449" s="15">
        <v>43829</v>
      </c>
      <c r="F449">
        <f t="shared" si="39"/>
        <v>131.72247300000001</v>
      </c>
      <c r="G449">
        <v>1253.900024</v>
      </c>
      <c r="I449" s="13">
        <f t="shared" si="40"/>
        <v>-1.4059581733932736E-2</v>
      </c>
      <c r="J449" s="13">
        <f t="shared" si="41"/>
        <v>-8.2729294853475244E-3</v>
      </c>
      <c r="L449" s="15">
        <v>43829</v>
      </c>
      <c r="M449">
        <f t="shared" si="42"/>
        <v>157.33204757927066</v>
      </c>
      <c r="N449">
        <f t="shared" si="43"/>
        <v>110.47479872005709</v>
      </c>
    </row>
    <row r="450" spans="1:14" x14ac:dyDescent="0.45">
      <c r="A450" s="15">
        <v>43832</v>
      </c>
      <c r="B450">
        <v>129.02226300000001</v>
      </c>
      <c r="C450" t="b">
        <f t="shared" si="38"/>
        <v>1</v>
      </c>
      <c r="E450" s="15">
        <v>43832</v>
      </c>
      <c r="F450">
        <f t="shared" si="39"/>
        <v>129.02226300000001</v>
      </c>
      <c r="G450">
        <v>1253.25</v>
      </c>
      <c r="I450" s="13">
        <f t="shared" si="40"/>
        <v>-2.0499235540468508E-2</v>
      </c>
      <c r="J450" s="13">
        <f t="shared" si="41"/>
        <v>-5.184017765039739E-4</v>
      </c>
      <c r="L450" s="15">
        <v>43832</v>
      </c>
      <c r="M450">
        <f t="shared" si="42"/>
        <v>154.106860877879</v>
      </c>
      <c r="N450">
        <f t="shared" si="43"/>
        <v>110.4175283881417</v>
      </c>
    </row>
    <row r="451" spans="1:14" x14ac:dyDescent="0.45">
      <c r="A451" s="15">
        <v>43833</v>
      </c>
      <c r="B451">
        <v>126.90907300000001</v>
      </c>
      <c r="C451" t="b">
        <f t="shared" ref="C451:C514" si="44">E451=A451</f>
        <v>1</v>
      </c>
      <c r="E451" s="15">
        <v>43833</v>
      </c>
      <c r="F451">
        <f t="shared" ref="F451:F514" si="45">VLOOKUP(E451,A451:B1690,2,0)</f>
        <v>126.90907300000001</v>
      </c>
      <c r="G451">
        <v>1237.5500489999999</v>
      </c>
      <c r="I451" s="13">
        <f t="shared" si="40"/>
        <v>-1.6378491206591295E-2</v>
      </c>
      <c r="J451" s="13">
        <f t="shared" si="41"/>
        <v>-1.2527389587073667E-2</v>
      </c>
      <c r="L451" s="15">
        <v>43833</v>
      </c>
      <c r="M451">
        <f t="shared" si="42"/>
        <v>151.58282301211528</v>
      </c>
      <c r="N451">
        <f t="shared" si="43"/>
        <v>109.03428499278169</v>
      </c>
    </row>
    <row r="452" spans="1:14" x14ac:dyDescent="0.45">
      <c r="A452" s="15">
        <v>43837</v>
      </c>
      <c r="B452">
        <v>125.148079</v>
      </c>
      <c r="C452" t="b">
        <f t="shared" si="44"/>
        <v>1</v>
      </c>
      <c r="E452" s="15">
        <v>43837</v>
      </c>
      <c r="F452">
        <f t="shared" si="45"/>
        <v>125.148079</v>
      </c>
      <c r="G452">
        <v>1240.969971</v>
      </c>
      <c r="I452" s="13">
        <f t="shared" ref="I452:I515" si="46">F452/F451-1</f>
        <v>-1.3876029178780724E-2</v>
      </c>
      <c r="J452" s="13">
        <f t="shared" ref="J452:J515" si="47">G452/G451-1</f>
        <v>2.7634615688985065E-3</v>
      </c>
      <c r="L452" s="15">
        <v>43837</v>
      </c>
      <c r="M452">
        <f t="shared" ref="M452:M515" si="48">M451*(1+I452)</f>
        <v>149.4794553369972</v>
      </c>
      <c r="N452">
        <f t="shared" ref="N452:N515" si="49">N451*(1+J452)</f>
        <v>109.33559704905157</v>
      </c>
    </row>
    <row r="453" spans="1:14" x14ac:dyDescent="0.45">
      <c r="A453" s="15">
        <v>43838</v>
      </c>
      <c r="B453">
        <v>126.282951</v>
      </c>
      <c r="C453" t="b">
        <f t="shared" si="44"/>
        <v>1</v>
      </c>
      <c r="E453" s="15">
        <v>43838</v>
      </c>
      <c r="F453">
        <f t="shared" si="45"/>
        <v>126.282951</v>
      </c>
      <c r="G453">
        <v>1239.030029</v>
      </c>
      <c r="I453" s="13">
        <f t="shared" si="46"/>
        <v>9.0682334804355058E-3</v>
      </c>
      <c r="J453" s="13">
        <f t="shared" si="47"/>
        <v>-1.5632465291941511E-3</v>
      </c>
      <c r="L453" s="15">
        <v>43838</v>
      </c>
      <c r="M453">
        <f t="shared" si="48"/>
        <v>150.83496993852143</v>
      </c>
      <c r="N453">
        <f t="shared" si="49"/>
        <v>109.16467855644727</v>
      </c>
    </row>
    <row r="454" spans="1:14" x14ac:dyDescent="0.45">
      <c r="A454" s="15">
        <v>43839</v>
      </c>
      <c r="B454">
        <v>125.539421</v>
      </c>
      <c r="C454" t="b">
        <f t="shared" si="44"/>
        <v>1</v>
      </c>
      <c r="E454" s="15">
        <v>43839</v>
      </c>
      <c r="F454">
        <f t="shared" si="45"/>
        <v>125.539421</v>
      </c>
      <c r="G454">
        <v>1246.119995</v>
      </c>
      <c r="I454" s="13">
        <f t="shared" si="46"/>
        <v>-5.8878098279473434E-3</v>
      </c>
      <c r="J454" s="13">
        <f t="shared" si="47"/>
        <v>5.722190612056588E-3</v>
      </c>
      <c r="L454" s="15">
        <v>43839</v>
      </c>
      <c r="M454">
        <f t="shared" si="48"/>
        <v>149.94688232011924</v>
      </c>
      <c r="N454">
        <f t="shared" si="49"/>
        <v>109.78933965525115</v>
      </c>
    </row>
    <row r="455" spans="1:14" x14ac:dyDescent="0.45">
      <c r="A455" s="15">
        <v>43840</v>
      </c>
      <c r="B455">
        <v>124.639343</v>
      </c>
      <c r="C455" t="b">
        <f t="shared" si="44"/>
        <v>1</v>
      </c>
      <c r="E455" s="15">
        <v>43840</v>
      </c>
      <c r="F455">
        <f t="shared" si="45"/>
        <v>124.639343</v>
      </c>
      <c r="G455">
        <v>1246.790039</v>
      </c>
      <c r="I455" s="13">
        <f t="shared" si="46"/>
        <v>-7.1696841743439377E-3</v>
      </c>
      <c r="J455" s="13">
        <f t="shared" si="47"/>
        <v>5.3770423609966755E-4</v>
      </c>
      <c r="L455" s="15">
        <v>43840</v>
      </c>
      <c r="M455">
        <f t="shared" si="48"/>
        <v>148.87181053095648</v>
      </c>
      <c r="N455">
        <f t="shared" si="49"/>
        <v>109.84837384826237</v>
      </c>
    </row>
    <row r="456" spans="1:14" x14ac:dyDescent="0.45">
      <c r="A456" s="15">
        <v>43843</v>
      </c>
      <c r="B456">
        <v>124.208878</v>
      </c>
      <c r="C456" t="b">
        <f t="shared" si="44"/>
        <v>1</v>
      </c>
      <c r="E456" s="15">
        <v>43843</v>
      </c>
      <c r="F456">
        <f t="shared" si="45"/>
        <v>124.208878</v>
      </c>
      <c r="G456">
        <v>1250.5</v>
      </c>
      <c r="I456" s="13">
        <f t="shared" si="46"/>
        <v>-3.4536847646894353E-3</v>
      </c>
      <c r="J456" s="13">
        <f t="shared" si="47"/>
        <v>2.9756100738305147E-3</v>
      </c>
      <c r="L456" s="15">
        <v>43843</v>
      </c>
      <c r="M456">
        <f t="shared" si="48"/>
        <v>148.35765422703398</v>
      </c>
      <c r="N456">
        <f t="shared" si="49"/>
        <v>110.17523977607915</v>
      </c>
    </row>
    <row r="457" spans="1:14" x14ac:dyDescent="0.45">
      <c r="A457" s="15">
        <v>43844</v>
      </c>
      <c r="B457">
        <v>123.778419</v>
      </c>
      <c r="C457" t="b">
        <f t="shared" si="44"/>
        <v>1</v>
      </c>
      <c r="E457" s="15">
        <v>43844</v>
      </c>
      <c r="F457">
        <f t="shared" si="45"/>
        <v>123.778419</v>
      </c>
      <c r="G457">
        <v>1255.01001</v>
      </c>
      <c r="I457" s="13">
        <f t="shared" si="46"/>
        <v>-3.4656057355255676E-3</v>
      </c>
      <c r="J457" s="13">
        <f t="shared" si="47"/>
        <v>3.6065653738504011E-3</v>
      </c>
      <c r="L457" s="15">
        <v>43844</v>
      </c>
      <c r="M457">
        <f t="shared" si="48"/>
        <v>147.84350508963564</v>
      </c>
      <c r="N457">
        <f t="shared" si="49"/>
        <v>110.57259398091122</v>
      </c>
    </row>
    <row r="458" spans="1:14" x14ac:dyDescent="0.45">
      <c r="A458" s="15">
        <v>43845</v>
      </c>
      <c r="B458">
        <v>126.674271</v>
      </c>
      <c r="C458" t="b">
        <f t="shared" si="44"/>
        <v>1</v>
      </c>
      <c r="E458" s="15">
        <v>43845</v>
      </c>
      <c r="F458">
        <f t="shared" si="45"/>
        <v>126.674271</v>
      </c>
      <c r="G458">
        <v>1274.01001</v>
      </c>
      <c r="I458" s="13">
        <f t="shared" si="46"/>
        <v>2.3395451512432164E-2</v>
      </c>
      <c r="J458" s="13">
        <f t="shared" si="47"/>
        <v>1.5139321478399914E-2</v>
      </c>
      <c r="L458" s="15">
        <v>43845</v>
      </c>
      <c r="M458">
        <f t="shared" si="48"/>
        <v>151.30237064438822</v>
      </c>
      <c r="N458">
        <f t="shared" si="49"/>
        <v>112.24658802788882</v>
      </c>
    </row>
    <row r="459" spans="1:14" x14ac:dyDescent="0.45">
      <c r="A459" s="15">
        <v>43846</v>
      </c>
      <c r="B459">
        <v>128.12219200000001</v>
      </c>
      <c r="C459" t="b">
        <f t="shared" si="44"/>
        <v>1</v>
      </c>
      <c r="E459" s="15">
        <v>43846</v>
      </c>
      <c r="F459">
        <f t="shared" si="45"/>
        <v>128.12219200000001</v>
      </c>
      <c r="G459">
        <v>1272.920044</v>
      </c>
      <c r="I459" s="13">
        <f t="shared" si="46"/>
        <v>1.1430269055979103E-2</v>
      </c>
      <c r="J459" s="13">
        <f t="shared" si="47"/>
        <v>-8.5553958873529901E-4</v>
      </c>
      <c r="L459" s="15">
        <v>43846</v>
      </c>
      <c r="M459">
        <f t="shared" si="48"/>
        <v>153.03179744966104</v>
      </c>
      <c r="N459">
        <f t="shared" si="49"/>
        <v>112.1505566281305</v>
      </c>
    </row>
    <row r="460" spans="1:14" x14ac:dyDescent="0.45">
      <c r="A460" s="15">
        <v>43847</v>
      </c>
      <c r="B460">
        <v>129.530991</v>
      </c>
      <c r="C460" t="b">
        <f t="shared" si="44"/>
        <v>1</v>
      </c>
      <c r="E460" s="15">
        <v>43847</v>
      </c>
      <c r="F460">
        <f t="shared" si="45"/>
        <v>129.530991</v>
      </c>
      <c r="G460">
        <v>1284.3000489999999</v>
      </c>
      <c r="I460" s="13">
        <f t="shared" si="46"/>
        <v>1.0995745374072108E-2</v>
      </c>
      <c r="J460" s="13">
        <f t="shared" si="47"/>
        <v>8.9400784076270057E-3</v>
      </c>
      <c r="L460" s="15">
        <v>43847</v>
      </c>
      <c r="M460">
        <f t="shared" si="48"/>
        <v>154.71449612855409</v>
      </c>
      <c r="N460">
        <f t="shared" si="49"/>
        <v>113.15319139784501</v>
      </c>
    </row>
    <row r="461" spans="1:14" x14ac:dyDescent="0.45">
      <c r="A461" s="15">
        <v>43850</v>
      </c>
      <c r="B461">
        <v>129.609253</v>
      </c>
      <c r="C461" t="b">
        <f t="shared" si="44"/>
        <v>1</v>
      </c>
      <c r="E461" s="15">
        <v>43850</v>
      </c>
      <c r="F461">
        <f t="shared" si="45"/>
        <v>129.609253</v>
      </c>
      <c r="G461">
        <v>1287.530029</v>
      </c>
      <c r="I461" s="13">
        <f t="shared" si="46"/>
        <v>6.0419517673571121E-4</v>
      </c>
      <c r="J461" s="13">
        <f t="shared" si="47"/>
        <v>2.5149730411635485E-3</v>
      </c>
      <c r="L461" s="15">
        <v>43850</v>
      </c>
      <c r="M461">
        <f t="shared" si="48"/>
        <v>154.80797388088607</v>
      </c>
      <c r="N461">
        <f t="shared" si="49"/>
        <v>113.43776862373221</v>
      </c>
    </row>
    <row r="462" spans="1:14" x14ac:dyDescent="0.45">
      <c r="A462" s="15">
        <v>43851</v>
      </c>
      <c r="B462">
        <v>130.07887299999999</v>
      </c>
      <c r="C462" t="b">
        <f t="shared" si="44"/>
        <v>1</v>
      </c>
      <c r="E462" s="15">
        <v>43851</v>
      </c>
      <c r="F462">
        <f t="shared" si="45"/>
        <v>130.07887299999999</v>
      </c>
      <c r="G462">
        <v>1286.3199460000001</v>
      </c>
      <c r="I462" s="13">
        <f t="shared" si="46"/>
        <v>3.6233524160500519E-3</v>
      </c>
      <c r="J462" s="13">
        <f t="shared" si="47"/>
        <v>-9.3984837071314775E-4</v>
      </c>
      <c r="L462" s="15">
        <v>43851</v>
      </c>
      <c r="M462">
        <f t="shared" si="48"/>
        <v>155.36889772707119</v>
      </c>
      <c r="N462">
        <f t="shared" si="49"/>
        <v>113.33115432171387</v>
      </c>
    </row>
    <row r="463" spans="1:14" x14ac:dyDescent="0.45">
      <c r="A463" s="15">
        <v>43852</v>
      </c>
      <c r="B463">
        <v>130.50932299999999</v>
      </c>
      <c r="C463" t="b">
        <f t="shared" si="44"/>
        <v>1</v>
      </c>
      <c r="E463" s="15">
        <v>43852</v>
      </c>
      <c r="F463">
        <f t="shared" si="45"/>
        <v>130.50932299999999</v>
      </c>
      <c r="G463">
        <v>1294.1999510000001</v>
      </c>
      <c r="I463" s="13">
        <f t="shared" si="46"/>
        <v>3.309146136283081E-3</v>
      </c>
      <c r="J463" s="13">
        <f t="shared" si="47"/>
        <v>6.12600700510324E-3</v>
      </c>
      <c r="L463" s="15">
        <v>43852</v>
      </c>
      <c r="M463">
        <f t="shared" si="48"/>
        <v>155.88303611468328</v>
      </c>
      <c r="N463">
        <f t="shared" si="49"/>
        <v>114.02542176698512</v>
      </c>
    </row>
    <row r="464" spans="1:14" x14ac:dyDescent="0.45">
      <c r="A464" s="15">
        <v>43853</v>
      </c>
      <c r="B464">
        <v>128.74833699999999</v>
      </c>
      <c r="C464" t="b">
        <f t="shared" si="44"/>
        <v>1</v>
      </c>
      <c r="E464" s="15">
        <v>43853</v>
      </c>
      <c r="F464">
        <f t="shared" si="45"/>
        <v>128.74833699999999</v>
      </c>
      <c r="G464">
        <v>1288.9399410000001</v>
      </c>
      <c r="I464" s="13">
        <f t="shared" si="46"/>
        <v>-1.3493181632702189E-2</v>
      </c>
      <c r="J464" s="13">
        <f t="shared" si="47"/>
        <v>-4.0642946987717865E-3</v>
      </c>
      <c r="L464" s="15">
        <v>43853</v>
      </c>
      <c r="M464">
        <f t="shared" si="48"/>
        <v>153.77967799493078</v>
      </c>
      <c r="N464">
        <f t="shared" si="49"/>
        <v>113.56198884977235</v>
      </c>
    </row>
    <row r="465" spans="1:14" x14ac:dyDescent="0.45">
      <c r="A465" s="15">
        <v>43854</v>
      </c>
      <c r="B465">
        <v>131.096329</v>
      </c>
      <c r="C465" t="b">
        <f t="shared" si="44"/>
        <v>1</v>
      </c>
      <c r="E465" s="15">
        <v>43854</v>
      </c>
      <c r="F465">
        <f t="shared" si="45"/>
        <v>131.096329</v>
      </c>
      <c r="G465">
        <v>1299.420044</v>
      </c>
      <c r="I465" s="13">
        <f t="shared" si="46"/>
        <v>1.8237066627120768E-2</v>
      </c>
      <c r="J465" s="13">
        <f t="shared" si="47"/>
        <v>8.1307923407736293E-3</v>
      </c>
      <c r="L465" s="15">
        <v>43854</v>
      </c>
      <c r="M465">
        <f t="shared" si="48"/>
        <v>156.5841682284215</v>
      </c>
      <c r="N465">
        <f t="shared" si="49"/>
        <v>114.4853377989151</v>
      </c>
    </row>
    <row r="466" spans="1:14" x14ac:dyDescent="0.45">
      <c r="A466" s="15">
        <v>43857</v>
      </c>
      <c r="B466">
        <v>128.86573799999999</v>
      </c>
      <c r="C466" t="b">
        <f t="shared" si="44"/>
        <v>1</v>
      </c>
      <c r="E466" s="15">
        <v>43857</v>
      </c>
      <c r="F466">
        <f t="shared" si="45"/>
        <v>128.86573799999999</v>
      </c>
      <c r="G466">
        <v>1268.780029</v>
      </c>
      <c r="I466" s="13">
        <f t="shared" si="46"/>
        <v>-1.7014900546910128E-2</v>
      </c>
      <c r="J466" s="13">
        <f t="shared" si="47"/>
        <v>-2.3579761710986746E-2</v>
      </c>
      <c r="L466" s="15">
        <v>43857</v>
      </c>
      <c r="M466">
        <f t="shared" si="48"/>
        <v>153.91990417879427</v>
      </c>
      <c r="N466">
        <f t="shared" si="49"/>
        <v>111.78580081421485</v>
      </c>
    </row>
    <row r="467" spans="1:14" x14ac:dyDescent="0.45">
      <c r="A467" s="15">
        <v>43858</v>
      </c>
      <c r="B467">
        <v>130.27453600000001</v>
      </c>
      <c r="C467" t="b">
        <f t="shared" si="44"/>
        <v>1</v>
      </c>
      <c r="E467" s="15">
        <v>43858</v>
      </c>
      <c r="F467">
        <f t="shared" si="45"/>
        <v>130.27453600000001</v>
      </c>
      <c r="G467">
        <v>1276.9300539999999</v>
      </c>
      <c r="I467" s="13">
        <f t="shared" si="46"/>
        <v>1.0932292957496648E-2</v>
      </c>
      <c r="J467" s="13">
        <f t="shared" si="47"/>
        <v>6.4235129917857847E-3</v>
      </c>
      <c r="L467" s="15">
        <v>43858</v>
      </c>
      <c r="M467">
        <f t="shared" si="48"/>
        <v>155.60260166326665</v>
      </c>
      <c r="N467">
        <f t="shared" si="49"/>
        <v>112.50385835804214</v>
      </c>
    </row>
    <row r="468" spans="1:14" x14ac:dyDescent="0.45">
      <c r="A468" s="15">
        <v>43859</v>
      </c>
      <c r="B468">
        <v>134.81399500000001</v>
      </c>
      <c r="C468" t="b">
        <f t="shared" si="44"/>
        <v>1</v>
      </c>
      <c r="E468" s="15">
        <v>43859</v>
      </c>
      <c r="F468">
        <f t="shared" si="45"/>
        <v>134.81399500000001</v>
      </c>
      <c r="G468">
        <v>1295.339966</v>
      </c>
      <c r="I468" s="13">
        <f t="shared" si="46"/>
        <v>3.4845328483841254E-2</v>
      </c>
      <c r="J468" s="13">
        <f t="shared" si="47"/>
        <v>1.441732218795444E-2</v>
      </c>
      <c r="L468" s="15">
        <v>43859</v>
      </c>
      <c r="M468">
        <f t="shared" si="48"/>
        <v>161.02462543116349</v>
      </c>
      <c r="N468">
        <f t="shared" si="49"/>
        <v>114.12586273137802</v>
      </c>
    </row>
    <row r="469" spans="1:14" x14ac:dyDescent="0.45">
      <c r="A469" s="15">
        <v>43860</v>
      </c>
      <c r="B469">
        <v>130.70500200000001</v>
      </c>
      <c r="C469" t="b">
        <f t="shared" si="44"/>
        <v>1</v>
      </c>
      <c r="E469" s="15">
        <v>43860</v>
      </c>
      <c r="F469">
        <f t="shared" si="45"/>
        <v>130.70500200000001</v>
      </c>
      <c r="G469">
        <v>1274.9799800000001</v>
      </c>
      <c r="I469" s="13">
        <f t="shared" si="46"/>
        <v>-3.0478979574783738E-2</v>
      </c>
      <c r="J469" s="13">
        <f t="shared" si="47"/>
        <v>-1.5717870624243457E-2</v>
      </c>
      <c r="L469" s="15">
        <v>43860</v>
      </c>
      <c r="M469">
        <f t="shared" si="48"/>
        <v>156.11675916160985</v>
      </c>
      <c r="N469">
        <f t="shared" si="49"/>
        <v>112.33204718608606</v>
      </c>
    </row>
    <row r="470" spans="1:14" x14ac:dyDescent="0.45">
      <c r="A470" s="15">
        <v>43861</v>
      </c>
      <c r="B470">
        <v>131.64419599999999</v>
      </c>
      <c r="C470" t="b">
        <f t="shared" si="44"/>
        <v>1</v>
      </c>
      <c r="E470" s="15">
        <v>43861</v>
      </c>
      <c r="F470">
        <f t="shared" si="45"/>
        <v>131.64419599999999</v>
      </c>
      <c r="G470">
        <v>1277.8000489999999</v>
      </c>
      <c r="I470" s="13">
        <f t="shared" si="46"/>
        <v>7.1856010529725012E-3</v>
      </c>
      <c r="J470" s="13">
        <f t="shared" si="47"/>
        <v>2.2118535539670248E-3</v>
      </c>
      <c r="L470" s="15">
        <v>43861</v>
      </c>
      <c r="M470">
        <f t="shared" si="48"/>
        <v>157.23855191062816</v>
      </c>
      <c r="N470">
        <f t="shared" si="49"/>
        <v>112.58050922387899</v>
      </c>
    </row>
    <row r="471" spans="1:14" x14ac:dyDescent="0.45">
      <c r="A471" s="15">
        <v>43864</v>
      </c>
      <c r="B471">
        <v>131.33114599999999</v>
      </c>
      <c r="C471" t="b">
        <f t="shared" si="44"/>
        <v>1</v>
      </c>
      <c r="E471" s="15">
        <v>43864</v>
      </c>
      <c r="F471">
        <f t="shared" si="45"/>
        <v>131.33114599999999</v>
      </c>
      <c r="G471">
        <v>1278.76001</v>
      </c>
      <c r="I471" s="13">
        <f t="shared" si="46"/>
        <v>-2.3780007741472931E-3</v>
      </c>
      <c r="J471" s="13">
        <f t="shared" si="47"/>
        <v>7.5126073187381515E-4</v>
      </c>
      <c r="L471" s="15">
        <v>43864</v>
      </c>
      <c r="M471">
        <f t="shared" si="48"/>
        <v>156.8646385124589</v>
      </c>
      <c r="N471">
        <f t="shared" si="49"/>
        <v>112.66508653963325</v>
      </c>
    </row>
    <row r="472" spans="1:14" x14ac:dyDescent="0.45">
      <c r="A472" s="15">
        <v>43865</v>
      </c>
      <c r="B472">
        <v>134.22699</v>
      </c>
      <c r="C472" t="b">
        <f t="shared" si="44"/>
        <v>1</v>
      </c>
      <c r="E472" s="15">
        <v>43865</v>
      </c>
      <c r="F472">
        <f t="shared" si="45"/>
        <v>134.22699</v>
      </c>
      <c r="G472">
        <v>1299.1400149999999</v>
      </c>
      <c r="I472" s="13">
        <f t="shared" si="46"/>
        <v>2.2049940841908144E-2</v>
      </c>
      <c r="J472" s="13">
        <f t="shared" si="47"/>
        <v>1.5937318058608874E-2</v>
      </c>
      <c r="L472" s="15">
        <v>43865</v>
      </c>
      <c r="M472">
        <f t="shared" si="48"/>
        <v>160.32349451184592</v>
      </c>
      <c r="N472">
        <f t="shared" si="49"/>
        <v>114.46066585791608</v>
      </c>
    </row>
    <row r="473" spans="1:14" x14ac:dyDescent="0.45">
      <c r="A473" s="15">
        <v>43866</v>
      </c>
      <c r="B473">
        <v>141.231842</v>
      </c>
      <c r="C473" t="b">
        <f t="shared" si="44"/>
        <v>1</v>
      </c>
      <c r="E473" s="15">
        <v>43866</v>
      </c>
      <c r="F473">
        <f t="shared" si="45"/>
        <v>141.231842</v>
      </c>
      <c r="G473">
        <v>1330.6400149999999</v>
      </c>
      <c r="I473" s="13">
        <f t="shared" si="46"/>
        <v>5.218661313942885E-2</v>
      </c>
      <c r="J473" s="13">
        <f t="shared" si="47"/>
        <v>2.4246809147819182E-2</v>
      </c>
      <c r="L473" s="15">
        <v>43866</v>
      </c>
      <c r="M473">
        <f t="shared" si="48"/>
        <v>168.69023469709697</v>
      </c>
      <c r="N473">
        <f t="shared" si="49"/>
        <v>117.23597177790528</v>
      </c>
    </row>
    <row r="474" spans="1:14" x14ac:dyDescent="0.45">
      <c r="A474" s="15">
        <v>43867</v>
      </c>
      <c r="B474">
        <v>141.38838200000001</v>
      </c>
      <c r="C474" t="b">
        <f t="shared" si="44"/>
        <v>1</v>
      </c>
      <c r="E474" s="15">
        <v>43867</v>
      </c>
      <c r="F474">
        <f t="shared" si="45"/>
        <v>141.38838200000001</v>
      </c>
      <c r="G474">
        <v>1342.839966</v>
      </c>
      <c r="I474" s="13">
        <f t="shared" si="46"/>
        <v>1.1083902736326312E-3</v>
      </c>
      <c r="J474" s="13">
        <f t="shared" si="47"/>
        <v>9.1684834834913076E-3</v>
      </c>
      <c r="L474" s="15">
        <v>43867</v>
      </c>
      <c r="M474">
        <f t="shared" si="48"/>
        <v>168.87720931249203</v>
      </c>
      <c r="N474">
        <f t="shared" si="49"/>
        <v>118.31084784882205</v>
      </c>
    </row>
    <row r="475" spans="1:14" x14ac:dyDescent="0.45">
      <c r="A475" s="15">
        <v>43868</v>
      </c>
      <c r="B475">
        <v>140.17523199999999</v>
      </c>
      <c r="C475" t="b">
        <f t="shared" si="44"/>
        <v>1</v>
      </c>
      <c r="E475" s="15">
        <v>43868</v>
      </c>
      <c r="F475">
        <f t="shared" si="45"/>
        <v>140.17523199999999</v>
      </c>
      <c r="G475">
        <v>1340.25</v>
      </c>
      <c r="I475" s="13">
        <f t="shared" si="46"/>
        <v>-8.5802665172306503E-3</v>
      </c>
      <c r="J475" s="13">
        <f t="shared" si="47"/>
        <v>-1.9287227559325881E-3</v>
      </c>
      <c r="L475" s="15">
        <v>43868</v>
      </c>
      <c r="M475">
        <f t="shared" si="48"/>
        <v>167.4281978479047</v>
      </c>
      <c r="N475">
        <f t="shared" si="49"/>
        <v>118.08265902430234</v>
      </c>
    </row>
    <row r="476" spans="1:14" x14ac:dyDescent="0.45">
      <c r="A476" s="15">
        <v>43871</v>
      </c>
      <c r="B476">
        <v>138.53164699999999</v>
      </c>
      <c r="C476" t="b">
        <f t="shared" si="44"/>
        <v>1</v>
      </c>
      <c r="E476" s="15">
        <v>43871</v>
      </c>
      <c r="F476">
        <f t="shared" si="45"/>
        <v>138.53164699999999</v>
      </c>
      <c r="G476">
        <v>1333.469971</v>
      </c>
      <c r="I476" s="13">
        <f t="shared" si="46"/>
        <v>-1.1725216905651314E-2</v>
      </c>
      <c r="J476" s="13">
        <f t="shared" si="47"/>
        <v>-5.0587793322141028E-3</v>
      </c>
      <c r="L476" s="15">
        <v>43871</v>
      </c>
      <c r="M476">
        <f t="shared" si="48"/>
        <v>165.46506591201572</v>
      </c>
      <c r="N476">
        <f t="shared" si="49"/>
        <v>117.48530490933732</v>
      </c>
    </row>
    <row r="477" spans="1:14" x14ac:dyDescent="0.45">
      <c r="A477" s="15">
        <v>43872</v>
      </c>
      <c r="B477">
        <v>140.56655900000001</v>
      </c>
      <c r="C477" t="b">
        <f t="shared" si="44"/>
        <v>1</v>
      </c>
      <c r="E477" s="15">
        <v>43872</v>
      </c>
      <c r="F477">
        <f t="shared" si="45"/>
        <v>140.56655900000001</v>
      </c>
      <c r="G477">
        <v>1351.880005</v>
      </c>
      <c r="I477" s="13">
        <f t="shared" si="46"/>
        <v>1.4689148971137378E-2</v>
      </c>
      <c r="J477" s="13">
        <f t="shared" si="47"/>
        <v>1.3806110673938887E-2</v>
      </c>
      <c r="L477" s="15">
        <v>43872</v>
      </c>
      <c r="M477">
        <f t="shared" si="48"/>
        <v>167.89560691471638</v>
      </c>
      <c r="N477">
        <f t="shared" si="49"/>
        <v>119.10732003147709</v>
      </c>
    </row>
    <row r="478" spans="1:14" x14ac:dyDescent="0.45">
      <c r="A478" s="15">
        <v>43873</v>
      </c>
      <c r="B478">
        <v>137.201111</v>
      </c>
      <c r="C478" t="b">
        <f t="shared" si="44"/>
        <v>1</v>
      </c>
      <c r="E478" s="15">
        <v>43873</v>
      </c>
      <c r="F478">
        <f t="shared" si="45"/>
        <v>137.201111</v>
      </c>
      <c r="G478">
        <v>1347.790039</v>
      </c>
      <c r="I478" s="13">
        <f t="shared" si="46"/>
        <v>-2.3942024503850967E-2</v>
      </c>
      <c r="J478" s="13">
        <f t="shared" si="47"/>
        <v>-3.0253912957312057E-3</v>
      </c>
      <c r="L478" s="15">
        <v>43873</v>
      </c>
      <c r="M478">
        <f t="shared" si="48"/>
        <v>163.87584617987531</v>
      </c>
      <c r="N478">
        <f t="shared" si="49"/>
        <v>118.74697378219598</v>
      </c>
    </row>
    <row r="479" spans="1:14" x14ac:dyDescent="0.45">
      <c r="A479" s="15">
        <v>43874</v>
      </c>
      <c r="B479">
        <v>135.47924800000001</v>
      </c>
      <c r="C479" t="b">
        <f t="shared" si="44"/>
        <v>1</v>
      </c>
      <c r="E479" s="15">
        <v>43874</v>
      </c>
      <c r="F479">
        <f t="shared" si="45"/>
        <v>135.47924800000001</v>
      </c>
      <c r="G479">
        <v>1345.1400149999999</v>
      </c>
      <c r="I479" s="13">
        <f t="shared" si="46"/>
        <v>-1.2549920240806145E-2</v>
      </c>
      <c r="J479" s="13">
        <f t="shared" si="47"/>
        <v>-1.9661994252206938E-3</v>
      </c>
      <c r="L479" s="15">
        <v>43874</v>
      </c>
      <c r="M479">
        <f t="shared" si="48"/>
        <v>161.81921738092325</v>
      </c>
      <c r="N479">
        <f t="shared" si="49"/>
        <v>118.51349355059872</v>
      </c>
    </row>
    <row r="480" spans="1:14" x14ac:dyDescent="0.45">
      <c r="A480" s="15">
        <v>43875</v>
      </c>
      <c r="B480">
        <v>136.26191700000001</v>
      </c>
      <c r="C480" t="b">
        <f t="shared" si="44"/>
        <v>1</v>
      </c>
      <c r="E480" s="15">
        <v>43875</v>
      </c>
      <c r="F480">
        <f t="shared" si="45"/>
        <v>136.26191700000001</v>
      </c>
      <c r="G480">
        <v>1355.400024</v>
      </c>
      <c r="I480" s="13">
        <f t="shared" si="46"/>
        <v>5.7770397426475384E-3</v>
      </c>
      <c r="J480" s="13">
        <f t="shared" si="47"/>
        <v>7.6274654575643197E-3</v>
      </c>
      <c r="L480" s="15">
        <v>43875</v>
      </c>
      <c r="M480">
        <f t="shared" si="48"/>
        <v>162.75405343085697</v>
      </c>
      <c r="N480">
        <f t="shared" si="49"/>
        <v>119.41745112891118</v>
      </c>
    </row>
    <row r="481" spans="1:14" x14ac:dyDescent="0.45">
      <c r="A481" s="15">
        <v>43878</v>
      </c>
      <c r="B481">
        <v>136.496735</v>
      </c>
      <c r="C481" t="b">
        <f t="shared" si="44"/>
        <v>1</v>
      </c>
      <c r="E481" s="15">
        <v>43878</v>
      </c>
      <c r="F481">
        <f t="shared" si="45"/>
        <v>136.496735</v>
      </c>
      <c r="G481">
        <v>1354.4799800000001</v>
      </c>
      <c r="I481" s="13">
        <f t="shared" si="46"/>
        <v>1.7232841366821017E-3</v>
      </c>
      <c r="J481" s="13">
        <f t="shared" si="47"/>
        <v>-6.7879886654031996E-4</v>
      </c>
      <c r="L481" s="15">
        <v>43878</v>
      </c>
      <c r="M481">
        <f t="shared" si="48"/>
        <v>163.03452490931508</v>
      </c>
      <c r="N481">
        <f t="shared" si="49"/>
        <v>119.33639069843974</v>
      </c>
    </row>
    <row r="482" spans="1:14" x14ac:dyDescent="0.45">
      <c r="A482" s="15">
        <v>43879</v>
      </c>
      <c r="B482">
        <v>135.87058999999999</v>
      </c>
      <c r="C482" t="b">
        <f t="shared" si="44"/>
        <v>1</v>
      </c>
      <c r="E482" s="15">
        <v>43879</v>
      </c>
      <c r="F482">
        <f t="shared" si="45"/>
        <v>135.87058999999999</v>
      </c>
      <c r="G482">
        <v>1363.5600589999999</v>
      </c>
      <c r="I482" s="13">
        <f t="shared" si="46"/>
        <v>-4.5872525815361387E-3</v>
      </c>
      <c r="J482" s="13">
        <f t="shared" si="47"/>
        <v>6.7037380648473643E-3</v>
      </c>
      <c r="L482" s="15">
        <v>43879</v>
      </c>
      <c r="M482">
        <f t="shared" si="48"/>
        <v>162.28664436404532</v>
      </c>
      <c r="N482">
        <f t="shared" si="49"/>
        <v>120.13639060328637</v>
      </c>
    </row>
    <row r="483" spans="1:14" x14ac:dyDescent="0.45">
      <c r="A483" s="15">
        <v>43880</v>
      </c>
      <c r="B483">
        <v>139.392563</v>
      </c>
      <c r="C483" t="b">
        <f t="shared" si="44"/>
        <v>1</v>
      </c>
      <c r="E483" s="15">
        <v>43880</v>
      </c>
      <c r="F483">
        <f t="shared" si="45"/>
        <v>139.392563</v>
      </c>
      <c r="G483">
        <v>1376.670044</v>
      </c>
      <c r="I483" s="13">
        <f t="shared" si="46"/>
        <v>2.5921525769484033E-2</v>
      </c>
      <c r="J483" s="13">
        <f t="shared" si="47"/>
        <v>9.6145269975234093E-3</v>
      </c>
      <c r="L483" s="15">
        <v>43880</v>
      </c>
      <c r="M483">
        <f t="shared" si="48"/>
        <v>166.493361797971</v>
      </c>
      <c r="N483">
        <f t="shared" si="49"/>
        <v>121.29144517412669</v>
      </c>
    </row>
    <row r="484" spans="1:14" x14ac:dyDescent="0.45">
      <c r="A484" s="15">
        <v>43881</v>
      </c>
      <c r="B484">
        <v>140.33178699999999</v>
      </c>
      <c r="C484" t="b">
        <f t="shared" si="44"/>
        <v>1</v>
      </c>
      <c r="E484" s="15">
        <v>43881</v>
      </c>
      <c r="F484">
        <f t="shared" si="45"/>
        <v>140.33178699999999</v>
      </c>
      <c r="G484">
        <v>1373.2700199999999</v>
      </c>
      <c r="I484" s="13">
        <f t="shared" si="46"/>
        <v>6.7379778360199261E-3</v>
      </c>
      <c r="J484" s="13">
        <f t="shared" si="47"/>
        <v>-2.4697450306400137E-3</v>
      </c>
      <c r="L484" s="15">
        <v>43881</v>
      </c>
      <c r="M484">
        <f t="shared" si="48"/>
        <v>167.61519037961017</v>
      </c>
      <c r="N484">
        <f t="shared" si="49"/>
        <v>120.99188623014875</v>
      </c>
    </row>
    <row r="485" spans="1:14" x14ac:dyDescent="0.45">
      <c r="A485" s="15">
        <v>43882</v>
      </c>
      <c r="B485">
        <v>141.036179</v>
      </c>
      <c r="C485" t="b">
        <f t="shared" si="44"/>
        <v>1</v>
      </c>
      <c r="E485" s="15">
        <v>43882</v>
      </c>
      <c r="F485">
        <f t="shared" si="45"/>
        <v>141.036179</v>
      </c>
      <c r="G485">
        <v>1361.530029</v>
      </c>
      <c r="I485" s="13">
        <f t="shared" si="46"/>
        <v>5.0194757371686549E-3</v>
      </c>
      <c r="J485" s="13">
        <f t="shared" si="47"/>
        <v>-8.5489312582531785E-3</v>
      </c>
      <c r="L485" s="15">
        <v>43882</v>
      </c>
      <c r="M485">
        <f t="shared" si="48"/>
        <v>168.45653076090153</v>
      </c>
      <c r="N485">
        <f t="shared" si="49"/>
        <v>119.95753491196082</v>
      </c>
    </row>
    <row r="486" spans="1:14" x14ac:dyDescent="0.45">
      <c r="A486" s="15">
        <v>43885</v>
      </c>
      <c r="B486">
        <v>134.61833200000001</v>
      </c>
      <c r="C486" t="b">
        <f t="shared" si="44"/>
        <v>1</v>
      </c>
      <c r="E486" s="15">
        <v>43885</v>
      </c>
      <c r="F486">
        <f t="shared" si="45"/>
        <v>134.61833200000001</v>
      </c>
      <c r="G486">
        <v>1309.1899410000001</v>
      </c>
      <c r="I486" s="13">
        <f t="shared" si="46"/>
        <v>-4.5504969331308875E-2</v>
      </c>
      <c r="J486" s="13">
        <f t="shared" si="47"/>
        <v>-3.8442110629349879E-2</v>
      </c>
      <c r="L486" s="15">
        <v>43885</v>
      </c>
      <c r="M486">
        <f t="shared" si="48"/>
        <v>160.79092149496802</v>
      </c>
      <c r="N486">
        <f t="shared" si="49"/>
        <v>115.34611408405112</v>
      </c>
    </row>
    <row r="487" spans="1:14" x14ac:dyDescent="0.45">
      <c r="A487" s="15">
        <v>43886</v>
      </c>
      <c r="B487">
        <v>132.07466099999999</v>
      </c>
      <c r="C487" t="b">
        <f t="shared" si="44"/>
        <v>1</v>
      </c>
      <c r="E487" s="15">
        <v>43886</v>
      </c>
      <c r="F487">
        <f t="shared" si="45"/>
        <v>132.07466099999999</v>
      </c>
      <c r="G487">
        <v>1286.1999510000001</v>
      </c>
      <c r="I487" s="13">
        <f t="shared" si="46"/>
        <v>-1.8895428001589054E-2</v>
      </c>
      <c r="J487" s="13">
        <f t="shared" si="47"/>
        <v>-1.7560469478125951E-2</v>
      </c>
      <c r="L487" s="15">
        <v>43886</v>
      </c>
      <c r="M487">
        <f t="shared" si="48"/>
        <v>157.75270821455069</v>
      </c>
      <c r="N487">
        <f t="shared" si="49"/>
        <v>113.32058216825772</v>
      </c>
    </row>
    <row r="488" spans="1:14" x14ac:dyDescent="0.45">
      <c r="A488" s="15">
        <v>43887</v>
      </c>
      <c r="B488">
        <v>132.739914</v>
      </c>
      <c r="C488" t="b">
        <f t="shared" si="44"/>
        <v>1</v>
      </c>
      <c r="E488" s="15">
        <v>43887</v>
      </c>
      <c r="F488">
        <f t="shared" si="45"/>
        <v>132.739914</v>
      </c>
      <c r="G488">
        <v>1285.3100589999999</v>
      </c>
      <c r="I488" s="13">
        <f t="shared" si="46"/>
        <v>5.0369464889257198E-3</v>
      </c>
      <c r="J488" s="13">
        <f t="shared" si="47"/>
        <v>-6.9187687288296829E-4</v>
      </c>
      <c r="L488" s="15">
        <v>43887</v>
      </c>
      <c r="M488">
        <f t="shared" si="48"/>
        <v>158.54730016431049</v>
      </c>
      <c r="N488">
        <f t="shared" si="49"/>
        <v>113.24217827823387</v>
      </c>
    </row>
    <row r="489" spans="1:14" x14ac:dyDescent="0.45">
      <c r="A489" s="15">
        <v>43888</v>
      </c>
      <c r="B489">
        <v>129.06140099999999</v>
      </c>
      <c r="C489" t="b">
        <f t="shared" si="44"/>
        <v>1</v>
      </c>
      <c r="E489" s="15">
        <v>43888</v>
      </c>
      <c r="F489">
        <f t="shared" si="45"/>
        <v>129.06140099999999</v>
      </c>
      <c r="G489">
        <v>1249.380005</v>
      </c>
      <c r="I489" s="13">
        <f t="shared" si="46"/>
        <v>-2.7712184595810485E-2</v>
      </c>
      <c r="J489" s="13">
        <f t="shared" si="47"/>
        <v>-2.795438637425296E-2</v>
      </c>
      <c r="L489" s="15">
        <v>43888</v>
      </c>
      <c r="M489">
        <f t="shared" si="48"/>
        <v>154.15360811498974</v>
      </c>
      <c r="N489">
        <f t="shared" si="49"/>
        <v>110.07656267278207</v>
      </c>
    </row>
    <row r="490" spans="1:14" x14ac:dyDescent="0.45">
      <c r="A490" s="15">
        <v>43889</v>
      </c>
      <c r="B490">
        <v>127.06562</v>
      </c>
      <c r="C490" t="b">
        <f t="shared" si="44"/>
        <v>1</v>
      </c>
      <c r="E490" s="15">
        <v>43889</v>
      </c>
      <c r="F490">
        <f t="shared" si="45"/>
        <v>127.06562</v>
      </c>
      <c r="G490">
        <v>1218.6999510000001</v>
      </c>
      <c r="I490" s="13">
        <f t="shared" si="46"/>
        <v>-1.5463810128637845E-2</v>
      </c>
      <c r="J490" s="13">
        <f t="shared" si="47"/>
        <v>-2.4556222988377341E-2</v>
      </c>
      <c r="L490" s="15">
        <v>43889</v>
      </c>
      <c r="M490">
        <f t="shared" si="48"/>
        <v>151.76980598845509</v>
      </c>
      <c r="N490">
        <f t="shared" si="49"/>
        <v>107.37349805399515</v>
      </c>
    </row>
    <row r="491" spans="1:14" x14ac:dyDescent="0.45">
      <c r="A491" s="15">
        <v>43892</v>
      </c>
      <c r="B491">
        <v>128.55265800000001</v>
      </c>
      <c r="C491" t="b">
        <f t="shared" si="44"/>
        <v>1</v>
      </c>
      <c r="E491" s="15">
        <v>43892</v>
      </c>
      <c r="F491">
        <f t="shared" si="45"/>
        <v>128.55265800000001</v>
      </c>
      <c r="G491">
        <v>1230.6400149999999</v>
      </c>
      <c r="I491" s="13">
        <f t="shared" si="46"/>
        <v>1.1702913817285943E-2</v>
      </c>
      <c r="J491" s="13">
        <f t="shared" si="47"/>
        <v>9.7973779273581307E-3</v>
      </c>
      <c r="L491" s="15">
        <v>43892</v>
      </c>
      <c r="M491">
        <f t="shared" si="48"/>
        <v>153.54595494800418</v>
      </c>
      <c r="N491">
        <f t="shared" si="49"/>
        <v>108.42547679381259</v>
      </c>
    </row>
    <row r="492" spans="1:14" x14ac:dyDescent="0.45">
      <c r="A492" s="15">
        <v>43893</v>
      </c>
      <c r="B492">
        <v>135.205322</v>
      </c>
      <c r="C492" t="b">
        <f t="shared" si="44"/>
        <v>1</v>
      </c>
      <c r="E492" s="15">
        <v>43893</v>
      </c>
      <c r="F492">
        <f t="shared" si="45"/>
        <v>135.205322</v>
      </c>
      <c r="G492">
        <v>1265.2700199999999</v>
      </c>
      <c r="I492" s="13">
        <f t="shared" si="46"/>
        <v>5.1750497449846389E-2</v>
      </c>
      <c r="J492" s="13">
        <f t="shared" si="47"/>
        <v>2.813983340205306E-2</v>
      </c>
      <c r="L492" s="15">
        <v>43893</v>
      </c>
      <c r="M492">
        <f t="shared" si="48"/>
        <v>161.49203449797511</v>
      </c>
      <c r="N492">
        <f t="shared" si="49"/>
        <v>111.47655164732865</v>
      </c>
    </row>
    <row r="493" spans="1:14" x14ac:dyDescent="0.45">
      <c r="A493" s="15">
        <v>43894</v>
      </c>
      <c r="B493">
        <v>137.39677399999999</v>
      </c>
      <c r="C493" t="b">
        <f t="shared" si="44"/>
        <v>1</v>
      </c>
      <c r="E493" s="15">
        <v>43894</v>
      </c>
      <c r="F493">
        <f t="shared" si="45"/>
        <v>137.39677399999999</v>
      </c>
      <c r="G493">
        <v>1271.579956</v>
      </c>
      <c r="I493" s="13">
        <f t="shared" si="46"/>
        <v>1.6208326474012491E-2</v>
      </c>
      <c r="J493" s="13">
        <f t="shared" si="47"/>
        <v>4.9870271959815415E-3</v>
      </c>
      <c r="L493" s="15">
        <v>43894</v>
      </c>
      <c r="M493">
        <f t="shared" si="48"/>
        <v>164.10955011607078</v>
      </c>
      <c r="N493">
        <f t="shared" si="49"/>
        <v>112.03248824210812</v>
      </c>
    </row>
    <row r="494" spans="1:14" x14ac:dyDescent="0.45">
      <c r="A494" s="15">
        <v>43895</v>
      </c>
      <c r="B494">
        <v>137.12283300000001</v>
      </c>
      <c r="C494" t="b">
        <f t="shared" si="44"/>
        <v>1</v>
      </c>
      <c r="E494" s="15">
        <v>43895</v>
      </c>
      <c r="F494">
        <f t="shared" si="45"/>
        <v>137.12283300000001</v>
      </c>
      <c r="G494">
        <v>1262.589966</v>
      </c>
      <c r="I494" s="13">
        <f t="shared" si="46"/>
        <v>-1.9937949925955545E-3</v>
      </c>
      <c r="J494" s="13">
        <f t="shared" si="47"/>
        <v>-7.0699368589292044E-3</v>
      </c>
      <c r="L494" s="15">
        <v>43895</v>
      </c>
      <c r="M494">
        <f t="shared" si="48"/>
        <v>163.78234931681226</v>
      </c>
      <c r="N494">
        <f t="shared" si="49"/>
        <v>111.24042562408768</v>
      </c>
    </row>
    <row r="495" spans="1:14" x14ac:dyDescent="0.45">
      <c r="A495" s="15">
        <v>43896</v>
      </c>
      <c r="B495">
        <v>132.270309</v>
      </c>
      <c r="C495" t="b">
        <f t="shared" si="44"/>
        <v>1</v>
      </c>
      <c r="E495" s="15">
        <v>43896</v>
      </c>
      <c r="F495">
        <f t="shared" si="45"/>
        <v>132.270309</v>
      </c>
      <c r="G495">
        <v>1227.150024</v>
      </c>
      <c r="I495" s="13">
        <f t="shared" si="46"/>
        <v>-3.5388154502321356E-2</v>
      </c>
      <c r="J495" s="13">
        <f t="shared" si="47"/>
        <v>-2.8069240968449094E-2</v>
      </c>
      <c r="L495" s="15">
        <v>43896</v>
      </c>
      <c r="M495">
        <f t="shared" si="48"/>
        <v>157.98639423443575</v>
      </c>
      <c r="N495">
        <f t="shared" si="49"/>
        <v>108.11799131181232</v>
      </c>
    </row>
    <row r="496" spans="1:14" x14ac:dyDescent="0.45">
      <c r="A496" s="15">
        <v>43899</v>
      </c>
      <c r="B496">
        <v>124.71762099999999</v>
      </c>
      <c r="C496" t="b">
        <f t="shared" si="44"/>
        <v>1</v>
      </c>
      <c r="E496" s="15">
        <v>43899</v>
      </c>
      <c r="F496">
        <f t="shared" si="45"/>
        <v>124.71762099999999</v>
      </c>
      <c r="G496">
        <v>1159.790039</v>
      </c>
      <c r="I496" s="13">
        <f t="shared" si="46"/>
        <v>-5.7100403386825094E-2</v>
      </c>
      <c r="J496" s="13">
        <f t="shared" si="47"/>
        <v>-5.4891401770448933E-2</v>
      </c>
      <c r="L496" s="15">
        <v>43899</v>
      </c>
      <c r="M496">
        <f t="shared" si="48"/>
        <v>148.9653073940195</v>
      </c>
      <c r="N496">
        <f t="shared" si="49"/>
        <v>102.18324321210171</v>
      </c>
    </row>
    <row r="497" spans="1:14" x14ac:dyDescent="0.45">
      <c r="A497" s="15">
        <v>43900</v>
      </c>
      <c r="B497">
        <v>123.19141399999999</v>
      </c>
      <c r="C497" t="b">
        <f t="shared" si="44"/>
        <v>1</v>
      </c>
      <c r="E497" s="15">
        <v>43900</v>
      </c>
      <c r="F497">
        <f t="shared" si="45"/>
        <v>123.19141399999999</v>
      </c>
      <c r="G497">
        <v>1143.170044</v>
      </c>
      <c r="I497" s="13">
        <f t="shared" si="46"/>
        <v>-1.2237300453317612E-2</v>
      </c>
      <c r="J497" s="13">
        <f t="shared" si="47"/>
        <v>-1.4330175670701717E-2</v>
      </c>
      <c r="L497" s="15">
        <v>43900</v>
      </c>
      <c r="M497">
        <f t="shared" si="48"/>
        <v>147.14237417031808</v>
      </c>
      <c r="N497">
        <f t="shared" si="49"/>
        <v>100.71893938627026</v>
      </c>
    </row>
    <row r="498" spans="1:14" x14ac:dyDescent="0.45">
      <c r="A498" s="15">
        <v>43901</v>
      </c>
      <c r="B498">
        <v>118.41716</v>
      </c>
      <c r="C498" t="b">
        <f t="shared" si="44"/>
        <v>1</v>
      </c>
      <c r="E498" s="15">
        <v>43901</v>
      </c>
      <c r="F498">
        <f t="shared" si="45"/>
        <v>118.41716</v>
      </c>
      <c r="G498">
        <v>1120.1999510000001</v>
      </c>
      <c r="I498" s="13">
        <f t="shared" si="46"/>
        <v>-3.8754762568112056E-2</v>
      </c>
      <c r="J498" s="13">
        <f t="shared" si="47"/>
        <v>-2.0093330052304847E-2</v>
      </c>
      <c r="L498" s="15">
        <v>43901</v>
      </c>
      <c r="M498">
        <f t="shared" si="48"/>
        <v>141.4399063956391</v>
      </c>
      <c r="N498">
        <f t="shared" si="49"/>
        <v>98.695160494663853</v>
      </c>
    </row>
    <row r="499" spans="1:14" x14ac:dyDescent="0.45">
      <c r="A499" s="15">
        <v>43902</v>
      </c>
      <c r="B499">
        <v>107.45985400000001</v>
      </c>
      <c r="C499" t="b">
        <f t="shared" si="44"/>
        <v>1</v>
      </c>
      <c r="E499" s="15">
        <v>43902</v>
      </c>
      <c r="F499">
        <f t="shared" si="45"/>
        <v>107.45985400000001</v>
      </c>
      <c r="G499">
        <v>1030.26001</v>
      </c>
      <c r="I499" s="13">
        <f t="shared" si="46"/>
        <v>-9.2531403387819733E-2</v>
      </c>
      <c r="J499" s="13">
        <f t="shared" si="47"/>
        <v>-8.0289184908204025E-2</v>
      </c>
      <c r="L499" s="15">
        <v>43902</v>
      </c>
      <c r="M499">
        <f t="shared" si="48"/>
        <v>128.35227336180876</v>
      </c>
      <c r="N499">
        <f t="shared" si="49"/>
        <v>90.771006504162912</v>
      </c>
    </row>
    <row r="500" spans="1:14" x14ac:dyDescent="0.45">
      <c r="A500" s="15">
        <v>43903</v>
      </c>
      <c r="B500">
        <v>108.751259</v>
      </c>
      <c r="C500" t="b">
        <f t="shared" si="44"/>
        <v>1</v>
      </c>
      <c r="E500" s="15">
        <v>43903</v>
      </c>
      <c r="F500">
        <f t="shared" si="45"/>
        <v>108.751259</v>
      </c>
      <c r="G500">
        <v>1041.51001</v>
      </c>
      <c r="I500" s="13">
        <f t="shared" si="46"/>
        <v>1.2017557738353224E-2</v>
      </c>
      <c r="J500" s="13">
        <f t="shared" si="47"/>
        <v>1.0919573593854315E-2</v>
      </c>
      <c r="L500" s="15">
        <v>43903</v>
      </c>
      <c r="M500">
        <f t="shared" si="48"/>
        <v>129.8947542177832</v>
      </c>
      <c r="N500">
        <f t="shared" si="49"/>
        <v>91.762187189873345</v>
      </c>
    </row>
    <row r="501" spans="1:14" x14ac:dyDescent="0.45">
      <c r="A501" s="15">
        <v>43906</v>
      </c>
      <c r="B501">
        <v>104.485733</v>
      </c>
      <c r="C501" t="b">
        <f t="shared" si="44"/>
        <v>1</v>
      </c>
      <c r="E501" s="15">
        <v>43906</v>
      </c>
      <c r="F501">
        <f t="shared" si="45"/>
        <v>104.485733</v>
      </c>
      <c r="G501">
        <v>1017.309998</v>
      </c>
      <c r="I501" s="13">
        <f t="shared" si="46"/>
        <v>-3.9222773503707287E-2</v>
      </c>
      <c r="J501" s="13">
        <f t="shared" si="47"/>
        <v>-2.3235505917029053E-2</v>
      </c>
      <c r="L501" s="15">
        <v>43906</v>
      </c>
      <c r="M501">
        <f t="shared" si="48"/>
        <v>124.79992169377937</v>
      </c>
      <c r="N501">
        <f t="shared" si="49"/>
        <v>89.630046346463516</v>
      </c>
    </row>
    <row r="502" spans="1:14" x14ac:dyDescent="0.45">
      <c r="A502" s="15">
        <v>43907</v>
      </c>
      <c r="B502">
        <v>104.955338</v>
      </c>
      <c r="C502" t="b">
        <f t="shared" si="44"/>
        <v>1</v>
      </c>
      <c r="E502" s="15">
        <v>43907</v>
      </c>
      <c r="F502">
        <f t="shared" si="45"/>
        <v>104.955338</v>
      </c>
      <c r="G502">
        <v>1032.589966</v>
      </c>
      <c r="I502" s="13">
        <f t="shared" si="46"/>
        <v>4.4944413607166389E-3</v>
      </c>
      <c r="J502" s="13">
        <f t="shared" si="47"/>
        <v>1.5019972309364915E-2</v>
      </c>
      <c r="L502" s="15">
        <v>43907</v>
      </c>
      <c r="M502">
        <f t="shared" si="48"/>
        <v>125.36082762365409</v>
      </c>
      <c r="N502">
        <f t="shared" si="49"/>
        <v>90.976287160674488</v>
      </c>
    </row>
    <row r="503" spans="1:14" x14ac:dyDescent="0.45">
      <c r="A503" s="15">
        <v>43908</v>
      </c>
      <c r="B503">
        <v>96.424278000000001</v>
      </c>
      <c r="C503" t="b">
        <f t="shared" si="44"/>
        <v>1</v>
      </c>
      <c r="E503" s="15">
        <v>43908</v>
      </c>
      <c r="F503">
        <f t="shared" si="45"/>
        <v>96.424278000000001</v>
      </c>
      <c r="G503">
        <v>1007.039978</v>
      </c>
      <c r="I503" s="13">
        <f t="shared" si="46"/>
        <v>-8.128276429351311E-2</v>
      </c>
      <c r="J503" s="13">
        <f t="shared" si="47"/>
        <v>-2.4743595077699965E-2</v>
      </c>
      <c r="L503" s="15">
        <v>43908</v>
      </c>
      <c r="M503">
        <f t="shared" si="48"/>
        <v>115.17115302028088</v>
      </c>
      <c r="N503">
        <f t="shared" si="49"/>
        <v>88.725206749498199</v>
      </c>
    </row>
    <row r="504" spans="1:14" x14ac:dyDescent="0.45">
      <c r="A504" s="15">
        <v>43909</v>
      </c>
      <c r="B504">
        <v>95.09375</v>
      </c>
      <c r="C504" t="b">
        <f t="shared" si="44"/>
        <v>1</v>
      </c>
      <c r="E504" s="15">
        <v>43909</v>
      </c>
      <c r="F504">
        <f t="shared" si="45"/>
        <v>95.09375</v>
      </c>
      <c r="G504">
        <v>1015.929993</v>
      </c>
      <c r="I504" s="13">
        <f t="shared" si="46"/>
        <v>-1.3798682526821704E-2</v>
      </c>
      <c r="J504" s="13">
        <f t="shared" si="47"/>
        <v>8.8278670104593449E-3</v>
      </c>
      <c r="L504" s="15">
        <v>43909</v>
      </c>
      <c r="M504">
        <f t="shared" si="48"/>
        <v>113.58194284350603</v>
      </c>
      <c r="N504">
        <f t="shared" si="49"/>
        <v>89.50846107515828</v>
      </c>
    </row>
    <row r="505" spans="1:14" x14ac:dyDescent="0.45">
      <c r="A505" s="15">
        <v>43910</v>
      </c>
      <c r="B505">
        <v>101.51160400000001</v>
      </c>
      <c r="C505" t="b">
        <f t="shared" si="44"/>
        <v>1</v>
      </c>
      <c r="E505" s="15">
        <v>43910</v>
      </c>
      <c r="F505">
        <f t="shared" si="45"/>
        <v>101.51160400000001</v>
      </c>
      <c r="G505">
        <v>1031.369995</v>
      </c>
      <c r="I505" s="13">
        <f t="shared" si="46"/>
        <v>6.7489756161682513E-2</v>
      </c>
      <c r="J505" s="13">
        <f t="shared" si="47"/>
        <v>1.5197899566294248E-2</v>
      </c>
      <c r="L505" s="15">
        <v>43910</v>
      </c>
      <c r="M505">
        <f t="shared" si="48"/>
        <v>121.24756047038441</v>
      </c>
      <c r="N505">
        <f t="shared" si="49"/>
        <v>90.868801676912099</v>
      </c>
    </row>
    <row r="506" spans="1:14" x14ac:dyDescent="0.45">
      <c r="A506" s="15">
        <v>43913</v>
      </c>
      <c r="B506">
        <v>93.626259000000005</v>
      </c>
      <c r="C506" t="b">
        <f t="shared" si="44"/>
        <v>1</v>
      </c>
      <c r="E506" s="15">
        <v>43913</v>
      </c>
      <c r="F506">
        <f t="shared" si="45"/>
        <v>93.626259000000005</v>
      </c>
      <c r="G506">
        <v>990.60998500000005</v>
      </c>
      <c r="I506" s="13">
        <f t="shared" si="46"/>
        <v>-7.7679247389293549E-2</v>
      </c>
      <c r="J506" s="13">
        <f t="shared" si="47"/>
        <v>-3.952025965230832E-2</v>
      </c>
      <c r="L506" s="15">
        <v>43913</v>
      </c>
      <c r="M506">
        <f t="shared" si="48"/>
        <v>111.82914122525709</v>
      </c>
      <c r="N506">
        <f t="shared" si="49"/>
        <v>87.277643040346419</v>
      </c>
    </row>
    <row r="507" spans="1:14" x14ac:dyDescent="0.45">
      <c r="A507" s="15">
        <v>43914</v>
      </c>
      <c r="B507">
        <v>104.172668</v>
      </c>
      <c r="C507" t="b">
        <f t="shared" si="44"/>
        <v>1</v>
      </c>
      <c r="E507" s="15">
        <v>43914</v>
      </c>
      <c r="F507">
        <f t="shared" si="45"/>
        <v>104.172668</v>
      </c>
      <c r="G507">
        <v>1031.089966</v>
      </c>
      <c r="I507" s="13">
        <f t="shared" si="46"/>
        <v>0.1126437082143803</v>
      </c>
      <c r="J507" s="13">
        <f t="shared" si="47"/>
        <v>4.086369167781001E-2</v>
      </c>
      <c r="L507" s="15">
        <v>43914</v>
      </c>
      <c r="M507">
        <f t="shared" si="48"/>
        <v>124.42599037929968</v>
      </c>
      <c r="N507">
        <f t="shared" si="49"/>
        <v>90.8441297359131</v>
      </c>
    </row>
    <row r="508" spans="1:14" x14ac:dyDescent="0.45">
      <c r="A508" s="15">
        <v>43915</v>
      </c>
      <c r="B508">
        <v>110.042664</v>
      </c>
      <c r="C508" t="b">
        <f t="shared" si="44"/>
        <v>1</v>
      </c>
      <c r="E508" s="15">
        <v>43915</v>
      </c>
      <c r="F508">
        <f t="shared" si="45"/>
        <v>110.042664</v>
      </c>
      <c r="G508">
        <v>1055.5</v>
      </c>
      <c r="I508" s="13">
        <f t="shared" si="46"/>
        <v>5.6348715192741317E-2</v>
      </c>
      <c r="J508" s="13">
        <f t="shared" si="47"/>
        <v>2.3674009839021126E-2</v>
      </c>
      <c r="L508" s="15">
        <v>43915</v>
      </c>
      <c r="M508">
        <f t="shared" si="48"/>
        <v>131.43723507375759</v>
      </c>
      <c r="N508">
        <f t="shared" si="49"/>
        <v>92.994774557098424</v>
      </c>
    </row>
    <row r="509" spans="1:14" x14ac:dyDescent="0.45">
      <c r="A509" s="15">
        <v>43916</v>
      </c>
      <c r="B509">
        <v>109.259987</v>
      </c>
      <c r="C509" t="b">
        <f t="shared" si="44"/>
        <v>1</v>
      </c>
      <c r="E509" s="15">
        <v>43916</v>
      </c>
      <c r="F509">
        <f t="shared" si="45"/>
        <v>109.259987</v>
      </c>
      <c r="G509">
        <v>1086.4300539999999</v>
      </c>
      <c r="I509" s="13">
        <f t="shared" si="46"/>
        <v>-7.1124868441935218E-3</v>
      </c>
      <c r="J509" s="13">
        <f t="shared" si="47"/>
        <v>2.930369872098515E-2</v>
      </c>
      <c r="L509" s="15">
        <v>43916</v>
      </c>
      <c r="M509">
        <f t="shared" si="48"/>
        <v>130.50238946845832</v>
      </c>
      <c r="N509">
        <f t="shared" si="49"/>
        <v>95.719865413345573</v>
      </c>
    </row>
    <row r="510" spans="1:14" x14ac:dyDescent="0.45">
      <c r="A510" s="15">
        <v>43917</v>
      </c>
      <c r="B510">
        <v>107.420731</v>
      </c>
      <c r="C510" t="b">
        <f t="shared" si="44"/>
        <v>1</v>
      </c>
      <c r="E510" s="15">
        <v>43917</v>
      </c>
      <c r="F510">
        <f t="shared" si="45"/>
        <v>107.420731</v>
      </c>
      <c r="G510">
        <v>1075.920044</v>
      </c>
      <c r="I510" s="13">
        <f t="shared" si="46"/>
        <v>-1.683375635034623E-2</v>
      </c>
      <c r="J510" s="13">
        <f t="shared" si="47"/>
        <v>-9.6738947540196962E-3</v>
      </c>
      <c r="L510" s="15">
        <v>43917</v>
      </c>
      <c r="M510">
        <f t="shared" si="48"/>
        <v>128.30554404100829</v>
      </c>
      <c r="N510">
        <f t="shared" si="49"/>
        <v>94.793881509467937</v>
      </c>
    </row>
    <row r="511" spans="1:14" x14ac:dyDescent="0.45">
      <c r="A511" s="15">
        <v>43920</v>
      </c>
      <c r="B511">
        <v>106.559792</v>
      </c>
      <c r="C511" t="b">
        <f t="shared" si="44"/>
        <v>1</v>
      </c>
      <c r="E511" s="15">
        <v>43920</v>
      </c>
      <c r="F511">
        <f t="shared" si="45"/>
        <v>106.559792</v>
      </c>
      <c r="G511">
        <v>1104.650024</v>
      </c>
      <c r="I511" s="13">
        <f t="shared" si="46"/>
        <v>-8.0146447709428248E-3</v>
      </c>
      <c r="J511" s="13">
        <f t="shared" si="47"/>
        <v>2.6702709146666059E-2</v>
      </c>
      <c r="L511" s="15">
        <v>43920</v>
      </c>
      <c r="M511">
        <f t="shared" si="48"/>
        <v>127.27722068337705</v>
      </c>
      <c r="N511">
        <f t="shared" si="49"/>
        <v>97.325134956298783</v>
      </c>
    </row>
    <row r="512" spans="1:14" x14ac:dyDescent="0.45">
      <c r="A512" s="15">
        <v>43921</v>
      </c>
      <c r="B512">
        <v>108.125114</v>
      </c>
      <c r="C512" t="b">
        <f t="shared" si="44"/>
        <v>1</v>
      </c>
      <c r="E512" s="15">
        <v>43921</v>
      </c>
      <c r="F512">
        <f t="shared" si="45"/>
        <v>108.125114</v>
      </c>
      <c r="G512">
        <v>1126.5</v>
      </c>
      <c r="I512" s="13">
        <f t="shared" si="46"/>
        <v>1.4689612006750119E-2</v>
      </c>
      <c r="J512" s="13">
        <f t="shared" si="47"/>
        <v>1.9779998664988918E-2</v>
      </c>
      <c r="L512" s="15">
        <v>43921</v>
      </c>
      <c r="M512">
        <f t="shared" si="48"/>
        <v>129.14687367251338</v>
      </c>
      <c r="N512">
        <f t="shared" si="49"/>
        <v>99.250225995804243</v>
      </c>
    </row>
    <row r="513" spans="1:14" x14ac:dyDescent="0.45">
      <c r="A513" s="15">
        <v>43922</v>
      </c>
      <c r="B513">
        <v>106.324997</v>
      </c>
      <c r="C513" t="b">
        <f t="shared" si="44"/>
        <v>1</v>
      </c>
      <c r="E513" s="15">
        <v>43922</v>
      </c>
      <c r="F513">
        <f t="shared" si="45"/>
        <v>106.324997</v>
      </c>
      <c r="G513">
        <v>1120.469971</v>
      </c>
      <c r="I513" s="13">
        <f t="shared" si="46"/>
        <v>-1.6648463371793487E-2</v>
      </c>
      <c r="J513" s="13">
        <f t="shared" si="47"/>
        <v>-5.352888592987104E-3</v>
      </c>
      <c r="L513" s="15">
        <v>43922</v>
      </c>
      <c r="M513">
        <f t="shared" si="48"/>
        <v>126.99677667659491</v>
      </c>
      <c r="N513">
        <f t="shared" si="49"/>
        <v>98.718950593219915</v>
      </c>
    </row>
    <row r="514" spans="1:14" x14ac:dyDescent="0.45">
      <c r="A514" s="15">
        <v>43923</v>
      </c>
      <c r="B514">
        <v>108.907791</v>
      </c>
      <c r="C514" t="b">
        <f t="shared" si="44"/>
        <v>1</v>
      </c>
      <c r="E514" s="15">
        <v>43923</v>
      </c>
      <c r="F514">
        <f t="shared" si="45"/>
        <v>108.907791</v>
      </c>
      <c r="G514">
        <v>1114.0500489999999</v>
      </c>
      <c r="I514" s="13">
        <f t="shared" si="46"/>
        <v>2.4291503154239447E-2</v>
      </c>
      <c r="J514" s="13">
        <f t="shared" si="47"/>
        <v>-5.7296689479954255E-3</v>
      </c>
      <c r="L514" s="15">
        <v>43923</v>
      </c>
      <c r="M514">
        <f t="shared" si="48"/>
        <v>130.08171927781265</v>
      </c>
      <c r="N514">
        <f t="shared" si="49"/>
        <v>98.153323687427246</v>
      </c>
    </row>
    <row r="515" spans="1:14" x14ac:dyDescent="0.45">
      <c r="A515" s="15">
        <v>43924</v>
      </c>
      <c r="B515">
        <v>112.58631099999999</v>
      </c>
      <c r="C515" t="b">
        <f t="shared" ref="C515:C548" si="50">E515=A515</f>
        <v>1</v>
      </c>
      <c r="E515" s="15">
        <v>43924</v>
      </c>
      <c r="F515">
        <f t="shared" ref="F515:F578" si="51">VLOOKUP(E515,A515:B1754,2,0)</f>
        <v>112.58631099999999</v>
      </c>
      <c r="G515">
        <v>1129.3000489999999</v>
      </c>
      <c r="I515" s="13">
        <f t="shared" si="46"/>
        <v>3.3776463246784516E-2</v>
      </c>
      <c r="J515" s="13">
        <f t="shared" si="47"/>
        <v>1.3688792540055728E-2</v>
      </c>
      <c r="L515" s="15">
        <v>43924</v>
      </c>
      <c r="M515">
        <f t="shared" si="48"/>
        <v>134.47541968807823</v>
      </c>
      <c r="N515">
        <f t="shared" si="49"/>
        <v>99.49692417250138</v>
      </c>
    </row>
    <row r="516" spans="1:14" x14ac:dyDescent="0.45">
      <c r="A516" s="15">
        <v>43927</v>
      </c>
      <c r="B516">
        <v>109.964386</v>
      </c>
      <c r="C516" t="b">
        <f t="shared" si="50"/>
        <v>1</v>
      </c>
      <c r="E516" s="15">
        <v>43927</v>
      </c>
      <c r="F516">
        <f t="shared" si="51"/>
        <v>109.964386</v>
      </c>
      <c r="G516">
        <v>1142.9399410000001</v>
      </c>
      <c r="I516" s="13">
        <f t="shared" ref="I516:I579" si="52">F516/F515-1</f>
        <v>-2.3288133137251421E-2</v>
      </c>
      <c r="J516" s="13">
        <f t="shared" ref="J516:J579" si="53">G516/G515-1</f>
        <v>1.2078182421118466E-2</v>
      </c>
      <c r="L516" s="15">
        <v>43927</v>
      </c>
      <c r="M516">
        <f t="shared" ref="M516:M579" si="54">M515*(1+I516)</f>
        <v>131.34373821069451</v>
      </c>
      <c r="N516">
        <f t="shared" ref="N516:N579" si="55">N515*(1+J516)</f>
        <v>100.69866617299704</v>
      </c>
    </row>
    <row r="517" spans="1:14" x14ac:dyDescent="0.45">
      <c r="A517" s="15">
        <v>43928</v>
      </c>
      <c r="B517">
        <v>116.18656900000001</v>
      </c>
      <c r="C517" t="b">
        <f t="shared" si="50"/>
        <v>1</v>
      </c>
      <c r="E517" s="15">
        <v>43928</v>
      </c>
      <c r="F517">
        <f t="shared" si="51"/>
        <v>116.18656900000001</v>
      </c>
      <c r="G517">
        <v>1159.790039</v>
      </c>
      <c r="I517" s="13">
        <f t="shared" si="52"/>
        <v>5.6583619718478584E-2</v>
      </c>
      <c r="J517" s="13">
        <f t="shared" si="53"/>
        <v>1.4742767660439915E-2</v>
      </c>
      <c r="L517" s="15">
        <v>43928</v>
      </c>
      <c r="M517">
        <f t="shared" si="54"/>
        <v>138.77564234601186</v>
      </c>
      <c r="N517">
        <f t="shared" si="55"/>
        <v>102.18324321210173</v>
      </c>
    </row>
    <row r="518" spans="1:14" x14ac:dyDescent="0.45">
      <c r="A518" s="15">
        <v>43929</v>
      </c>
      <c r="B518">
        <v>115.10179100000001</v>
      </c>
      <c r="C518" t="b">
        <f t="shared" si="50"/>
        <v>1</v>
      </c>
      <c r="E518" s="15">
        <v>43929</v>
      </c>
      <c r="F518">
        <f t="shared" si="51"/>
        <v>115.10179100000001</v>
      </c>
      <c r="G518">
        <v>1151.3100589999999</v>
      </c>
      <c r="I518" s="13">
        <f t="shared" si="52"/>
        <v>-9.3365180617391852E-3</v>
      </c>
      <c r="J518" s="13">
        <f t="shared" si="53"/>
        <v>-7.311651001341346E-3</v>
      </c>
      <c r="L518" s="15">
        <v>43929</v>
      </c>
      <c r="M518">
        <f t="shared" si="54"/>
        <v>137.47996105471887</v>
      </c>
      <c r="N518">
        <f t="shared" si="55"/>
        <v>101.43611499954966</v>
      </c>
    </row>
    <row r="519" spans="1:14" x14ac:dyDescent="0.45">
      <c r="A519" s="15">
        <v>43935</v>
      </c>
      <c r="B519">
        <v>120.019989</v>
      </c>
      <c r="C519" t="b">
        <f t="shared" si="50"/>
        <v>1</v>
      </c>
      <c r="E519" s="15">
        <v>43935</v>
      </c>
      <c r="F519">
        <f t="shared" si="51"/>
        <v>120.019989</v>
      </c>
      <c r="G519">
        <v>1180.6400149999999</v>
      </c>
      <c r="I519" s="13">
        <f t="shared" si="52"/>
        <v>4.2729117916158188E-2</v>
      </c>
      <c r="J519" s="13">
        <f t="shared" si="53"/>
        <v>2.5475288581666033E-2</v>
      </c>
      <c r="L519" s="15">
        <v>43935</v>
      </c>
      <c r="M519">
        <f t="shared" si="54"/>
        <v>143.35435852173478</v>
      </c>
      <c r="N519">
        <f t="shared" si="55"/>
        <v>104.02022930176625</v>
      </c>
    </row>
    <row r="520" spans="1:14" x14ac:dyDescent="0.45">
      <c r="A520" s="15">
        <v>43936</v>
      </c>
      <c r="B520">
        <v>114.308525</v>
      </c>
      <c r="C520" t="b">
        <f t="shared" si="50"/>
        <v>1</v>
      </c>
      <c r="E520" s="15">
        <v>43936</v>
      </c>
      <c r="F520">
        <f t="shared" si="51"/>
        <v>114.308525</v>
      </c>
      <c r="G520">
        <v>1165.219971</v>
      </c>
      <c r="I520" s="13">
        <f t="shared" si="52"/>
        <v>-4.7587606427792584E-2</v>
      </c>
      <c r="J520" s="13">
        <f t="shared" si="53"/>
        <v>-1.3060749935703275E-2</v>
      </c>
      <c r="L520" s="15">
        <v>43936</v>
      </c>
      <c r="M520">
        <f t="shared" si="54"/>
        <v>136.5324677286938</v>
      </c>
      <c r="N520">
        <f t="shared" si="55"/>
        <v>102.66164709860136</v>
      </c>
    </row>
    <row r="521" spans="1:14" x14ac:dyDescent="0.45">
      <c r="A521" s="15">
        <v>43937</v>
      </c>
      <c r="B521">
        <v>113.039314</v>
      </c>
      <c r="C521" t="b">
        <f t="shared" si="50"/>
        <v>1</v>
      </c>
      <c r="E521" s="15">
        <v>43937</v>
      </c>
      <c r="F521">
        <f t="shared" si="51"/>
        <v>113.039314</v>
      </c>
      <c r="G521">
        <v>1178.599976</v>
      </c>
      <c r="I521" s="13">
        <f t="shared" si="52"/>
        <v>-1.1103380084731218E-2</v>
      </c>
      <c r="J521" s="13">
        <f t="shared" si="53"/>
        <v>1.1482814689931287E-2</v>
      </c>
      <c r="L521" s="15">
        <v>43937</v>
      </c>
      <c r="M521">
        <f t="shared" si="54"/>
        <v>135.01649584559581</v>
      </c>
      <c r="N521">
        <f t="shared" si="55"/>
        <v>103.84049176799772</v>
      </c>
    </row>
    <row r="522" spans="1:14" x14ac:dyDescent="0.45">
      <c r="A522" s="15">
        <v>43938</v>
      </c>
      <c r="B522">
        <v>116.727966</v>
      </c>
      <c r="C522" t="b">
        <f t="shared" si="50"/>
        <v>1</v>
      </c>
      <c r="E522" s="15">
        <v>43938</v>
      </c>
      <c r="F522">
        <f t="shared" si="51"/>
        <v>116.727966</v>
      </c>
      <c r="G522">
        <v>1204.650024</v>
      </c>
      <c r="I522" s="13">
        <f t="shared" si="52"/>
        <v>3.2631585149216269E-2</v>
      </c>
      <c r="J522" s="13">
        <f t="shared" si="53"/>
        <v>2.210253566134468E-2</v>
      </c>
      <c r="L522" s="15">
        <v>43938</v>
      </c>
      <c r="M522">
        <f t="shared" si="54"/>
        <v>139.42229812633019</v>
      </c>
      <c r="N522">
        <f t="shared" si="55"/>
        <v>106.13562994039145</v>
      </c>
    </row>
    <row r="523" spans="1:14" x14ac:dyDescent="0.45">
      <c r="A523" s="15">
        <v>43941</v>
      </c>
      <c r="B523">
        <v>116.648636</v>
      </c>
      <c r="C523" t="b">
        <f t="shared" si="50"/>
        <v>1</v>
      </c>
      <c r="E523" s="15">
        <v>43941</v>
      </c>
      <c r="F523">
        <f t="shared" si="51"/>
        <v>116.648636</v>
      </c>
      <c r="G523">
        <v>1219.380005</v>
      </c>
      <c r="I523" s="13">
        <f t="shared" si="52"/>
        <v>-6.7961434366126117E-4</v>
      </c>
      <c r="J523" s="13">
        <f t="shared" si="53"/>
        <v>1.2227601964502233E-2</v>
      </c>
      <c r="L523" s="15">
        <v>43941</v>
      </c>
      <c r="M523">
        <f t="shared" si="54"/>
        <v>139.32754473269733</v>
      </c>
      <c r="N523">
        <f t="shared" si="55"/>
        <v>107.43341417755427</v>
      </c>
    </row>
    <row r="524" spans="1:14" x14ac:dyDescent="0.45">
      <c r="A524" s="15">
        <v>43942</v>
      </c>
      <c r="B524">
        <v>112.880653</v>
      </c>
      <c r="C524" t="b">
        <f t="shared" si="50"/>
        <v>1</v>
      </c>
      <c r="E524" s="15">
        <v>43942</v>
      </c>
      <c r="F524">
        <f t="shared" si="51"/>
        <v>112.880653</v>
      </c>
      <c r="G524">
        <v>1206.339966</v>
      </c>
      <c r="I524" s="13">
        <f t="shared" si="52"/>
        <v>-3.2301989369168504E-2</v>
      </c>
      <c r="J524" s="13">
        <f t="shared" si="53"/>
        <v>-1.0693991164796857E-2</v>
      </c>
      <c r="L524" s="15">
        <v>43942</v>
      </c>
      <c r="M524">
        <f t="shared" si="54"/>
        <v>134.82698786390941</v>
      </c>
      <c r="N524">
        <f t="shared" si="55"/>
        <v>106.28452219553554</v>
      </c>
    </row>
    <row r="525" spans="1:14" x14ac:dyDescent="0.45">
      <c r="A525" s="15">
        <v>43943</v>
      </c>
      <c r="B525">
        <v>113.039314</v>
      </c>
      <c r="C525" t="b">
        <f t="shared" si="50"/>
        <v>1</v>
      </c>
      <c r="E525" s="15">
        <v>43943</v>
      </c>
      <c r="F525">
        <f t="shared" si="51"/>
        <v>113.039314</v>
      </c>
      <c r="G525">
        <v>1209.670044</v>
      </c>
      <c r="I525" s="13">
        <f t="shared" si="52"/>
        <v>1.4055641581025569E-3</v>
      </c>
      <c r="J525" s="13">
        <f t="shared" si="53"/>
        <v>2.760480539363952E-3</v>
      </c>
      <c r="L525" s="15">
        <v>43943</v>
      </c>
      <c r="M525">
        <f t="shared" si="54"/>
        <v>135.01649584559584</v>
      </c>
      <c r="N525">
        <f t="shared" si="55"/>
        <v>106.57791855069192</v>
      </c>
    </row>
    <row r="526" spans="1:14" x14ac:dyDescent="0.45">
      <c r="A526" s="15">
        <v>43944</v>
      </c>
      <c r="B526">
        <v>115.18111399999999</v>
      </c>
      <c r="C526" t="b">
        <f t="shared" si="50"/>
        <v>1</v>
      </c>
      <c r="E526" s="15">
        <v>43944</v>
      </c>
      <c r="F526">
        <f t="shared" si="51"/>
        <v>115.18111399999999</v>
      </c>
      <c r="G526">
        <v>1230.6999510000001</v>
      </c>
      <c r="I526" s="13">
        <f t="shared" si="52"/>
        <v>1.8947390285825705E-2</v>
      </c>
      <c r="J526" s="13">
        <f t="shared" si="53"/>
        <v>1.7384829114607703E-2</v>
      </c>
      <c r="L526" s="15">
        <v>43944</v>
      </c>
      <c r="M526">
        <f t="shared" si="54"/>
        <v>137.57470608740692</v>
      </c>
      <c r="N526">
        <f t="shared" si="55"/>
        <v>108.43075745208628</v>
      </c>
    </row>
    <row r="527" spans="1:14" x14ac:dyDescent="0.45">
      <c r="A527" s="15">
        <v>43945</v>
      </c>
      <c r="B527">
        <v>111.333809</v>
      </c>
      <c r="C527" t="b">
        <f t="shared" si="50"/>
        <v>1</v>
      </c>
      <c r="E527" s="15">
        <v>43945</v>
      </c>
      <c r="F527">
        <f t="shared" si="51"/>
        <v>111.333809</v>
      </c>
      <c r="G527">
        <v>1215.1999510000001</v>
      </c>
      <c r="I527" s="13">
        <f t="shared" si="52"/>
        <v>-3.3402220784216285E-2</v>
      </c>
      <c r="J527" s="13">
        <f t="shared" si="53"/>
        <v>-1.2594458939732212E-2</v>
      </c>
      <c r="L527" s="15">
        <v>43945</v>
      </c>
      <c r="M527">
        <f t="shared" si="54"/>
        <v>132.97940538035169</v>
      </c>
      <c r="N527">
        <f t="shared" si="55"/>
        <v>107.06513072955192</v>
      </c>
    </row>
    <row r="528" spans="1:14" x14ac:dyDescent="0.45">
      <c r="A528" s="15">
        <v>43948</v>
      </c>
      <c r="B528">
        <v>112.68235</v>
      </c>
      <c r="C528" t="b">
        <f t="shared" si="50"/>
        <v>1</v>
      </c>
      <c r="E528" s="15">
        <v>43948</v>
      </c>
      <c r="F528">
        <f t="shared" si="51"/>
        <v>112.68235</v>
      </c>
      <c r="G528">
        <v>1223.9399410000001</v>
      </c>
      <c r="I528" s="13">
        <f t="shared" si="52"/>
        <v>1.2112591962069708E-2</v>
      </c>
      <c r="J528" s="13">
        <f t="shared" si="53"/>
        <v>7.1922237923132126E-3</v>
      </c>
      <c r="L528" s="15">
        <v>43948</v>
      </c>
      <c r="M528">
        <f t="shared" si="54"/>
        <v>134.59013065708254</v>
      </c>
      <c r="N528">
        <f t="shared" si="55"/>
        <v>107.83516711011214</v>
      </c>
    </row>
    <row r="529" spans="1:14" x14ac:dyDescent="0.45">
      <c r="A529" s="15">
        <v>43949</v>
      </c>
      <c r="B529">
        <v>118.235153</v>
      </c>
      <c r="C529" t="b">
        <f t="shared" si="50"/>
        <v>1</v>
      </c>
      <c r="E529" s="15">
        <v>43949</v>
      </c>
      <c r="F529">
        <f t="shared" si="51"/>
        <v>118.235153</v>
      </c>
      <c r="G529">
        <v>1237.1899410000001</v>
      </c>
      <c r="I529" s="13">
        <f t="shared" si="52"/>
        <v>4.9278374119815505E-2</v>
      </c>
      <c r="J529" s="13">
        <f t="shared" si="53"/>
        <v>1.0825694591823032E-2</v>
      </c>
      <c r="L529" s="15">
        <v>43949</v>
      </c>
      <c r="M529">
        <f t="shared" si="54"/>
        <v>141.22251346843711</v>
      </c>
      <c r="N529">
        <f t="shared" si="55"/>
        <v>109.00255769550441</v>
      </c>
    </row>
    <row r="530" spans="1:14" x14ac:dyDescent="0.45">
      <c r="A530" s="15">
        <v>43950</v>
      </c>
      <c r="B530">
        <v>117.91785400000001</v>
      </c>
      <c r="C530" t="b">
        <f t="shared" si="50"/>
        <v>1</v>
      </c>
      <c r="E530" s="15">
        <v>43950</v>
      </c>
      <c r="F530">
        <f t="shared" si="51"/>
        <v>117.91785400000001</v>
      </c>
      <c r="G530">
        <v>1236.3599850000001</v>
      </c>
      <c r="I530" s="13">
        <f t="shared" si="52"/>
        <v>-2.6836265860795683E-3</v>
      </c>
      <c r="J530" s="13">
        <f t="shared" si="53"/>
        <v>-6.7083959584179897E-4</v>
      </c>
      <c r="L530" s="15">
        <v>43950</v>
      </c>
      <c r="M530">
        <f t="shared" si="54"/>
        <v>140.84352497674024</v>
      </c>
      <c r="N530">
        <f t="shared" si="55"/>
        <v>108.92943446375423</v>
      </c>
    </row>
    <row r="531" spans="1:14" x14ac:dyDescent="0.45">
      <c r="A531" s="15">
        <v>43951</v>
      </c>
      <c r="B531">
        <v>116.25200700000001</v>
      </c>
      <c r="C531" t="b">
        <f t="shared" si="50"/>
        <v>1</v>
      </c>
      <c r="E531" s="15">
        <v>43951</v>
      </c>
      <c r="F531">
        <f t="shared" si="51"/>
        <v>116.25200700000001</v>
      </c>
      <c r="G531">
        <v>1234.959961</v>
      </c>
      <c r="I531" s="13">
        <f t="shared" si="52"/>
        <v>-1.4127182131384419E-2</v>
      </c>
      <c r="J531" s="13">
        <f t="shared" si="53"/>
        <v>-1.132375697196375E-3</v>
      </c>
      <c r="L531" s="15">
        <v>43951</v>
      </c>
      <c r="M531">
        <f t="shared" si="54"/>
        <v>138.85380284736763</v>
      </c>
      <c r="N531">
        <f t="shared" si="55"/>
        <v>108.80608541945813</v>
      </c>
    </row>
    <row r="532" spans="1:14" x14ac:dyDescent="0.45">
      <c r="A532" s="15">
        <v>43955</v>
      </c>
      <c r="B532">
        <v>113.911896</v>
      </c>
      <c r="C532" t="b">
        <f t="shared" si="50"/>
        <v>1</v>
      </c>
      <c r="E532" s="15">
        <v>43955</v>
      </c>
      <c r="F532">
        <f t="shared" si="51"/>
        <v>113.911896</v>
      </c>
      <c r="G532">
        <v>1202.73999</v>
      </c>
      <c r="I532" s="13">
        <f t="shared" si="52"/>
        <v>-2.0129639568287283E-2</v>
      </c>
      <c r="J532" s="13">
        <f t="shared" si="53"/>
        <v>-2.6089891184739367E-2</v>
      </c>
      <c r="L532" s="15">
        <v>43955</v>
      </c>
      <c r="M532">
        <f t="shared" si="54"/>
        <v>136.0587258433641</v>
      </c>
      <c r="N532">
        <f t="shared" si="55"/>
        <v>105.96734649062701</v>
      </c>
    </row>
    <row r="533" spans="1:14" x14ac:dyDescent="0.45">
      <c r="A533" s="15">
        <v>43956</v>
      </c>
      <c r="B533">
        <v>118.235153</v>
      </c>
      <c r="C533" t="b">
        <f t="shared" si="50"/>
        <v>1</v>
      </c>
      <c r="E533" s="15">
        <v>43956</v>
      </c>
      <c r="F533">
        <f t="shared" si="51"/>
        <v>118.235153</v>
      </c>
      <c r="G533">
        <v>1216.1099850000001</v>
      </c>
      <c r="I533" s="13">
        <f t="shared" si="52"/>
        <v>3.7952638414516349E-2</v>
      </c>
      <c r="J533" s="13">
        <f t="shared" si="53"/>
        <v>1.1116280419012359E-2</v>
      </c>
      <c r="L533" s="15">
        <v>43956</v>
      </c>
      <c r="M533">
        <f t="shared" si="54"/>
        <v>141.22251346843711</v>
      </c>
      <c r="N533">
        <f t="shared" si="55"/>
        <v>107.14530922947546</v>
      </c>
    </row>
    <row r="534" spans="1:14" x14ac:dyDescent="0.45">
      <c r="A534" s="15">
        <v>43957</v>
      </c>
      <c r="B534">
        <v>114.38784800000001</v>
      </c>
      <c r="C534" t="b">
        <f t="shared" si="50"/>
        <v>1</v>
      </c>
      <c r="E534" s="15">
        <v>43957</v>
      </c>
      <c r="F534">
        <f t="shared" si="51"/>
        <v>114.38784800000001</v>
      </c>
      <c r="G534">
        <v>1222.8900149999999</v>
      </c>
      <c r="I534" s="13">
        <f t="shared" si="52"/>
        <v>-3.2539434359255215E-2</v>
      </c>
      <c r="J534" s="13">
        <f t="shared" si="53"/>
        <v>5.5751783009987399E-3</v>
      </c>
      <c r="L534" s="15">
        <v>43957</v>
      </c>
      <c r="M534">
        <f t="shared" si="54"/>
        <v>136.62721276138186</v>
      </c>
      <c r="N534">
        <f t="shared" si="55"/>
        <v>107.74266343254543</v>
      </c>
    </row>
    <row r="535" spans="1:14" x14ac:dyDescent="0.45">
      <c r="A535" s="15">
        <v>43958</v>
      </c>
      <c r="B535">
        <v>117.71953600000001</v>
      </c>
      <c r="C535" t="b">
        <f t="shared" si="50"/>
        <v>1</v>
      </c>
      <c r="E535" s="15">
        <v>43958</v>
      </c>
      <c r="F535">
        <f t="shared" si="51"/>
        <v>117.71953600000001</v>
      </c>
      <c r="G535">
        <v>1239.7700199999999</v>
      </c>
      <c r="I535" s="13">
        <f t="shared" si="52"/>
        <v>2.9126240752426868E-2</v>
      </c>
      <c r="J535" s="13">
        <f t="shared" si="53"/>
        <v>1.3803371352246963E-2</v>
      </c>
      <c r="L535" s="15">
        <v>43958</v>
      </c>
      <c r="M535">
        <f t="shared" si="54"/>
        <v>140.6066498536029</v>
      </c>
      <c r="N535">
        <f t="shared" si="55"/>
        <v>109.22987542638501</v>
      </c>
    </row>
    <row r="536" spans="1:14" x14ac:dyDescent="0.45">
      <c r="A536" s="15">
        <v>43962</v>
      </c>
      <c r="B536">
        <v>120.575264</v>
      </c>
      <c r="C536" t="b">
        <f t="shared" si="50"/>
        <v>1</v>
      </c>
      <c r="E536" s="15">
        <v>43962</v>
      </c>
      <c r="F536">
        <f t="shared" si="51"/>
        <v>120.575264</v>
      </c>
      <c r="G536">
        <v>1256.900024</v>
      </c>
      <c r="I536" s="13">
        <f t="shared" si="52"/>
        <v>2.4258743255664905E-2</v>
      </c>
      <c r="J536" s="13">
        <f t="shared" si="53"/>
        <v>1.3817081977833379E-2</v>
      </c>
      <c r="L536" s="15">
        <v>43962</v>
      </c>
      <c r="M536">
        <f t="shared" si="54"/>
        <v>144.01759047244062</v>
      </c>
      <c r="N536">
        <f t="shared" si="55"/>
        <v>110.7391135695799</v>
      </c>
    </row>
    <row r="537" spans="1:14" x14ac:dyDescent="0.45">
      <c r="A537" s="15">
        <v>43963</v>
      </c>
      <c r="B537">
        <v>123.312012</v>
      </c>
      <c r="C537" t="b">
        <f t="shared" si="50"/>
        <v>1</v>
      </c>
      <c r="E537" s="15">
        <v>43963</v>
      </c>
      <c r="F537">
        <f t="shared" si="51"/>
        <v>123.312012</v>
      </c>
      <c r="G537">
        <v>1260.150024</v>
      </c>
      <c r="I537" s="13">
        <f t="shared" si="52"/>
        <v>2.2697424904663643E-2</v>
      </c>
      <c r="J537" s="13">
        <f t="shared" si="53"/>
        <v>2.5857267387561222E-3</v>
      </c>
      <c r="L537" s="15">
        <v>43963</v>
      </c>
      <c r="M537">
        <f t="shared" si="54"/>
        <v>147.28641891713943</v>
      </c>
      <c r="N537">
        <f t="shared" si="55"/>
        <v>111.02545465656291</v>
      </c>
    </row>
    <row r="538" spans="1:14" x14ac:dyDescent="0.45">
      <c r="A538" s="15">
        <v>43964</v>
      </c>
      <c r="B538">
        <v>122.201447</v>
      </c>
      <c r="C538" t="b">
        <f t="shared" si="50"/>
        <v>1</v>
      </c>
      <c r="E538" s="15">
        <v>43964</v>
      </c>
      <c r="F538">
        <f t="shared" si="51"/>
        <v>122.201447</v>
      </c>
      <c r="G538">
        <v>1254.75</v>
      </c>
      <c r="I538" s="13">
        <f t="shared" si="52"/>
        <v>-9.0061380232769883E-3</v>
      </c>
      <c r="J538" s="13">
        <f t="shared" si="53"/>
        <v>-4.2852231061022428E-3</v>
      </c>
      <c r="L538" s="15">
        <v>43964</v>
      </c>
      <c r="M538">
        <f t="shared" si="54"/>
        <v>145.95993709941749</v>
      </c>
      <c r="N538">
        <f t="shared" si="55"/>
        <v>110.54968581290311</v>
      </c>
    </row>
    <row r="539" spans="1:14" x14ac:dyDescent="0.45">
      <c r="A539" s="15">
        <v>43965</v>
      </c>
      <c r="B539">
        <v>117.560883</v>
      </c>
      <c r="C539" t="b">
        <f t="shared" si="50"/>
        <v>1</v>
      </c>
      <c r="E539" s="15">
        <v>43965</v>
      </c>
      <c r="F539">
        <f t="shared" si="51"/>
        <v>117.560883</v>
      </c>
      <c r="G539">
        <v>1236.51001</v>
      </c>
      <c r="I539" s="13">
        <f t="shared" si="52"/>
        <v>-3.7974705815062904E-2</v>
      </c>
      <c r="J539" s="13">
        <f t="shared" si="53"/>
        <v>-1.4536752341103854E-2</v>
      </c>
      <c r="L539" s="15">
        <v>43965</v>
      </c>
      <c r="M539">
        <f t="shared" si="54"/>
        <v>140.41715142728202</v>
      </c>
      <c r="N539">
        <f t="shared" si="55"/>
        <v>108.94265240885409</v>
      </c>
    </row>
    <row r="540" spans="1:14" x14ac:dyDescent="0.45">
      <c r="A540" s="15">
        <v>43966</v>
      </c>
      <c r="B540">
        <v>120.575264</v>
      </c>
      <c r="C540" t="b">
        <f t="shared" si="50"/>
        <v>1</v>
      </c>
      <c r="E540" s="15">
        <v>43966</v>
      </c>
      <c r="F540">
        <f t="shared" si="51"/>
        <v>120.575264</v>
      </c>
      <c r="G540">
        <v>1242.5600589999999</v>
      </c>
      <c r="I540" s="13">
        <f t="shared" si="52"/>
        <v>2.5641020406422133E-2</v>
      </c>
      <c r="J540" s="13">
        <f t="shared" si="53"/>
        <v>4.8928427194858681E-3</v>
      </c>
      <c r="L540" s="15">
        <v>43966</v>
      </c>
      <c r="M540">
        <f t="shared" si="54"/>
        <v>144.01759047244062</v>
      </c>
      <c r="N540">
        <f t="shared" si="55"/>
        <v>109.47569167253423</v>
      </c>
    </row>
    <row r="541" spans="1:14" x14ac:dyDescent="0.45">
      <c r="A541" s="15">
        <v>43969</v>
      </c>
      <c r="B541">
        <v>124.541557</v>
      </c>
      <c r="C541" t="b">
        <f t="shared" si="50"/>
        <v>1</v>
      </c>
      <c r="E541" s="15">
        <v>43969</v>
      </c>
      <c r="F541">
        <f t="shared" si="51"/>
        <v>124.541557</v>
      </c>
      <c r="G541">
        <v>1274.650024</v>
      </c>
      <c r="I541" s="13">
        <f t="shared" si="52"/>
        <v>3.2894748627711801E-2</v>
      </c>
      <c r="J541" s="13">
        <f t="shared" si="53"/>
        <v>2.5825685259693421E-2</v>
      </c>
      <c r="L541" s="15">
        <v>43969</v>
      </c>
      <c r="M541">
        <f t="shared" si="54"/>
        <v>148.7550129090003</v>
      </c>
      <c r="N541">
        <f t="shared" si="55"/>
        <v>112.30297642925633</v>
      </c>
    </row>
    <row r="542" spans="1:14" x14ac:dyDescent="0.45">
      <c r="A542" s="15">
        <v>43970</v>
      </c>
      <c r="B542">
        <v>124.224251</v>
      </c>
      <c r="C542" t="b">
        <f t="shared" si="50"/>
        <v>1</v>
      </c>
      <c r="E542" s="15">
        <v>43970</v>
      </c>
      <c r="F542">
        <f t="shared" si="51"/>
        <v>124.224251</v>
      </c>
      <c r="G542">
        <v>1283.01001</v>
      </c>
      <c r="I542" s="13">
        <f t="shared" si="52"/>
        <v>-2.5477921397755177E-3</v>
      </c>
      <c r="J542" s="13">
        <f t="shared" si="53"/>
        <v>6.5586520555385164E-3</v>
      </c>
      <c r="L542" s="15">
        <v>43970</v>
      </c>
      <c r="M542">
        <f t="shared" si="54"/>
        <v>148.37601605635854</v>
      </c>
      <c r="N542">
        <f t="shared" si="55"/>
        <v>113.03953257645716</v>
      </c>
    </row>
    <row r="543" spans="1:14" x14ac:dyDescent="0.45">
      <c r="A543" s="15">
        <v>43971</v>
      </c>
      <c r="B543">
        <v>125.176163</v>
      </c>
      <c r="C543" t="b">
        <f t="shared" si="50"/>
        <v>1</v>
      </c>
      <c r="E543" s="15">
        <v>43971</v>
      </c>
      <c r="F543">
        <f t="shared" si="51"/>
        <v>125.176163</v>
      </c>
      <c r="G543">
        <v>1301.589966</v>
      </c>
      <c r="I543" s="13">
        <f t="shared" si="52"/>
        <v>7.6628515957002374E-3</v>
      </c>
      <c r="J543" s="13">
        <f t="shared" si="53"/>
        <v>1.448153627421811E-2</v>
      </c>
      <c r="L543" s="15">
        <v>43971</v>
      </c>
      <c r="M543">
        <f t="shared" si="54"/>
        <v>149.51299944775965</v>
      </c>
      <c r="N543">
        <f t="shared" si="55"/>
        <v>114.67651866788378</v>
      </c>
    </row>
    <row r="544" spans="1:14" x14ac:dyDescent="0.45">
      <c r="A544" s="15">
        <v>43976</v>
      </c>
      <c r="B544">
        <v>130.33235199999999</v>
      </c>
      <c r="C544" t="b">
        <f t="shared" si="50"/>
        <v>1</v>
      </c>
      <c r="E544" s="15">
        <v>43976</v>
      </c>
      <c r="F544">
        <f t="shared" si="51"/>
        <v>130.33235199999999</v>
      </c>
      <c r="G544">
        <v>1322.1999510000001</v>
      </c>
      <c r="I544" s="13">
        <f t="shared" si="52"/>
        <v>4.1191460709655958E-2</v>
      </c>
      <c r="J544" s="13">
        <f t="shared" si="53"/>
        <v>1.5834468256802792E-2</v>
      </c>
      <c r="L544" s="15">
        <v>43976</v>
      </c>
      <c r="M544">
        <f t="shared" si="54"/>
        <v>155.67165829009485</v>
      </c>
      <c r="N544">
        <f t="shared" si="55"/>
        <v>116.49236036253104</v>
      </c>
    </row>
    <row r="545" spans="1:14" x14ac:dyDescent="0.45">
      <c r="A545" s="15">
        <v>43977</v>
      </c>
      <c r="B545">
        <v>133.624359</v>
      </c>
      <c r="C545" t="b">
        <f t="shared" si="50"/>
        <v>1</v>
      </c>
      <c r="E545" s="15">
        <v>43977</v>
      </c>
      <c r="F545">
        <f t="shared" si="51"/>
        <v>133.624359</v>
      </c>
      <c r="G545">
        <v>1327</v>
      </c>
      <c r="I545" s="13">
        <f t="shared" si="52"/>
        <v>2.5258555910968372E-2</v>
      </c>
      <c r="J545" s="13">
        <f t="shared" si="53"/>
        <v>3.6303503084911259E-3</v>
      </c>
      <c r="L545" s="15">
        <v>43977</v>
      </c>
      <c r="M545">
        <f t="shared" si="54"/>
        <v>159.60369957476837</v>
      </c>
      <c r="N545">
        <f t="shared" si="55"/>
        <v>116.91526843891002</v>
      </c>
    </row>
    <row r="546" spans="1:14" x14ac:dyDescent="0.45">
      <c r="A546" s="15">
        <v>43978</v>
      </c>
      <c r="B546">
        <v>129.69773900000001</v>
      </c>
      <c r="C546" t="b">
        <f t="shared" si="50"/>
        <v>1</v>
      </c>
      <c r="E546" s="15">
        <v>43978</v>
      </c>
      <c r="F546">
        <f t="shared" si="51"/>
        <v>129.69773900000001</v>
      </c>
      <c r="G546">
        <v>1287.079956</v>
      </c>
      <c r="I546" s="13">
        <f t="shared" si="52"/>
        <v>-2.9385510466695575E-2</v>
      </c>
      <c r="J546" s="13">
        <f t="shared" si="53"/>
        <v>-3.0082926902788243E-2</v>
      </c>
      <c r="L546" s="15">
        <v>43978</v>
      </c>
      <c r="M546">
        <f t="shared" si="54"/>
        <v>154.91366339039067</v>
      </c>
      <c r="N546">
        <f t="shared" si="55"/>
        <v>113.39811496464242</v>
      </c>
    </row>
    <row r="547" spans="1:14" x14ac:dyDescent="0.45">
      <c r="A547" s="15">
        <v>43979</v>
      </c>
      <c r="B547">
        <v>132.39482100000001</v>
      </c>
      <c r="C547" t="b">
        <f t="shared" si="50"/>
        <v>1</v>
      </c>
      <c r="E547" s="15">
        <v>43979</v>
      </c>
      <c r="F547">
        <f t="shared" si="51"/>
        <v>132.39482100000001</v>
      </c>
      <c r="G547">
        <v>1324.420044</v>
      </c>
      <c r="I547" s="13">
        <f t="shared" si="52"/>
        <v>2.0795135063996772E-2</v>
      </c>
      <c r="J547" s="13">
        <f t="shared" si="53"/>
        <v>2.9011475026031741E-2</v>
      </c>
      <c r="L547" s="15">
        <v>43979</v>
      </c>
      <c r="M547">
        <f t="shared" si="54"/>
        <v>158.13511394385236</v>
      </c>
      <c r="N547">
        <f t="shared" si="55"/>
        <v>116.68796154493822</v>
      </c>
    </row>
    <row r="548" spans="1:14" x14ac:dyDescent="0.45">
      <c r="A548" s="15">
        <v>43980</v>
      </c>
      <c r="B548">
        <v>135.60751300000001</v>
      </c>
      <c r="C548" t="b">
        <f t="shared" si="50"/>
        <v>1</v>
      </c>
      <c r="E548" s="15">
        <v>43980</v>
      </c>
      <c r="F548">
        <f t="shared" si="51"/>
        <v>135.60751300000001</v>
      </c>
      <c r="G548">
        <v>1327.01001</v>
      </c>
      <c r="I548" s="13">
        <f t="shared" si="52"/>
        <v>2.4265994513486433E-2</v>
      </c>
      <c r="J548" s="13">
        <f t="shared" si="53"/>
        <v>1.9555472689598563E-3</v>
      </c>
      <c r="L548" s="15">
        <v>43980</v>
      </c>
      <c r="M548">
        <f t="shared" si="54"/>
        <v>161.97241975120343</v>
      </c>
      <c r="N548">
        <f t="shared" si="55"/>
        <v>116.91615036945791</v>
      </c>
    </row>
    <row r="549" spans="1:14" x14ac:dyDescent="0.45">
      <c r="A549" s="15">
        <v>43984</v>
      </c>
      <c r="B549">
        <v>137.630325</v>
      </c>
      <c r="C549" t="e">
        <f>#REF!=A549</f>
        <v>#REF!</v>
      </c>
      <c r="E549" s="15">
        <v>43984</v>
      </c>
      <c r="F549">
        <f t="shared" si="51"/>
        <v>137.630325</v>
      </c>
      <c r="G549">
        <v>1331.650024</v>
      </c>
      <c r="I549" s="13">
        <f t="shared" si="52"/>
        <v>1.4916666158459657E-2</v>
      </c>
      <c r="J549" s="13">
        <f t="shared" si="53"/>
        <v>3.49659306639305E-3</v>
      </c>
      <c r="L549" s="15">
        <v>43984</v>
      </c>
      <c r="M549">
        <f t="shared" si="54"/>
        <v>164.38850826351003</v>
      </c>
      <c r="N549">
        <f t="shared" si="55"/>
        <v>117.32495857018912</v>
      </c>
    </row>
    <row r="550" spans="1:14" x14ac:dyDescent="0.45">
      <c r="A550" s="15">
        <v>43985</v>
      </c>
      <c r="B550">
        <v>139.57380699999999</v>
      </c>
      <c r="C550" t="b">
        <f>E549=A550</f>
        <v>0</v>
      </c>
      <c r="E550" s="15">
        <v>43985</v>
      </c>
      <c r="F550">
        <f t="shared" si="51"/>
        <v>139.57380699999999</v>
      </c>
      <c r="G550">
        <v>1339.469971</v>
      </c>
      <c r="I550" s="13">
        <f t="shared" si="52"/>
        <v>1.4121030376117893E-2</v>
      </c>
      <c r="J550" s="13">
        <f t="shared" si="53"/>
        <v>5.8723740164929872E-3</v>
      </c>
      <c r="L550" s="15">
        <v>43985</v>
      </c>
      <c r="M550">
        <f t="shared" si="54"/>
        <v>166.70984338218378</v>
      </c>
      <c r="N550">
        <f t="shared" si="55"/>
        <v>118.01393460838283</v>
      </c>
    </row>
    <row r="551" spans="1:14" x14ac:dyDescent="0.45">
      <c r="A551" s="15">
        <v>43986</v>
      </c>
      <c r="B551">
        <v>139.13752700000001</v>
      </c>
      <c r="C551" t="b">
        <f>E550=A551</f>
        <v>0</v>
      </c>
      <c r="E551" s="15">
        <v>43986</v>
      </c>
      <c r="F551">
        <f t="shared" si="51"/>
        <v>139.13752700000001</v>
      </c>
      <c r="G551">
        <v>1334.6800539999999</v>
      </c>
      <c r="I551" s="13">
        <f t="shared" si="52"/>
        <v>-3.1258013905143267E-3</v>
      </c>
      <c r="J551" s="13">
        <f t="shared" si="53"/>
        <v>-3.575979382668848E-3</v>
      </c>
      <c r="L551" s="15">
        <v>43986</v>
      </c>
      <c r="M551">
        <f t="shared" si="54"/>
        <v>166.18874152192731</v>
      </c>
      <c r="N551">
        <f t="shared" si="55"/>
        <v>117.59191921135562</v>
      </c>
    </row>
    <row r="552" spans="1:14" x14ac:dyDescent="0.45">
      <c r="A552" s="15">
        <v>43990</v>
      </c>
      <c r="B552">
        <v>139.772141</v>
      </c>
      <c r="C552" t="b">
        <f>E551=A552</f>
        <v>0</v>
      </c>
      <c r="E552" s="15">
        <v>43990</v>
      </c>
      <c r="F552">
        <f t="shared" si="51"/>
        <v>139.772141</v>
      </c>
      <c r="G552">
        <v>1331.650024</v>
      </c>
      <c r="I552" s="13">
        <f t="shared" si="52"/>
        <v>4.5610556237642985E-3</v>
      </c>
      <c r="J552" s="13">
        <f t="shared" si="53"/>
        <v>-2.2702294762846353E-3</v>
      </c>
      <c r="L552" s="15">
        <v>43990</v>
      </c>
      <c r="M552">
        <f t="shared" si="54"/>
        <v>166.94673761605222</v>
      </c>
      <c r="N552">
        <f t="shared" si="55"/>
        <v>117.32495857018911</v>
      </c>
    </row>
    <row r="553" spans="1:14" x14ac:dyDescent="0.45">
      <c r="A553" s="15">
        <v>43991</v>
      </c>
      <c r="B553">
        <v>142.78651400000001</v>
      </c>
      <c r="C553" t="e">
        <f>#REF!=A553</f>
        <v>#REF!</v>
      </c>
      <c r="E553" s="15">
        <v>43991</v>
      </c>
      <c r="F553">
        <f t="shared" si="51"/>
        <v>142.78651400000001</v>
      </c>
      <c r="G553">
        <v>1333.8000489999999</v>
      </c>
      <c r="I553" s="13">
        <f t="shared" si="52"/>
        <v>2.15663363130425E-2</v>
      </c>
      <c r="J553" s="13">
        <f t="shared" si="53"/>
        <v>1.6145570992758262E-3</v>
      </c>
      <c r="L553" s="15">
        <v>43991</v>
      </c>
      <c r="M553">
        <f t="shared" si="54"/>
        <v>170.54716710584526</v>
      </c>
      <c r="N553">
        <f t="shared" si="55"/>
        <v>117.51438641497086</v>
      </c>
    </row>
    <row r="554" spans="1:14" x14ac:dyDescent="0.45">
      <c r="A554" s="15">
        <v>43992</v>
      </c>
      <c r="B554">
        <v>139.37548799999999</v>
      </c>
      <c r="C554" t="b">
        <f t="shared" ref="C554:C585" si="56">E552=A554</f>
        <v>0</v>
      </c>
      <c r="E554" s="15">
        <v>43992</v>
      </c>
      <c r="F554">
        <f t="shared" si="51"/>
        <v>139.37548799999999</v>
      </c>
      <c r="G554">
        <v>1343.3199460000001</v>
      </c>
      <c r="I554" s="13">
        <f t="shared" si="52"/>
        <v>-2.3888992765801587E-2</v>
      </c>
      <c r="J554" s="13">
        <f t="shared" si="53"/>
        <v>7.1374243891635381E-3</v>
      </c>
      <c r="L554" s="15">
        <v>43992</v>
      </c>
      <c r="M554">
        <f t="shared" si="54"/>
        <v>166.47296706462578</v>
      </c>
      <c r="N554">
        <f t="shared" si="55"/>
        <v>118.35313646264666</v>
      </c>
    </row>
    <row r="555" spans="1:14" x14ac:dyDescent="0.45">
      <c r="A555" s="15">
        <v>43993</v>
      </c>
      <c r="B555">
        <v>132.27581799999999</v>
      </c>
      <c r="C555" t="b">
        <f t="shared" si="56"/>
        <v>0</v>
      </c>
      <c r="E555" s="15">
        <v>43993</v>
      </c>
      <c r="F555">
        <f t="shared" si="51"/>
        <v>132.27581799999999</v>
      </c>
      <c r="G555">
        <v>1318.709961</v>
      </c>
      <c r="I555" s="13">
        <f t="shared" si="52"/>
        <v>-5.0939157967289095E-2</v>
      </c>
      <c r="J555" s="13">
        <f t="shared" si="53"/>
        <v>-1.832027066469244E-2</v>
      </c>
      <c r="L555" s="15">
        <v>43993</v>
      </c>
      <c r="M555">
        <f t="shared" si="54"/>
        <v>157.9929742980375</v>
      </c>
      <c r="N555">
        <f t="shared" si="55"/>
        <v>116.1848749686357</v>
      </c>
    </row>
    <row r="556" spans="1:14" x14ac:dyDescent="0.45">
      <c r="A556" s="15">
        <v>43994</v>
      </c>
      <c r="B556">
        <v>131.40325899999999</v>
      </c>
      <c r="C556" t="b">
        <f t="shared" si="56"/>
        <v>0</v>
      </c>
      <c r="E556" s="15">
        <v>43994</v>
      </c>
      <c r="F556">
        <f t="shared" si="51"/>
        <v>131.40325899999999</v>
      </c>
      <c r="G556">
        <v>1320.5</v>
      </c>
      <c r="I556" s="13">
        <f t="shared" si="52"/>
        <v>-6.5965118431547953E-3</v>
      </c>
      <c r="J556" s="13">
        <f t="shared" si="53"/>
        <v>1.3574167579977203E-3</v>
      </c>
      <c r="L556" s="15">
        <v>43994</v>
      </c>
      <c r="M556">
        <f t="shared" si="54"/>
        <v>156.95077177194523</v>
      </c>
      <c r="N556">
        <f t="shared" si="55"/>
        <v>116.34258626494399</v>
      </c>
    </row>
    <row r="557" spans="1:14" x14ac:dyDescent="0.45">
      <c r="A557" s="15">
        <v>43997</v>
      </c>
      <c r="B557">
        <v>132.95010400000001</v>
      </c>
      <c r="C557" t="b">
        <f t="shared" si="56"/>
        <v>0</v>
      </c>
      <c r="E557" s="15">
        <v>43997</v>
      </c>
      <c r="F557">
        <f t="shared" si="51"/>
        <v>132.95010400000001</v>
      </c>
      <c r="G557">
        <v>1316.959961</v>
      </c>
      <c r="I557" s="13">
        <f t="shared" si="52"/>
        <v>1.1771739999234088E-2</v>
      </c>
      <c r="J557" s="13">
        <f t="shared" si="53"/>
        <v>-2.6808322605074153E-3</v>
      </c>
      <c r="L557" s="15">
        <v>43997</v>
      </c>
      <c r="M557">
        <f t="shared" si="54"/>
        <v>158.79835544992369</v>
      </c>
      <c r="N557">
        <f t="shared" si="55"/>
        <v>116.03069130641406</v>
      </c>
    </row>
    <row r="558" spans="1:14" x14ac:dyDescent="0.45">
      <c r="A558" s="15">
        <v>43998</v>
      </c>
      <c r="B558">
        <v>134.576279</v>
      </c>
      <c r="C558" t="b">
        <f t="shared" si="56"/>
        <v>0</v>
      </c>
      <c r="E558" s="15">
        <v>43998</v>
      </c>
      <c r="F558">
        <f t="shared" si="51"/>
        <v>134.576279</v>
      </c>
      <c r="G558">
        <v>1336.6800539999999</v>
      </c>
      <c r="I558" s="13">
        <f t="shared" si="52"/>
        <v>1.2231468431194159E-2</v>
      </c>
      <c r="J558" s="13">
        <f t="shared" si="53"/>
        <v>1.4973950297642924E-2</v>
      </c>
      <c r="L558" s="15">
        <v>43998</v>
      </c>
      <c r="M558">
        <f t="shared" si="54"/>
        <v>160.74069252153498</v>
      </c>
      <c r="N558">
        <f t="shared" si="55"/>
        <v>117.76812911103745</v>
      </c>
    </row>
    <row r="559" spans="1:14" x14ac:dyDescent="0.45">
      <c r="A559" s="15">
        <v>43999</v>
      </c>
      <c r="B559">
        <v>134.97290000000001</v>
      </c>
      <c r="C559" t="b">
        <f t="shared" si="56"/>
        <v>0</v>
      </c>
      <c r="E559" s="15">
        <v>43999</v>
      </c>
      <c r="F559">
        <f t="shared" si="51"/>
        <v>134.97290000000001</v>
      </c>
      <c r="G559">
        <v>1357.670044</v>
      </c>
      <c r="I559" s="13">
        <f t="shared" si="52"/>
        <v>2.9471835820338299E-3</v>
      </c>
      <c r="J559" s="13">
        <f t="shared" si="53"/>
        <v>1.5703077140402977E-2</v>
      </c>
      <c r="L559" s="15">
        <v>43999</v>
      </c>
      <c r="M559">
        <f t="shared" si="54"/>
        <v>161.21442485149919</v>
      </c>
      <c r="N559">
        <f t="shared" si="55"/>
        <v>119.61745112714901</v>
      </c>
    </row>
    <row r="560" spans="1:14" x14ac:dyDescent="0.45">
      <c r="A560" s="15">
        <v>44000</v>
      </c>
      <c r="B560">
        <v>131.64122</v>
      </c>
      <c r="C560" t="b">
        <f t="shared" si="56"/>
        <v>0</v>
      </c>
      <c r="E560" s="15">
        <v>44000</v>
      </c>
      <c r="F560">
        <f t="shared" si="51"/>
        <v>131.64122</v>
      </c>
      <c r="G560">
        <v>1347.589966</v>
      </c>
      <c r="I560" s="13">
        <f t="shared" si="52"/>
        <v>-2.4684066208846445E-2</v>
      </c>
      <c r="J560" s="13">
        <f t="shared" si="53"/>
        <v>-7.4245418056818613E-3</v>
      </c>
      <c r="L560" s="15">
        <v>44000</v>
      </c>
      <c r="M560">
        <f t="shared" si="54"/>
        <v>157.23499731464369</v>
      </c>
      <c r="N560">
        <f t="shared" si="55"/>
        <v>118.72934636056638</v>
      </c>
    </row>
    <row r="561" spans="1:14" x14ac:dyDescent="0.45">
      <c r="A561" s="15">
        <v>44001</v>
      </c>
      <c r="B561">
        <v>131.601563</v>
      </c>
      <c r="C561" t="b">
        <f t="shared" si="56"/>
        <v>0</v>
      </c>
      <c r="E561" s="15">
        <v>44004</v>
      </c>
      <c r="F561">
        <f t="shared" si="51"/>
        <v>133.505371</v>
      </c>
      <c r="G561">
        <v>1356.6400149999999</v>
      </c>
      <c r="I561" s="13">
        <f t="shared" si="52"/>
        <v>1.4160845668248934E-2</v>
      </c>
      <c r="J561" s="13">
        <f t="shared" si="53"/>
        <v>6.7157289890358296E-3</v>
      </c>
      <c r="L561" s="15">
        <v>44004</v>
      </c>
      <c r="M561">
        <f t="shared" si="54"/>
        <v>159.46157784526389</v>
      </c>
      <c r="N561">
        <f t="shared" si="55"/>
        <v>119.52670047376931</v>
      </c>
    </row>
    <row r="562" spans="1:14" x14ac:dyDescent="0.45">
      <c r="A562" s="15">
        <v>44004</v>
      </c>
      <c r="B562">
        <v>133.505371</v>
      </c>
      <c r="C562" t="b">
        <f t="shared" si="56"/>
        <v>0</v>
      </c>
      <c r="E562" s="15">
        <v>44005</v>
      </c>
      <c r="F562">
        <f t="shared" si="51"/>
        <v>135.805847</v>
      </c>
      <c r="G562">
        <v>1379.3000489999999</v>
      </c>
      <c r="I562" s="13">
        <f t="shared" si="52"/>
        <v>1.7231336707794309E-2</v>
      </c>
      <c r="J562" s="13">
        <f t="shared" si="53"/>
        <v>1.6703055895045171E-2</v>
      </c>
      <c r="L562" s="15">
        <v>44005</v>
      </c>
      <c r="M562">
        <f t="shared" si="54"/>
        <v>162.20931398507179</v>
      </c>
      <c r="N562">
        <f t="shared" si="55"/>
        <v>121.52316163273301</v>
      </c>
    </row>
    <row r="563" spans="1:14" x14ac:dyDescent="0.45">
      <c r="A563" s="15">
        <v>44005</v>
      </c>
      <c r="B563">
        <v>135.805847</v>
      </c>
      <c r="C563" t="b">
        <f t="shared" si="56"/>
        <v>0</v>
      </c>
      <c r="E563" s="15">
        <v>44006</v>
      </c>
      <c r="F563">
        <f t="shared" si="51"/>
        <v>133.66403199999999</v>
      </c>
      <c r="G563">
        <v>1355.099976</v>
      </c>
      <c r="I563" s="13">
        <f t="shared" si="52"/>
        <v>-1.5771154536520116E-2</v>
      </c>
      <c r="J563" s="13">
        <f t="shared" si="53"/>
        <v>-1.7545183890586458E-2</v>
      </c>
      <c r="L563" s="15">
        <v>44006</v>
      </c>
      <c r="M563">
        <f t="shared" si="54"/>
        <v>159.65108582695029</v>
      </c>
      <c r="N563">
        <f t="shared" si="55"/>
        <v>119.39101541492124</v>
      </c>
    </row>
    <row r="564" spans="1:14" x14ac:dyDescent="0.45">
      <c r="A564" s="15">
        <v>44006</v>
      </c>
      <c r="B564">
        <v>133.66403199999999</v>
      </c>
      <c r="C564" t="b">
        <f t="shared" si="56"/>
        <v>0</v>
      </c>
      <c r="E564" s="15">
        <v>44007</v>
      </c>
      <c r="F564">
        <f t="shared" si="51"/>
        <v>131.12560999999999</v>
      </c>
      <c r="G564">
        <v>1350.6999510000001</v>
      </c>
      <c r="I564" s="13">
        <f t="shared" si="52"/>
        <v>-1.8991062606879883E-2</v>
      </c>
      <c r="J564" s="13">
        <f t="shared" si="53"/>
        <v>-3.2470113481869456E-3</v>
      </c>
      <c r="L564" s="15">
        <v>44007</v>
      </c>
      <c r="M564">
        <f t="shared" si="54"/>
        <v>156.61914206075431</v>
      </c>
      <c r="N564">
        <f t="shared" si="55"/>
        <v>119.00335143299743</v>
      </c>
    </row>
    <row r="565" spans="1:14" x14ac:dyDescent="0.45">
      <c r="A565" s="15">
        <v>44007</v>
      </c>
      <c r="B565">
        <v>131.12560999999999</v>
      </c>
      <c r="C565" t="b">
        <f t="shared" si="56"/>
        <v>0</v>
      </c>
      <c r="E565" s="15">
        <v>44008</v>
      </c>
      <c r="F565">
        <f t="shared" si="51"/>
        <v>131.68087800000001</v>
      </c>
      <c r="G565">
        <v>1342.76001</v>
      </c>
      <c r="I565" s="13">
        <f t="shared" si="52"/>
        <v>4.2346266301449553E-3</v>
      </c>
      <c r="J565" s="13">
        <f t="shared" si="53"/>
        <v>-5.8783899371002146E-3</v>
      </c>
      <c r="L565" s="15">
        <v>44008</v>
      </c>
      <c r="M565">
        <f t="shared" si="54"/>
        <v>157.28236565051523</v>
      </c>
      <c r="N565">
        <f t="shared" si="55"/>
        <v>118.30380332945251</v>
      </c>
    </row>
    <row r="566" spans="1:14" x14ac:dyDescent="0.45">
      <c r="A566" s="15">
        <v>44008</v>
      </c>
      <c r="B566">
        <v>131.68087800000001</v>
      </c>
      <c r="C566" t="b">
        <f t="shared" si="56"/>
        <v>0</v>
      </c>
      <c r="E566" s="15">
        <v>44011</v>
      </c>
      <c r="F566">
        <f t="shared" si="51"/>
        <v>131.87919600000001</v>
      </c>
      <c r="G566">
        <v>1344.1999510000001</v>
      </c>
      <c r="I566" s="13">
        <f t="shared" si="52"/>
        <v>1.5060501039489971E-3</v>
      </c>
      <c r="J566" s="13">
        <f t="shared" si="53"/>
        <v>1.0723740573717055E-3</v>
      </c>
      <c r="L566" s="15">
        <v>44011</v>
      </c>
      <c r="M566">
        <f t="shared" si="54"/>
        <v>157.51924077365254</v>
      </c>
      <c r="N566">
        <f t="shared" si="55"/>
        <v>118.43066925903142</v>
      </c>
    </row>
    <row r="567" spans="1:14" x14ac:dyDescent="0.45">
      <c r="A567" s="15">
        <v>44011</v>
      </c>
      <c r="B567">
        <v>131.87919600000001</v>
      </c>
      <c r="C567" t="b">
        <f t="shared" si="56"/>
        <v>0</v>
      </c>
      <c r="E567" s="15">
        <v>44012</v>
      </c>
      <c r="F567">
        <f t="shared" si="51"/>
        <v>133.941666</v>
      </c>
      <c r="G567">
        <v>1347.8900149999999</v>
      </c>
      <c r="I567" s="13">
        <f t="shared" si="52"/>
        <v>1.5639085333823077E-2</v>
      </c>
      <c r="J567" s="13">
        <f t="shared" si="53"/>
        <v>2.745174925244287E-3</v>
      </c>
      <c r="L567" s="15">
        <v>44012</v>
      </c>
      <c r="M567">
        <f t="shared" si="54"/>
        <v>159.98269762183071</v>
      </c>
      <c r="N567">
        <f t="shared" si="55"/>
        <v>118.75578216266121</v>
      </c>
    </row>
    <row r="568" spans="1:14" x14ac:dyDescent="0.45">
      <c r="A568" s="15">
        <v>44012</v>
      </c>
      <c r="B568">
        <v>133.941666</v>
      </c>
      <c r="C568" t="b">
        <f t="shared" si="56"/>
        <v>0</v>
      </c>
      <c r="E568" s="15">
        <v>44013</v>
      </c>
      <c r="F568">
        <f t="shared" si="51"/>
        <v>138.62190200000001</v>
      </c>
      <c r="G568">
        <v>1361.130005</v>
      </c>
      <c r="I568" s="13">
        <f t="shared" si="52"/>
        <v>3.4942345722353441E-2</v>
      </c>
      <c r="J568" s="13">
        <f t="shared" si="53"/>
        <v>9.8227524891933982E-3</v>
      </c>
      <c r="L568" s="15">
        <v>44013</v>
      </c>
      <c r="M568">
        <f t="shared" si="54"/>
        <v>165.57286835172744</v>
      </c>
      <c r="N568">
        <f t="shared" si="55"/>
        <v>119.9222908175056</v>
      </c>
    </row>
    <row r="569" spans="1:14" x14ac:dyDescent="0.45">
      <c r="A569" s="15">
        <v>44013</v>
      </c>
      <c r="B569">
        <v>138.62190200000001</v>
      </c>
      <c r="C569" t="b">
        <f t="shared" si="56"/>
        <v>0</v>
      </c>
      <c r="E569" s="15">
        <v>44014</v>
      </c>
      <c r="F569">
        <f t="shared" si="51"/>
        <v>141.080994</v>
      </c>
      <c r="G569">
        <v>1381.4799800000001</v>
      </c>
      <c r="I569" s="13">
        <f t="shared" si="52"/>
        <v>1.7739563261799596E-2</v>
      </c>
      <c r="J569" s="13">
        <f t="shared" si="53"/>
        <v>1.4950794505481646E-2</v>
      </c>
      <c r="L569" s="15">
        <v>44014</v>
      </c>
      <c r="M569">
        <f t="shared" si="54"/>
        <v>168.51005872429053</v>
      </c>
      <c r="N569">
        <f t="shared" si="55"/>
        <v>121.71522434414473</v>
      </c>
    </row>
    <row r="570" spans="1:14" x14ac:dyDescent="0.45">
      <c r="A570" s="15">
        <v>44014</v>
      </c>
      <c r="B570">
        <v>141.080994</v>
      </c>
      <c r="C570" t="b">
        <f t="shared" si="56"/>
        <v>0</v>
      </c>
      <c r="E570" s="15">
        <v>44015</v>
      </c>
      <c r="F570">
        <f t="shared" si="51"/>
        <v>139.89111299999999</v>
      </c>
      <c r="G570">
        <v>1379.589966</v>
      </c>
      <c r="I570" s="13">
        <f t="shared" si="52"/>
        <v>-8.4340276196240849E-3</v>
      </c>
      <c r="J570" s="13">
        <f t="shared" si="53"/>
        <v>-1.3681081357400648E-3</v>
      </c>
      <c r="L570" s="15">
        <v>44015</v>
      </c>
      <c r="M570">
        <f t="shared" si="54"/>
        <v>167.0888402348254</v>
      </c>
      <c r="N570">
        <f t="shared" si="55"/>
        <v>121.54870475547608</v>
      </c>
    </row>
    <row r="571" spans="1:14" x14ac:dyDescent="0.45">
      <c r="A571" s="15">
        <v>44015</v>
      </c>
      <c r="B571">
        <v>139.89111299999999</v>
      </c>
      <c r="C571" t="b">
        <f t="shared" si="56"/>
        <v>0</v>
      </c>
      <c r="E571" s="15">
        <v>44018</v>
      </c>
      <c r="F571">
        <f t="shared" si="51"/>
        <v>140.76370199999999</v>
      </c>
      <c r="G571">
        <v>1392.040039</v>
      </c>
      <c r="I571" s="13">
        <f t="shared" si="52"/>
        <v>6.2376299772524124E-3</v>
      </c>
      <c r="J571" s="13">
        <f t="shared" si="53"/>
        <v>9.0244734354643086E-3</v>
      </c>
      <c r="L571" s="15">
        <v>44018</v>
      </c>
      <c r="M571">
        <f t="shared" si="54"/>
        <v>168.13107859353849</v>
      </c>
      <c r="N571">
        <f t="shared" si="55"/>
        <v>122.64561781265697</v>
      </c>
    </row>
    <row r="572" spans="1:14" x14ac:dyDescent="0.45">
      <c r="A572" s="15">
        <v>44018</v>
      </c>
      <c r="B572">
        <v>140.76370199999999</v>
      </c>
      <c r="C572" t="b">
        <f t="shared" si="56"/>
        <v>0</v>
      </c>
      <c r="E572" s="15">
        <v>44019</v>
      </c>
      <c r="F572">
        <f t="shared" si="51"/>
        <v>142.27088900000001</v>
      </c>
      <c r="G572">
        <v>1392.51001</v>
      </c>
      <c r="I572" s="13">
        <f t="shared" si="52"/>
        <v>1.0707213426370599E-2</v>
      </c>
      <c r="J572" s="13">
        <f t="shared" si="53"/>
        <v>3.3761313384172986E-4</v>
      </c>
      <c r="L572" s="15">
        <v>44019</v>
      </c>
      <c r="M572">
        <f t="shared" si="54"/>
        <v>169.93129393564539</v>
      </c>
      <c r="N572">
        <f t="shared" si="55"/>
        <v>122.68702458403865</v>
      </c>
    </row>
    <row r="573" spans="1:14" x14ac:dyDescent="0.45">
      <c r="A573" s="15">
        <v>44019</v>
      </c>
      <c r="B573">
        <v>142.27088900000001</v>
      </c>
      <c r="C573" t="b">
        <f t="shared" si="56"/>
        <v>0</v>
      </c>
      <c r="E573" s="15">
        <v>44020</v>
      </c>
      <c r="F573">
        <f t="shared" si="51"/>
        <v>145.84054599999999</v>
      </c>
      <c r="G573">
        <v>1399.829956</v>
      </c>
      <c r="I573" s="13">
        <f t="shared" si="52"/>
        <v>2.5090565083908167E-2</v>
      </c>
      <c r="J573" s="13">
        <f t="shared" si="53"/>
        <v>5.2566559288145243E-3</v>
      </c>
      <c r="L573" s="15">
        <v>44020</v>
      </c>
      <c r="M573">
        <f t="shared" si="54"/>
        <v>174.19496612593042</v>
      </c>
      <c r="N573">
        <f t="shared" si="55"/>
        <v>123.33194805920695</v>
      </c>
    </row>
    <row r="574" spans="1:14" x14ac:dyDescent="0.45">
      <c r="A574" s="15">
        <v>44020</v>
      </c>
      <c r="B574">
        <v>145.84054599999999</v>
      </c>
      <c r="C574" t="b">
        <f t="shared" si="56"/>
        <v>0</v>
      </c>
      <c r="E574" s="15">
        <v>44021</v>
      </c>
      <c r="F574">
        <f t="shared" si="51"/>
        <v>148.61695900000001</v>
      </c>
      <c r="G574">
        <v>1405.1999510000001</v>
      </c>
      <c r="I574" s="13">
        <f t="shared" si="52"/>
        <v>1.9037319018265553E-2</v>
      </c>
      <c r="J574" s="13">
        <f t="shared" si="53"/>
        <v>3.8361766563024258E-3</v>
      </c>
      <c r="L574" s="15">
        <v>44021</v>
      </c>
      <c r="M574">
        <f t="shared" si="54"/>
        <v>177.51117126744572</v>
      </c>
      <c r="N574">
        <f t="shared" si="55"/>
        <v>123.80507119932798</v>
      </c>
    </row>
    <row r="575" spans="1:14" x14ac:dyDescent="0.45">
      <c r="A575" s="15">
        <v>44021</v>
      </c>
      <c r="B575">
        <v>148.61695900000001</v>
      </c>
      <c r="C575" t="b">
        <f t="shared" si="56"/>
        <v>0</v>
      </c>
      <c r="E575" s="15">
        <v>44022</v>
      </c>
      <c r="F575">
        <f t="shared" si="51"/>
        <v>147.228745</v>
      </c>
      <c r="G575">
        <v>1408.869995</v>
      </c>
      <c r="I575" s="13">
        <f t="shared" si="52"/>
        <v>-9.340885517648112E-3</v>
      </c>
      <c r="J575" s="13">
        <f t="shared" si="53"/>
        <v>2.611759271261116E-3</v>
      </c>
      <c r="L575" s="15">
        <v>44022</v>
      </c>
      <c r="M575">
        <f t="shared" si="54"/>
        <v>175.85305973853289</v>
      </c>
      <c r="N575">
        <f t="shared" si="55"/>
        <v>124.12842024186197</v>
      </c>
    </row>
    <row r="576" spans="1:14" x14ac:dyDescent="0.45">
      <c r="A576" s="15">
        <v>44022</v>
      </c>
      <c r="B576">
        <v>147.228745</v>
      </c>
      <c r="C576" t="b">
        <f t="shared" si="56"/>
        <v>0</v>
      </c>
      <c r="E576" s="15">
        <v>44025</v>
      </c>
      <c r="F576">
        <f t="shared" si="51"/>
        <v>150.52076700000001</v>
      </c>
      <c r="G576">
        <v>1424.469971</v>
      </c>
      <c r="I576" s="13">
        <f t="shared" si="52"/>
        <v>2.2359913480210603E-2</v>
      </c>
      <c r="J576" s="13">
        <f t="shared" si="53"/>
        <v>1.1072686660489106E-2</v>
      </c>
      <c r="L576" s="15">
        <v>44025</v>
      </c>
      <c r="M576">
        <f t="shared" si="54"/>
        <v>179.78511893951679</v>
      </c>
      <c r="N576">
        <f t="shared" si="55"/>
        <v>125.50285534486163</v>
      </c>
    </row>
    <row r="577" spans="1:14" x14ac:dyDescent="0.45">
      <c r="A577" s="15">
        <v>44025</v>
      </c>
      <c r="B577">
        <v>150.52076700000001</v>
      </c>
      <c r="C577" t="b">
        <f t="shared" si="56"/>
        <v>0</v>
      </c>
      <c r="E577" s="15">
        <v>44026</v>
      </c>
      <c r="F577">
        <f t="shared" si="51"/>
        <v>146.19750999999999</v>
      </c>
      <c r="G577">
        <v>1408.530029</v>
      </c>
      <c r="I577" s="13">
        <f t="shared" si="52"/>
        <v>-2.8721996879008782E-2</v>
      </c>
      <c r="J577" s="13">
        <f t="shared" si="53"/>
        <v>-1.1190086365112983E-2</v>
      </c>
      <c r="L577" s="15">
        <v>44026</v>
      </c>
      <c r="M577">
        <f t="shared" si="54"/>
        <v>174.62133131444378</v>
      </c>
      <c r="N577">
        <f t="shared" si="55"/>
        <v>124.09846755448434</v>
      </c>
    </row>
    <row r="578" spans="1:14" x14ac:dyDescent="0.45">
      <c r="A578" s="15">
        <v>44026</v>
      </c>
      <c r="B578">
        <v>146.19750999999999</v>
      </c>
      <c r="C578" t="b">
        <f t="shared" si="56"/>
        <v>0</v>
      </c>
      <c r="E578" s="15">
        <v>44027</v>
      </c>
      <c r="F578">
        <f t="shared" si="51"/>
        <v>155.359634</v>
      </c>
      <c r="G578">
        <v>1440.150024</v>
      </c>
      <c r="I578" s="13">
        <f t="shared" si="52"/>
        <v>6.2669494165803474E-2</v>
      </c>
      <c r="J578" s="13">
        <f t="shared" si="53"/>
        <v>2.2448932112898445E-2</v>
      </c>
      <c r="L578" s="15">
        <v>44027</v>
      </c>
      <c r="M578">
        <f t="shared" si="54"/>
        <v>185.56476181847916</v>
      </c>
      <c r="N578">
        <f t="shared" si="55"/>
        <v>126.88434562792969</v>
      </c>
    </row>
    <row r="579" spans="1:14" x14ac:dyDescent="0.45">
      <c r="A579" s="15">
        <v>44027</v>
      </c>
      <c r="B579">
        <v>155.359634</v>
      </c>
      <c r="C579" t="b">
        <f t="shared" si="56"/>
        <v>0</v>
      </c>
      <c r="E579" s="15">
        <v>44028</v>
      </c>
      <c r="F579">
        <f t="shared" ref="F579:F642" si="57">VLOOKUP(E579,A579:B1818,2,0)</f>
        <v>156.54953</v>
      </c>
      <c r="G579">
        <v>1436.4799800000001</v>
      </c>
      <c r="I579" s="13">
        <f t="shared" si="52"/>
        <v>7.6589778783850981E-3</v>
      </c>
      <c r="J579" s="13">
        <f t="shared" si="53"/>
        <v>-2.548376168342803E-3</v>
      </c>
      <c r="L579" s="15">
        <v>44028</v>
      </c>
      <c r="M579">
        <f t="shared" si="54"/>
        <v>186.9859982242547</v>
      </c>
      <c r="N579">
        <f t="shared" si="55"/>
        <v>126.5609965853957</v>
      </c>
    </row>
    <row r="580" spans="1:14" x14ac:dyDescent="0.45">
      <c r="A580" s="15">
        <v>44028</v>
      </c>
      <c r="B580">
        <v>156.54953</v>
      </c>
      <c r="C580" t="b">
        <f t="shared" si="56"/>
        <v>0</v>
      </c>
      <c r="E580" s="15">
        <v>44029</v>
      </c>
      <c r="F580">
        <f t="shared" si="57"/>
        <v>158.691315</v>
      </c>
      <c r="G580">
        <v>1445</v>
      </c>
      <c r="I580" s="13">
        <f t="shared" ref="I580:I643" si="58">F580/F579-1</f>
        <v>1.368119725431316E-2</v>
      </c>
      <c r="J580" s="13">
        <f t="shared" ref="J580:J643" si="59">G580/G579-1</f>
        <v>5.9311790756735316E-3</v>
      </c>
      <c r="L580" s="15">
        <v>44029</v>
      </c>
      <c r="M580">
        <f t="shared" ref="M580:M643" si="60">M579*(1+I580)</f>
        <v>189.54419054975537</v>
      </c>
      <c r="N580">
        <f t="shared" ref="N580:N643" si="61">N579*(1+J580)</f>
        <v>127.31165252013939</v>
      </c>
    </row>
    <row r="581" spans="1:14" x14ac:dyDescent="0.45">
      <c r="A581" s="15">
        <v>44029</v>
      </c>
      <c r="B581">
        <v>158.691315</v>
      </c>
      <c r="C581" t="b">
        <f t="shared" si="56"/>
        <v>0</v>
      </c>
      <c r="E581" s="15">
        <v>44032</v>
      </c>
      <c r="F581">
        <f t="shared" si="57"/>
        <v>163.569885</v>
      </c>
      <c r="G581">
        <v>1464.6800539999999</v>
      </c>
      <c r="I581" s="13">
        <f t="shared" si="58"/>
        <v>3.0742514169726176E-2</v>
      </c>
      <c r="J581" s="13">
        <f t="shared" si="59"/>
        <v>1.3619414532871854E-2</v>
      </c>
      <c r="L581" s="15">
        <v>44032</v>
      </c>
      <c r="M581">
        <f t="shared" si="60"/>
        <v>195.37125551352051</v>
      </c>
      <c r="N581">
        <f t="shared" si="61"/>
        <v>129.04556269067612</v>
      </c>
    </row>
    <row r="582" spans="1:14" x14ac:dyDescent="0.45">
      <c r="A582" s="15">
        <v>44032</v>
      </c>
      <c r="B582">
        <v>163.569885</v>
      </c>
      <c r="C582" t="b">
        <f t="shared" si="56"/>
        <v>0</v>
      </c>
      <c r="E582" s="15">
        <v>44033</v>
      </c>
      <c r="F582">
        <f t="shared" si="57"/>
        <v>167.853455</v>
      </c>
      <c r="G582">
        <v>1473.469971</v>
      </c>
      <c r="I582" s="13">
        <f t="shared" si="58"/>
        <v>2.6188011320054327E-2</v>
      </c>
      <c r="J582" s="13">
        <f t="shared" si="59"/>
        <v>6.001253977614418E-3</v>
      </c>
      <c r="L582" s="15">
        <v>44033</v>
      </c>
      <c r="M582">
        <f t="shared" si="60"/>
        <v>200.48764016452182</v>
      </c>
      <c r="N582">
        <f t="shared" si="61"/>
        <v>129.81999788706702</v>
      </c>
    </row>
    <row r="583" spans="1:14" x14ac:dyDescent="0.45">
      <c r="A583" s="15">
        <v>44033</v>
      </c>
      <c r="B583">
        <v>167.853455</v>
      </c>
      <c r="C583" t="b">
        <f t="shared" si="56"/>
        <v>0</v>
      </c>
      <c r="E583" s="15">
        <v>44034</v>
      </c>
      <c r="F583">
        <f t="shared" si="57"/>
        <v>168.40875199999999</v>
      </c>
      <c r="G583">
        <v>1466.030029</v>
      </c>
      <c r="I583" s="13">
        <f t="shared" si="58"/>
        <v>3.3082250228331223E-3</v>
      </c>
      <c r="J583" s="13">
        <f t="shared" si="59"/>
        <v>-5.049266117687301E-3</v>
      </c>
      <c r="L583" s="15">
        <v>44034</v>
      </c>
      <c r="M583">
        <f t="shared" si="60"/>
        <v>201.15089839248284</v>
      </c>
      <c r="N583">
        <f t="shared" si="61"/>
        <v>129.16450217033761</v>
      </c>
    </row>
    <row r="584" spans="1:14" x14ac:dyDescent="0.45">
      <c r="A584" s="15">
        <v>44034</v>
      </c>
      <c r="B584">
        <v>168.40875199999999</v>
      </c>
      <c r="C584" t="b">
        <f t="shared" si="56"/>
        <v>0</v>
      </c>
      <c r="E584" s="15">
        <v>44035</v>
      </c>
      <c r="F584">
        <f t="shared" si="57"/>
        <v>171.54212999999999</v>
      </c>
      <c r="G584">
        <v>1465.880005</v>
      </c>
      <c r="I584" s="13">
        <f t="shared" si="58"/>
        <v>1.8605790748927209E-2</v>
      </c>
      <c r="J584" s="13">
        <f t="shared" si="59"/>
        <v>-1.02333510932473E-4</v>
      </c>
      <c r="L584" s="15">
        <v>44035</v>
      </c>
      <c r="M584">
        <f t="shared" si="60"/>
        <v>204.8934699169321</v>
      </c>
      <c r="N584">
        <f t="shared" si="61"/>
        <v>129.15128431334267</v>
      </c>
    </row>
    <row r="585" spans="1:14" x14ac:dyDescent="0.45">
      <c r="A585" s="15">
        <v>44035</v>
      </c>
      <c r="B585">
        <v>171.54212999999999</v>
      </c>
      <c r="C585" t="b">
        <f t="shared" si="56"/>
        <v>0</v>
      </c>
      <c r="E585" s="15">
        <v>44036</v>
      </c>
      <c r="F585">
        <f t="shared" si="57"/>
        <v>168.17077599999999</v>
      </c>
      <c r="G585">
        <v>1442.51001</v>
      </c>
      <c r="I585" s="13">
        <f t="shared" si="58"/>
        <v>-1.9653212887119853E-2</v>
      </c>
      <c r="J585" s="13">
        <f t="shared" si="59"/>
        <v>-1.5942638497207673E-2</v>
      </c>
      <c r="L585" s="15">
        <v>44036</v>
      </c>
      <c r="M585">
        <f t="shared" si="60"/>
        <v>200.86665493347394</v>
      </c>
      <c r="N585">
        <f t="shared" si="61"/>
        <v>127.09227207608497</v>
      </c>
    </row>
    <row r="586" spans="1:14" x14ac:dyDescent="0.45">
      <c r="A586" s="15">
        <v>44036</v>
      </c>
      <c r="B586">
        <v>168.17077599999999</v>
      </c>
      <c r="C586" t="b">
        <f t="shared" ref="C586:C617" si="62">E584=A586</f>
        <v>0</v>
      </c>
      <c r="E586" s="15">
        <v>44039</v>
      </c>
      <c r="F586">
        <f t="shared" si="57"/>
        <v>167.37751800000001</v>
      </c>
      <c r="G586">
        <v>1448.4499510000001</v>
      </c>
      <c r="I586" s="13">
        <f t="shared" si="58"/>
        <v>-4.7169788881747943E-3</v>
      </c>
      <c r="J586" s="13">
        <f t="shared" si="59"/>
        <v>4.1177814773014632E-3</v>
      </c>
      <c r="L586" s="15">
        <v>44039</v>
      </c>
      <c r="M586">
        <f t="shared" si="60"/>
        <v>199.91917116281445</v>
      </c>
      <c r="N586">
        <f t="shared" si="61"/>
        <v>127.61561027994803</v>
      </c>
    </row>
    <row r="587" spans="1:14" x14ac:dyDescent="0.45">
      <c r="A587" s="15">
        <v>44039</v>
      </c>
      <c r="B587">
        <v>167.37751800000001</v>
      </c>
      <c r="C587" t="b">
        <f t="shared" si="62"/>
        <v>0</v>
      </c>
      <c r="E587" s="15">
        <v>44040</v>
      </c>
      <c r="F587">
        <f t="shared" si="57"/>
        <v>165.077057</v>
      </c>
      <c r="G587">
        <v>1446.790039</v>
      </c>
      <c r="I587" s="13">
        <f t="shared" si="58"/>
        <v>-1.3744145734076452E-2</v>
      </c>
      <c r="J587" s="13">
        <f t="shared" si="59"/>
        <v>-1.1459919611679359E-3</v>
      </c>
      <c r="L587" s="15">
        <v>44040</v>
      </c>
      <c r="M587">
        <f t="shared" si="60"/>
        <v>197.17145293931696</v>
      </c>
      <c r="N587">
        <f t="shared" si="61"/>
        <v>127.46936381644767</v>
      </c>
    </row>
    <row r="588" spans="1:14" x14ac:dyDescent="0.45">
      <c r="A588" s="15">
        <v>44040</v>
      </c>
      <c r="B588">
        <v>165.077057</v>
      </c>
      <c r="C588" t="b">
        <f t="shared" si="62"/>
        <v>0</v>
      </c>
      <c r="E588" s="15">
        <v>44041</v>
      </c>
      <c r="F588">
        <f t="shared" si="57"/>
        <v>160.119202</v>
      </c>
      <c r="G588">
        <v>1442.869995</v>
      </c>
      <c r="I588" s="13">
        <f t="shared" si="58"/>
        <v>-3.0033580014695804E-2</v>
      </c>
      <c r="J588" s="13">
        <f t="shared" si="59"/>
        <v>-2.7094767687987353E-3</v>
      </c>
      <c r="L588" s="15">
        <v>44041</v>
      </c>
      <c r="M588">
        <f t="shared" si="60"/>
        <v>191.24968833085015</v>
      </c>
      <c r="N588">
        <f t="shared" si="61"/>
        <v>127.12398853645345</v>
      </c>
    </row>
    <row r="589" spans="1:14" x14ac:dyDescent="0.45">
      <c r="A589" s="15">
        <v>44041</v>
      </c>
      <c r="B589">
        <v>160.119202</v>
      </c>
      <c r="C589" t="b">
        <f t="shared" si="62"/>
        <v>0</v>
      </c>
      <c r="E589" s="15">
        <v>44042</v>
      </c>
      <c r="F589">
        <f t="shared" si="57"/>
        <v>162.06268299999999</v>
      </c>
      <c r="G589">
        <v>1432.400024</v>
      </c>
      <c r="I589" s="13">
        <f t="shared" si="58"/>
        <v>1.2137713501719771E-2</v>
      </c>
      <c r="J589" s="13">
        <f t="shared" si="59"/>
        <v>-7.2563509091475575E-3</v>
      </c>
      <c r="L589" s="15">
        <v>44042</v>
      </c>
      <c r="M589">
        <f t="shared" si="60"/>
        <v>193.5710222551032</v>
      </c>
      <c r="N589">
        <f t="shared" si="61"/>
        <v>126.2015322666625</v>
      </c>
    </row>
    <row r="590" spans="1:14" x14ac:dyDescent="0.45">
      <c r="A590" s="15">
        <v>44042</v>
      </c>
      <c r="B590">
        <v>162.06268299999999</v>
      </c>
      <c r="C590" t="b">
        <f t="shared" si="62"/>
        <v>0</v>
      </c>
      <c r="E590" s="15">
        <v>44043</v>
      </c>
      <c r="F590">
        <f t="shared" si="57"/>
        <v>160.99179100000001</v>
      </c>
      <c r="G590">
        <v>1423.630005</v>
      </c>
      <c r="I590" s="13">
        <f t="shared" si="58"/>
        <v>-6.6078876406111542E-3</v>
      </c>
      <c r="J590" s="13">
        <f t="shared" si="59"/>
        <v>-6.1226046167673909E-3</v>
      </c>
      <c r="L590" s="15">
        <v>44043</v>
      </c>
      <c r="M590">
        <f t="shared" si="60"/>
        <v>192.29192668956324</v>
      </c>
      <c r="N590">
        <f t="shared" si="61"/>
        <v>125.42885018256351</v>
      </c>
    </row>
    <row r="591" spans="1:14" x14ac:dyDescent="0.45">
      <c r="A591" s="15">
        <v>44043</v>
      </c>
      <c r="B591">
        <v>160.99179100000001</v>
      </c>
      <c r="C591" t="b">
        <f t="shared" si="62"/>
        <v>0</v>
      </c>
      <c r="E591" s="15">
        <v>44046</v>
      </c>
      <c r="F591">
        <f t="shared" si="57"/>
        <v>165.23571799999999</v>
      </c>
      <c r="G591">
        <v>1451.619995</v>
      </c>
      <c r="I591" s="13">
        <f t="shared" si="58"/>
        <v>2.6361139121683363E-2</v>
      </c>
      <c r="J591" s="13">
        <f t="shared" si="59"/>
        <v>1.9661000331332668E-2</v>
      </c>
      <c r="L591" s="15">
        <v>44046</v>
      </c>
      <c r="M591">
        <f t="shared" si="60"/>
        <v>197.36096092100337</v>
      </c>
      <c r="N591">
        <f t="shared" si="61"/>
        <v>127.89490684756157</v>
      </c>
    </row>
    <row r="592" spans="1:14" x14ac:dyDescent="0.45">
      <c r="A592" s="15">
        <v>44046</v>
      </c>
      <c r="B592">
        <v>165.23571799999999</v>
      </c>
      <c r="C592" t="b">
        <f t="shared" si="62"/>
        <v>0</v>
      </c>
      <c r="E592" s="15">
        <v>44047</v>
      </c>
      <c r="F592">
        <f t="shared" si="57"/>
        <v>164.00616500000001</v>
      </c>
      <c r="G592">
        <v>1433.9799800000001</v>
      </c>
      <c r="I592" s="13">
        <f t="shared" si="58"/>
        <v>-7.4412059019829391E-3</v>
      </c>
      <c r="J592" s="13">
        <f t="shared" si="59"/>
        <v>-1.2151950965651914E-2</v>
      </c>
      <c r="L592" s="15">
        <v>44047</v>
      </c>
      <c r="M592">
        <f t="shared" si="60"/>
        <v>195.89235737377697</v>
      </c>
      <c r="N592">
        <f t="shared" si="61"/>
        <v>126.34073421079339</v>
      </c>
    </row>
    <row r="593" spans="1:14" x14ac:dyDescent="0.45">
      <c r="A593" s="15">
        <v>44047</v>
      </c>
      <c r="B593">
        <v>164.00616500000001</v>
      </c>
      <c r="C593" t="b">
        <f t="shared" si="62"/>
        <v>0</v>
      </c>
      <c r="E593" s="15">
        <v>44048</v>
      </c>
      <c r="F593">
        <f t="shared" si="57"/>
        <v>167.06019599999999</v>
      </c>
      <c r="G593">
        <v>1438.209961</v>
      </c>
      <c r="I593" s="13">
        <f t="shared" si="58"/>
        <v>1.8621440236712861E-2</v>
      </c>
      <c r="J593" s="13">
        <f t="shared" si="59"/>
        <v>2.9498187275946997E-3</v>
      </c>
      <c r="L593" s="15">
        <v>44048</v>
      </c>
      <c r="M593">
        <f t="shared" si="60"/>
        <v>199.54015519944156</v>
      </c>
      <c r="N593">
        <f t="shared" si="61"/>
        <v>126.71341647462644</v>
      </c>
    </row>
    <row r="594" spans="1:14" x14ac:dyDescent="0.45">
      <c r="A594" s="15">
        <v>44048</v>
      </c>
      <c r="B594">
        <v>167.06019599999999</v>
      </c>
      <c r="C594" t="b">
        <f t="shared" si="62"/>
        <v>0</v>
      </c>
      <c r="E594" s="15">
        <v>44049</v>
      </c>
      <c r="F594">
        <f t="shared" si="57"/>
        <v>166.584259</v>
      </c>
      <c r="G594">
        <v>1432.209961</v>
      </c>
      <c r="I594" s="13">
        <f t="shared" si="58"/>
        <v>-2.8488952568928028E-3</v>
      </c>
      <c r="J594" s="13">
        <f t="shared" si="59"/>
        <v>-4.1718526242358056E-3</v>
      </c>
      <c r="L594" s="15">
        <v>44049</v>
      </c>
      <c r="M594">
        <f t="shared" si="60"/>
        <v>198.97168619773421</v>
      </c>
      <c r="N594">
        <f t="shared" si="61"/>
        <v>126.18478677558089</v>
      </c>
    </row>
    <row r="595" spans="1:14" x14ac:dyDescent="0.45">
      <c r="A595" s="15">
        <v>44049</v>
      </c>
      <c r="B595">
        <v>166.584259</v>
      </c>
      <c r="C595" t="b">
        <f t="shared" si="62"/>
        <v>0</v>
      </c>
      <c r="E595" s="15">
        <v>44050</v>
      </c>
      <c r="F595">
        <f t="shared" si="57"/>
        <v>169.83660900000001</v>
      </c>
      <c r="G595">
        <v>1448.849976</v>
      </c>
      <c r="I595" s="13">
        <f t="shared" si="58"/>
        <v>1.9523753441794245E-2</v>
      </c>
      <c r="J595" s="13">
        <f t="shared" si="59"/>
        <v>1.1618418704741895E-2</v>
      </c>
      <c r="L595" s="15">
        <v>44050</v>
      </c>
      <c r="M595">
        <f t="shared" si="60"/>
        <v>202.85636034095683</v>
      </c>
      <c r="N595">
        <f t="shared" si="61"/>
        <v>127.65085446250816</v>
      </c>
    </row>
    <row r="596" spans="1:14" x14ac:dyDescent="0.45">
      <c r="A596" s="15">
        <v>44050</v>
      </c>
      <c r="B596">
        <v>169.83660900000001</v>
      </c>
      <c r="C596" t="b">
        <f t="shared" si="62"/>
        <v>0</v>
      </c>
      <c r="E596" s="15">
        <v>44053</v>
      </c>
      <c r="F596">
        <f t="shared" si="57"/>
        <v>167.97245799999999</v>
      </c>
      <c r="G596">
        <v>1439.4399410000001</v>
      </c>
      <c r="I596" s="13">
        <f t="shared" si="58"/>
        <v>-1.0976143547472894E-2</v>
      </c>
      <c r="J596" s="13">
        <f t="shared" si="59"/>
        <v>-6.4948304903031939E-3</v>
      </c>
      <c r="L596" s="15">
        <v>44053</v>
      </c>
      <c r="M596">
        <f t="shared" si="60"/>
        <v>200.6297798103366</v>
      </c>
      <c r="N596">
        <f t="shared" si="61"/>
        <v>126.82178380083181</v>
      </c>
    </row>
    <row r="597" spans="1:14" x14ac:dyDescent="0.45">
      <c r="A597" s="15">
        <v>44053</v>
      </c>
      <c r="B597">
        <v>167.97245799999999</v>
      </c>
      <c r="C597" t="b">
        <f t="shared" si="62"/>
        <v>0</v>
      </c>
      <c r="E597" s="15">
        <v>44054</v>
      </c>
      <c r="F597">
        <f t="shared" si="57"/>
        <v>183.837616</v>
      </c>
      <c r="G597">
        <v>1470.7299800000001</v>
      </c>
      <c r="I597" s="13">
        <f t="shared" si="58"/>
        <v>9.4450948619207553E-2</v>
      </c>
      <c r="J597" s="13">
        <f t="shared" si="59"/>
        <v>2.1737648170483848E-2</v>
      </c>
      <c r="L597" s="15">
        <v>44054</v>
      </c>
      <c r="M597">
        <f t="shared" si="60"/>
        <v>219.57945283468564</v>
      </c>
      <c r="N597">
        <f t="shared" si="61"/>
        <v>129.57859111744747</v>
      </c>
    </row>
    <row r="598" spans="1:14" x14ac:dyDescent="0.45">
      <c r="A598" s="15">
        <v>44054</v>
      </c>
      <c r="B598">
        <v>183.837616</v>
      </c>
      <c r="C598" t="b">
        <f t="shared" si="62"/>
        <v>0</v>
      </c>
      <c r="E598" s="15">
        <v>44055</v>
      </c>
      <c r="F598">
        <f t="shared" si="57"/>
        <v>182.01312300000001</v>
      </c>
      <c r="G598">
        <v>1475.119995</v>
      </c>
      <c r="I598" s="13">
        <f t="shared" si="58"/>
        <v>-9.924481396669016E-3</v>
      </c>
      <c r="J598" s="13">
        <f t="shared" si="59"/>
        <v>2.9849224940665664E-3</v>
      </c>
      <c r="L598" s="15">
        <v>44055</v>
      </c>
      <c r="M598">
        <f t="shared" si="60"/>
        <v>217.40024063993704</v>
      </c>
      <c r="N598">
        <f t="shared" si="61"/>
        <v>129.96537316882339</v>
      </c>
    </row>
    <row r="599" spans="1:14" x14ac:dyDescent="0.45">
      <c r="A599" s="15">
        <v>44055</v>
      </c>
      <c r="B599">
        <v>182.01312300000001</v>
      </c>
      <c r="C599" t="b">
        <f t="shared" si="62"/>
        <v>0</v>
      </c>
      <c r="E599" s="15">
        <v>44056</v>
      </c>
      <c r="F599">
        <f t="shared" si="57"/>
        <v>185.06716900000001</v>
      </c>
      <c r="G599">
        <v>1482.1400149999999</v>
      </c>
      <c r="I599" s="13">
        <f t="shared" si="58"/>
        <v>1.6779262668879191E-2</v>
      </c>
      <c r="J599" s="13">
        <f t="shared" si="59"/>
        <v>4.7589484406656002E-3</v>
      </c>
      <c r="L599" s="15">
        <v>44056</v>
      </c>
      <c r="M599">
        <f t="shared" si="60"/>
        <v>221.04805638191209</v>
      </c>
      <c r="N599">
        <f t="shared" si="61"/>
        <v>130.58387167880568</v>
      </c>
    </row>
    <row r="600" spans="1:14" x14ac:dyDescent="0.45">
      <c r="A600" s="15">
        <v>44056</v>
      </c>
      <c r="B600">
        <v>185.06716900000001</v>
      </c>
      <c r="C600" t="b">
        <f t="shared" si="62"/>
        <v>0</v>
      </c>
      <c r="E600" s="15">
        <v>44057</v>
      </c>
      <c r="F600">
        <f t="shared" si="57"/>
        <v>184.19458</v>
      </c>
      <c r="G600">
        <v>1460.6800539999999</v>
      </c>
      <c r="I600" s="13">
        <f t="shared" si="58"/>
        <v>-4.7149854007871861E-3</v>
      </c>
      <c r="J600" s="13">
        <f t="shared" si="59"/>
        <v>-1.4479037596188293E-2</v>
      </c>
      <c r="L600" s="15">
        <v>44057</v>
      </c>
      <c r="M600">
        <f t="shared" si="60"/>
        <v>220.005818023199</v>
      </c>
      <c r="N600">
        <f t="shared" si="61"/>
        <v>128.69314289131242</v>
      </c>
    </row>
    <row r="601" spans="1:14" x14ac:dyDescent="0.45">
      <c r="A601" s="15">
        <v>44057</v>
      </c>
      <c r="B601">
        <v>184.19458</v>
      </c>
      <c r="C601" t="b">
        <f t="shared" si="62"/>
        <v>0</v>
      </c>
      <c r="E601" s="15">
        <v>44060</v>
      </c>
      <c r="F601">
        <f t="shared" si="57"/>
        <v>185.18614199999999</v>
      </c>
      <c r="G601">
        <v>1475.369995</v>
      </c>
      <c r="I601" s="13">
        <f t="shared" si="58"/>
        <v>5.3832311461063931E-3</v>
      </c>
      <c r="J601" s="13">
        <f t="shared" si="59"/>
        <v>1.0056919008219811E-2</v>
      </c>
      <c r="L601" s="15">
        <v>44060</v>
      </c>
      <c r="M601">
        <f t="shared" si="60"/>
        <v>221.1901601951061</v>
      </c>
      <c r="N601">
        <f t="shared" si="61"/>
        <v>129.9873994062836</v>
      </c>
    </row>
    <row r="602" spans="1:14" x14ac:dyDescent="0.45">
      <c r="A602" s="15">
        <v>44060</v>
      </c>
      <c r="B602">
        <v>185.18614199999999</v>
      </c>
      <c r="C602" t="b">
        <f t="shared" si="62"/>
        <v>0</v>
      </c>
      <c r="E602" s="15">
        <v>44061</v>
      </c>
      <c r="F602">
        <f t="shared" si="57"/>
        <v>183.639297</v>
      </c>
      <c r="G602">
        <v>1453.469971</v>
      </c>
      <c r="I602" s="13">
        <f t="shared" si="58"/>
        <v>-8.3529198421337103E-3</v>
      </c>
      <c r="J602" s="13">
        <f t="shared" si="59"/>
        <v>-1.4843750431565494E-2</v>
      </c>
      <c r="L602" s="15">
        <v>44061</v>
      </c>
      <c r="M602">
        <f t="shared" si="60"/>
        <v>219.34257651712767</v>
      </c>
      <c r="N602">
        <f t="shared" si="61"/>
        <v>128.05789889024851</v>
      </c>
    </row>
    <row r="603" spans="1:14" x14ac:dyDescent="0.45">
      <c r="A603" s="15">
        <v>44061</v>
      </c>
      <c r="B603">
        <v>183.639297</v>
      </c>
      <c r="C603" t="b">
        <f t="shared" si="62"/>
        <v>0</v>
      </c>
      <c r="E603" s="15">
        <v>44062</v>
      </c>
      <c r="F603">
        <f t="shared" si="57"/>
        <v>183.79797400000001</v>
      </c>
      <c r="G603">
        <v>1467.040039</v>
      </c>
      <c r="I603" s="13">
        <f t="shared" si="58"/>
        <v>8.6406887083656514E-4</v>
      </c>
      <c r="J603" s="13">
        <f t="shared" si="59"/>
        <v>9.336324981426225E-3</v>
      </c>
      <c r="L603" s="15">
        <v>44062</v>
      </c>
      <c r="M603">
        <f t="shared" si="60"/>
        <v>219.5321036095452</v>
      </c>
      <c r="N603">
        <f t="shared" si="61"/>
        <v>129.2534890507265</v>
      </c>
    </row>
    <row r="604" spans="1:14" x14ac:dyDescent="0.45">
      <c r="A604" s="15">
        <v>44062</v>
      </c>
      <c r="B604">
        <v>183.79797400000001</v>
      </c>
      <c r="C604" t="b">
        <f t="shared" si="62"/>
        <v>0</v>
      </c>
      <c r="E604" s="15">
        <v>44063</v>
      </c>
      <c r="F604">
        <f t="shared" si="57"/>
        <v>181.93379200000001</v>
      </c>
      <c r="G604">
        <v>1460.4300539999999</v>
      </c>
      <c r="I604" s="13">
        <f t="shared" si="58"/>
        <v>-1.0142560113312271E-2</v>
      </c>
      <c r="J604" s="13">
        <f t="shared" si="59"/>
        <v>-4.5056609392241098E-3</v>
      </c>
      <c r="L604" s="15">
        <v>44063</v>
      </c>
      <c r="M604">
        <f t="shared" si="60"/>
        <v>217.30548605188349</v>
      </c>
      <c r="N604">
        <f t="shared" si="61"/>
        <v>128.67111665385221</v>
      </c>
    </row>
    <row r="605" spans="1:14" x14ac:dyDescent="0.45">
      <c r="A605" s="15">
        <v>44063</v>
      </c>
      <c r="B605">
        <v>181.93379200000001</v>
      </c>
      <c r="C605" t="b">
        <f t="shared" si="62"/>
        <v>0</v>
      </c>
      <c r="E605" s="15">
        <v>44064</v>
      </c>
      <c r="F605">
        <f t="shared" si="57"/>
        <v>184.31358299999999</v>
      </c>
      <c r="G605">
        <v>1470.219971</v>
      </c>
      <c r="I605" s="13">
        <f t="shared" si="58"/>
        <v>1.3080533164504082E-2</v>
      </c>
      <c r="J605" s="13">
        <f t="shared" si="59"/>
        <v>6.7034480516108275E-3</v>
      </c>
      <c r="L605" s="15">
        <v>44064</v>
      </c>
      <c r="M605">
        <f t="shared" si="60"/>
        <v>220.14795766901383</v>
      </c>
      <c r="N605">
        <f t="shared" si="61"/>
        <v>129.53365680008406</v>
      </c>
    </row>
    <row r="606" spans="1:14" x14ac:dyDescent="0.45">
      <c r="A606" s="15">
        <v>44064</v>
      </c>
      <c r="B606">
        <v>184.31358299999999</v>
      </c>
      <c r="C606" t="b">
        <f t="shared" si="62"/>
        <v>0</v>
      </c>
      <c r="E606" s="15">
        <v>44067</v>
      </c>
      <c r="F606">
        <f t="shared" si="57"/>
        <v>188.91447400000001</v>
      </c>
      <c r="G606">
        <v>1478.6800539999999</v>
      </c>
      <c r="I606" s="13">
        <f t="shared" si="58"/>
        <v>2.4962300255429559E-2</v>
      </c>
      <c r="J606" s="13">
        <f t="shared" si="59"/>
        <v>5.7542974295510252E-3</v>
      </c>
      <c r="L606" s="15">
        <v>44067</v>
      </c>
      <c r="M606">
        <f t="shared" si="60"/>
        <v>225.64335708896735</v>
      </c>
      <c r="N606">
        <f t="shared" si="61"/>
        <v>130.27903198844913</v>
      </c>
    </row>
    <row r="607" spans="1:14" x14ac:dyDescent="0.45">
      <c r="A607" s="15">
        <v>44067</v>
      </c>
      <c r="B607">
        <v>188.91447400000001</v>
      </c>
      <c r="C607" t="b">
        <f t="shared" si="62"/>
        <v>0</v>
      </c>
      <c r="E607" s="15">
        <v>44068</v>
      </c>
      <c r="F607">
        <f t="shared" si="57"/>
        <v>187.843582</v>
      </c>
      <c r="G607">
        <v>1479.709961</v>
      </c>
      <c r="I607" s="13">
        <f t="shared" si="58"/>
        <v>-5.668660411906945E-3</v>
      </c>
      <c r="J607" s="13">
        <f t="shared" si="59"/>
        <v>6.9650428922329866E-4</v>
      </c>
      <c r="L607" s="15">
        <v>44068</v>
      </c>
      <c r="M607">
        <f t="shared" si="60"/>
        <v>224.36426152342733</v>
      </c>
      <c r="N607">
        <f t="shared" si="61"/>
        <v>130.36977189302496</v>
      </c>
    </row>
    <row r="608" spans="1:14" x14ac:dyDescent="0.45">
      <c r="A608" s="15">
        <v>44068</v>
      </c>
      <c r="B608">
        <v>187.843582</v>
      </c>
      <c r="C608" t="b">
        <f t="shared" si="62"/>
        <v>0</v>
      </c>
      <c r="E608" s="15">
        <v>44069</v>
      </c>
      <c r="F608">
        <f t="shared" si="57"/>
        <v>190.738968</v>
      </c>
      <c r="G608">
        <v>1489.4399410000001</v>
      </c>
      <c r="I608" s="13">
        <f t="shared" si="58"/>
        <v>1.5413813818776045E-2</v>
      </c>
      <c r="J608" s="13">
        <f t="shared" si="59"/>
        <v>6.575599446140501E-3</v>
      </c>
      <c r="L608" s="15">
        <v>44069</v>
      </c>
      <c r="M608">
        <f t="shared" si="60"/>
        <v>227.82257047813661</v>
      </c>
      <c r="N608">
        <f t="shared" si="61"/>
        <v>131.22703129287819</v>
      </c>
    </row>
    <row r="609" spans="1:14" x14ac:dyDescent="0.45">
      <c r="A609" s="15">
        <v>44069</v>
      </c>
      <c r="B609">
        <v>190.738968</v>
      </c>
      <c r="C609" t="b">
        <f t="shared" si="62"/>
        <v>0</v>
      </c>
      <c r="E609" s="15">
        <v>44070</v>
      </c>
      <c r="F609">
        <f t="shared" si="57"/>
        <v>187.12965399999999</v>
      </c>
      <c r="G609">
        <v>1481.4499510000001</v>
      </c>
      <c r="I609" s="13">
        <f t="shared" si="58"/>
        <v>-1.8922792955448964E-2</v>
      </c>
      <c r="J609" s="13">
        <f t="shared" si="59"/>
        <v>-5.3644257684103414E-3</v>
      </c>
      <c r="L609" s="15">
        <v>44070</v>
      </c>
      <c r="M609">
        <f t="shared" si="60"/>
        <v>223.51153114640064</v>
      </c>
      <c r="N609">
        <f t="shared" si="61"/>
        <v>130.5230736246987</v>
      </c>
    </row>
    <row r="610" spans="1:14" x14ac:dyDescent="0.45">
      <c r="A610" s="15">
        <v>44070</v>
      </c>
      <c r="B610">
        <v>187.12965399999999</v>
      </c>
      <c r="C610" t="b">
        <f t="shared" si="62"/>
        <v>0</v>
      </c>
      <c r="E610" s="15">
        <v>44071</v>
      </c>
      <c r="F610">
        <f t="shared" si="57"/>
        <v>186.93133499999999</v>
      </c>
      <c r="G610">
        <v>1469.900024</v>
      </c>
      <c r="I610" s="13">
        <f t="shared" si="58"/>
        <v>-1.0597946170519679E-3</v>
      </c>
      <c r="J610" s="13">
        <f t="shared" si="59"/>
        <v>-7.796366655656306E-3</v>
      </c>
      <c r="L610" s="15">
        <v>44071</v>
      </c>
      <c r="M610">
        <f t="shared" si="60"/>
        <v>223.27465482884264</v>
      </c>
      <c r="N610">
        <f t="shared" si="61"/>
        <v>129.50546788569733</v>
      </c>
    </row>
    <row r="611" spans="1:14" x14ac:dyDescent="0.45">
      <c r="A611" s="15">
        <v>44071</v>
      </c>
      <c r="B611">
        <v>186.93133499999999</v>
      </c>
      <c r="C611" t="b">
        <f t="shared" si="62"/>
        <v>0</v>
      </c>
      <c r="E611" s="15">
        <v>44074</v>
      </c>
      <c r="F611">
        <f t="shared" si="57"/>
        <v>188.08154300000001</v>
      </c>
      <c r="G611">
        <v>1479.4300539999999</v>
      </c>
      <c r="I611" s="13">
        <f t="shared" si="58"/>
        <v>6.1531042936167069E-3</v>
      </c>
      <c r="J611" s="13">
        <f t="shared" si="59"/>
        <v>6.4834545509198094E-3</v>
      </c>
      <c r="L611" s="15">
        <v>44074</v>
      </c>
      <c r="M611">
        <f t="shared" si="60"/>
        <v>224.6484870661258</v>
      </c>
      <c r="N611">
        <f t="shared" si="61"/>
        <v>130.34511070082985</v>
      </c>
    </row>
    <row r="612" spans="1:14" x14ac:dyDescent="0.45">
      <c r="A612" s="15">
        <v>44074</v>
      </c>
      <c r="B612">
        <v>188.08154300000001</v>
      </c>
      <c r="C612" t="b">
        <f t="shared" si="62"/>
        <v>0</v>
      </c>
      <c r="E612" s="15">
        <v>44075</v>
      </c>
      <c r="F612">
        <f t="shared" si="57"/>
        <v>186.01908900000001</v>
      </c>
      <c r="G612">
        <v>1465.5</v>
      </c>
      <c r="I612" s="13">
        <f t="shared" si="58"/>
        <v>-1.0965743725316002E-2</v>
      </c>
      <c r="J612" s="13">
        <f t="shared" si="59"/>
        <v>-9.415824670004902E-3</v>
      </c>
      <c r="L612" s="15">
        <v>44075</v>
      </c>
      <c r="M612">
        <f t="shared" si="60"/>
        <v>222.1850493286787</v>
      </c>
      <c r="N612">
        <f t="shared" si="61"/>
        <v>129.11780399187845</v>
      </c>
    </row>
    <row r="613" spans="1:14" x14ac:dyDescent="0.45">
      <c r="A613" s="15">
        <v>44075</v>
      </c>
      <c r="B613">
        <v>186.01908900000001</v>
      </c>
      <c r="C613" t="b">
        <f t="shared" si="62"/>
        <v>0</v>
      </c>
      <c r="E613" s="15">
        <v>44076</v>
      </c>
      <c r="F613">
        <f t="shared" si="57"/>
        <v>193.674026</v>
      </c>
      <c r="G613">
        <v>1486.599976</v>
      </c>
      <c r="I613" s="13">
        <f t="shared" si="58"/>
        <v>4.115135194539099E-2</v>
      </c>
      <c r="J613" s="13">
        <f t="shared" si="59"/>
        <v>1.43978000682361E-2</v>
      </c>
      <c r="L613" s="15">
        <v>44076</v>
      </c>
      <c r="M613">
        <f t="shared" si="60"/>
        <v>231.32826449060721</v>
      </c>
      <c r="N613">
        <f t="shared" si="61"/>
        <v>130.97681631900321</v>
      </c>
    </row>
    <row r="614" spans="1:14" x14ac:dyDescent="0.45">
      <c r="A614" s="15">
        <v>44076</v>
      </c>
      <c r="B614">
        <v>193.674026</v>
      </c>
      <c r="C614" t="b">
        <f t="shared" si="62"/>
        <v>0</v>
      </c>
      <c r="E614" s="15">
        <v>44077</v>
      </c>
      <c r="F614">
        <f t="shared" si="57"/>
        <v>192.04783599999999</v>
      </c>
      <c r="G614">
        <v>1471.6999510000001</v>
      </c>
      <c r="I614" s="13">
        <f t="shared" si="58"/>
        <v>-8.3965311899903972E-3</v>
      </c>
      <c r="J614" s="13">
        <f t="shared" si="59"/>
        <v>-1.0022887959470705E-2</v>
      </c>
      <c r="L614" s="15">
        <v>44077</v>
      </c>
      <c r="M614">
        <f t="shared" si="60"/>
        <v>229.38590950268548</v>
      </c>
      <c r="N614">
        <f t="shared" si="61"/>
        <v>129.66405036374965</v>
      </c>
    </row>
    <row r="615" spans="1:14" x14ac:dyDescent="0.45">
      <c r="A615" s="15">
        <v>44077</v>
      </c>
      <c r="B615">
        <v>192.04783599999999</v>
      </c>
      <c r="C615" t="b">
        <f t="shared" si="62"/>
        <v>0</v>
      </c>
      <c r="E615" s="15">
        <v>44078</v>
      </c>
      <c r="F615">
        <f t="shared" si="57"/>
        <v>183.36166399999999</v>
      </c>
      <c r="G615">
        <v>1436.5699460000001</v>
      </c>
      <c r="I615" s="13">
        <f t="shared" si="58"/>
        <v>-4.5229210497326311E-2</v>
      </c>
      <c r="J615" s="13">
        <f t="shared" si="59"/>
        <v>-2.3870358204557629E-2</v>
      </c>
      <c r="L615" s="15">
        <v>44078</v>
      </c>
      <c r="M615">
        <f t="shared" si="60"/>
        <v>219.01096591666789</v>
      </c>
      <c r="N615">
        <f t="shared" si="61"/>
        <v>126.56892303531315</v>
      </c>
    </row>
    <row r="616" spans="1:14" x14ac:dyDescent="0.45">
      <c r="A616" s="15">
        <v>44078</v>
      </c>
      <c r="B616">
        <v>183.36166399999999</v>
      </c>
      <c r="C616" t="b">
        <f t="shared" si="62"/>
        <v>0</v>
      </c>
      <c r="E616" s="15">
        <v>44081</v>
      </c>
      <c r="F616">
        <f t="shared" si="57"/>
        <v>189.39044200000001</v>
      </c>
      <c r="G616">
        <v>1464.530029</v>
      </c>
      <c r="I616" s="13">
        <f t="shared" si="58"/>
        <v>3.2879162789447802E-2</v>
      </c>
      <c r="J616" s="13">
        <f t="shared" si="59"/>
        <v>1.9463085022662696E-2</v>
      </c>
      <c r="L616" s="15">
        <v>44081</v>
      </c>
      <c r="M616">
        <f t="shared" si="60"/>
        <v>226.21186311771621</v>
      </c>
      <c r="N616">
        <f t="shared" si="61"/>
        <v>129.0323447455763</v>
      </c>
    </row>
    <row r="617" spans="1:14" x14ac:dyDescent="0.45">
      <c r="A617" s="15">
        <v>44081</v>
      </c>
      <c r="B617">
        <v>189.39044200000001</v>
      </c>
      <c r="C617" t="b">
        <f t="shared" si="62"/>
        <v>0</v>
      </c>
      <c r="E617" s="15">
        <v>44082</v>
      </c>
      <c r="F617">
        <f t="shared" si="57"/>
        <v>182.409775</v>
      </c>
      <c r="G617">
        <v>1439.290039</v>
      </c>
      <c r="I617" s="13">
        <f t="shared" si="58"/>
        <v>-3.6858602399797991E-2</v>
      </c>
      <c r="J617" s="13">
        <f t="shared" si="59"/>
        <v>-1.7234190832696172E-2</v>
      </c>
      <c r="L617" s="15">
        <v>44082</v>
      </c>
      <c r="M617">
        <f t="shared" si="60"/>
        <v>217.87400999694279</v>
      </c>
      <c r="N617">
        <f t="shared" si="61"/>
        <v>126.8085766926408</v>
      </c>
    </row>
    <row r="618" spans="1:14" x14ac:dyDescent="0.45">
      <c r="A618" s="15">
        <v>44082</v>
      </c>
      <c r="B618">
        <v>182.409775</v>
      </c>
      <c r="C618" t="b">
        <f t="shared" ref="C618:C649" si="63">E616=A618</f>
        <v>0</v>
      </c>
      <c r="E618" s="15">
        <v>44083</v>
      </c>
      <c r="F618">
        <f t="shared" si="57"/>
        <v>189.39044200000001</v>
      </c>
      <c r="G618">
        <v>1474.579956</v>
      </c>
      <c r="I618" s="13">
        <f t="shared" si="58"/>
        <v>3.8269149775553402E-2</v>
      </c>
      <c r="J618" s="13">
        <f t="shared" si="59"/>
        <v>2.4518975358517103E-2</v>
      </c>
      <c r="L618" s="15">
        <v>44083</v>
      </c>
      <c r="M618">
        <f t="shared" si="60"/>
        <v>226.21186311771621</v>
      </c>
      <c r="N618">
        <f t="shared" si="61"/>
        <v>129.91779305981629</v>
      </c>
    </row>
    <row r="619" spans="1:14" x14ac:dyDescent="0.45">
      <c r="A619" s="15">
        <v>44083</v>
      </c>
      <c r="B619">
        <v>189.39044200000001</v>
      </c>
      <c r="C619" t="b">
        <f t="shared" si="63"/>
        <v>0</v>
      </c>
      <c r="E619" s="15">
        <v>44084</v>
      </c>
      <c r="F619">
        <f t="shared" si="57"/>
        <v>186.693344</v>
      </c>
      <c r="G619">
        <v>1468.959961</v>
      </c>
      <c r="I619" s="13">
        <f t="shared" si="58"/>
        <v>-1.4240940416623604E-2</v>
      </c>
      <c r="J619" s="13">
        <f t="shared" si="59"/>
        <v>-3.8112514530883601E-3</v>
      </c>
      <c r="L619" s="15">
        <v>44084</v>
      </c>
      <c r="M619">
        <f t="shared" si="60"/>
        <v>222.99039345352338</v>
      </c>
      <c r="N619">
        <f t="shared" si="61"/>
        <v>129.42264368223502</v>
      </c>
    </row>
    <row r="620" spans="1:14" x14ac:dyDescent="0.45">
      <c r="A620" s="15">
        <v>44084</v>
      </c>
      <c r="B620">
        <v>186.693344</v>
      </c>
      <c r="C620" t="b">
        <f t="shared" si="63"/>
        <v>0</v>
      </c>
      <c r="E620" s="15">
        <v>44085</v>
      </c>
      <c r="F620">
        <f t="shared" si="57"/>
        <v>186.693344</v>
      </c>
      <c r="G620">
        <v>1465.329956</v>
      </c>
      <c r="I620" s="13">
        <f t="shared" si="58"/>
        <v>0</v>
      </c>
      <c r="J620" s="13">
        <f t="shared" si="59"/>
        <v>-2.4711395112013701E-3</v>
      </c>
      <c r="L620" s="15">
        <v>44085</v>
      </c>
      <c r="M620">
        <f t="shared" si="60"/>
        <v>222.99039345352338</v>
      </c>
      <c r="N620">
        <f t="shared" si="61"/>
        <v>129.10282227378772</v>
      </c>
    </row>
    <row r="621" spans="1:14" x14ac:dyDescent="0.45">
      <c r="A621" s="15">
        <v>44085</v>
      </c>
      <c r="B621">
        <v>186.693344</v>
      </c>
      <c r="C621" t="b">
        <f t="shared" si="63"/>
        <v>0</v>
      </c>
      <c r="E621" s="15">
        <v>44088</v>
      </c>
      <c r="F621">
        <f t="shared" si="57"/>
        <v>187.208969</v>
      </c>
      <c r="G621">
        <v>1463.51001</v>
      </c>
      <c r="I621" s="13">
        <f t="shared" si="58"/>
        <v>2.7618820733106286E-3</v>
      </c>
      <c r="J621" s="13">
        <f t="shared" si="59"/>
        <v>-1.2420042274765564E-3</v>
      </c>
      <c r="L621" s="15">
        <v>44088</v>
      </c>
      <c r="M621">
        <f t="shared" si="60"/>
        <v>223.60626662372314</v>
      </c>
      <c r="N621">
        <f t="shared" si="61"/>
        <v>128.94247602274453</v>
      </c>
    </row>
    <row r="622" spans="1:14" x14ac:dyDescent="0.45">
      <c r="A622" s="15">
        <v>44088</v>
      </c>
      <c r="B622">
        <v>187.208969</v>
      </c>
      <c r="C622" t="b">
        <f t="shared" si="63"/>
        <v>0</v>
      </c>
      <c r="E622" s="15">
        <v>44089</v>
      </c>
      <c r="F622">
        <f t="shared" si="57"/>
        <v>188.359207</v>
      </c>
      <c r="G622">
        <v>1477.98999</v>
      </c>
      <c r="I622" s="13">
        <f t="shared" si="58"/>
        <v>6.1441393868260086E-3</v>
      </c>
      <c r="J622" s="13">
        <f t="shared" si="59"/>
        <v>9.8940081728584595E-3</v>
      </c>
      <c r="L622" s="15">
        <v>44089</v>
      </c>
      <c r="M622">
        <f t="shared" si="60"/>
        <v>224.98013469362709</v>
      </c>
      <c r="N622">
        <f t="shared" si="61"/>
        <v>130.21823393434218</v>
      </c>
    </row>
    <row r="623" spans="1:14" x14ac:dyDescent="0.45">
      <c r="A623" s="15">
        <v>44089</v>
      </c>
      <c r="B623">
        <v>188.359207</v>
      </c>
      <c r="C623" t="b">
        <f t="shared" si="63"/>
        <v>0</v>
      </c>
      <c r="E623" s="15">
        <v>44090</v>
      </c>
      <c r="F623">
        <f t="shared" si="57"/>
        <v>191.96852100000001</v>
      </c>
      <c r="G623">
        <v>1488.790039</v>
      </c>
      <c r="I623" s="13">
        <f t="shared" si="58"/>
        <v>1.9161866613719658E-2</v>
      </c>
      <c r="J623" s="13">
        <f t="shared" si="59"/>
        <v>7.307254496358162E-3</v>
      </c>
      <c r="L623" s="15">
        <v>44090</v>
      </c>
      <c r="M623">
        <f t="shared" si="60"/>
        <v>229.29117402536306</v>
      </c>
      <c r="N623">
        <f t="shared" si="61"/>
        <v>131.16977170976674</v>
      </c>
    </row>
    <row r="624" spans="1:14" x14ac:dyDescent="0.45">
      <c r="A624" s="15">
        <v>44090</v>
      </c>
      <c r="B624">
        <v>191.96852100000001</v>
      </c>
      <c r="C624" t="b">
        <f t="shared" si="63"/>
        <v>0</v>
      </c>
      <c r="E624" s="15">
        <v>44091</v>
      </c>
      <c r="F624">
        <f t="shared" si="57"/>
        <v>193.15841699999999</v>
      </c>
      <c r="G624">
        <v>1492.8100589999999</v>
      </c>
      <c r="I624" s="13">
        <f t="shared" si="58"/>
        <v>6.1983912456144985E-3</v>
      </c>
      <c r="J624" s="13">
        <f t="shared" si="59"/>
        <v>2.7001927032639372E-3</v>
      </c>
      <c r="L624" s="15">
        <v>44091</v>
      </c>
      <c r="M624">
        <f t="shared" si="60"/>
        <v>230.71241043113855</v>
      </c>
      <c r="N624">
        <f t="shared" si="61"/>
        <v>131.52395537022625</v>
      </c>
    </row>
    <row r="625" spans="1:14" x14ac:dyDescent="0.45">
      <c r="A625" s="15">
        <v>44091</v>
      </c>
      <c r="B625">
        <v>193.15841699999999</v>
      </c>
      <c r="C625" t="b">
        <f t="shared" si="63"/>
        <v>0</v>
      </c>
      <c r="E625" s="15">
        <v>44092</v>
      </c>
      <c r="F625">
        <f t="shared" si="57"/>
        <v>193.59471099999999</v>
      </c>
      <c r="G625">
        <v>1491.3599850000001</v>
      </c>
      <c r="I625" s="13">
        <f t="shared" si="58"/>
        <v>2.2587366720860924E-3</v>
      </c>
      <c r="J625" s="13">
        <f t="shared" si="59"/>
        <v>-9.7137207192399266E-4</v>
      </c>
      <c r="L625" s="15">
        <v>44092</v>
      </c>
      <c r="M625">
        <f t="shared" si="60"/>
        <v>231.23352901328474</v>
      </c>
      <c r="N625">
        <f t="shared" si="61"/>
        <v>131.39619667319064</v>
      </c>
    </row>
    <row r="626" spans="1:14" x14ac:dyDescent="0.45">
      <c r="A626" s="15">
        <v>44092</v>
      </c>
      <c r="B626">
        <v>193.59471099999999</v>
      </c>
      <c r="C626" t="b">
        <f t="shared" si="63"/>
        <v>0</v>
      </c>
      <c r="E626" s="15">
        <v>44095</v>
      </c>
      <c r="F626">
        <f t="shared" si="57"/>
        <v>191.373581</v>
      </c>
      <c r="G626">
        <v>1469.4799800000001</v>
      </c>
      <c r="I626" s="13">
        <f t="shared" si="58"/>
        <v>-1.1473092361495296E-2</v>
      </c>
      <c r="J626" s="13">
        <f t="shared" si="59"/>
        <v>-1.4671176121169638E-2</v>
      </c>
      <c r="L626" s="15">
        <v>44095</v>
      </c>
      <c r="M626">
        <f t="shared" si="60"/>
        <v>228.58056537784083</v>
      </c>
      <c r="N626">
        <f t="shared" si="61"/>
        <v>129.46845993014642</v>
      </c>
    </row>
    <row r="627" spans="1:14" x14ac:dyDescent="0.45">
      <c r="A627" s="15">
        <v>44095</v>
      </c>
      <c r="B627">
        <v>191.373581</v>
      </c>
      <c r="C627" t="b">
        <f t="shared" si="63"/>
        <v>0</v>
      </c>
      <c r="E627" s="15">
        <v>44096</v>
      </c>
      <c r="F627">
        <f t="shared" si="57"/>
        <v>190.14402799999999</v>
      </c>
      <c r="G627">
        <v>1475.2700199999999</v>
      </c>
      <c r="I627" s="13">
        <f t="shared" si="58"/>
        <v>-6.4248836938469722E-3</v>
      </c>
      <c r="J627" s="13">
        <f t="shared" si="59"/>
        <v>3.9401965857335242E-3</v>
      </c>
      <c r="L627" s="15">
        <v>44096</v>
      </c>
      <c r="M627">
        <f t="shared" si="60"/>
        <v>227.1119618306144</v>
      </c>
      <c r="N627">
        <f t="shared" si="61"/>
        <v>129.97859111392336</v>
      </c>
    </row>
    <row r="628" spans="1:14" x14ac:dyDescent="0.45">
      <c r="A628" s="15">
        <v>44096</v>
      </c>
      <c r="B628">
        <v>190.14402799999999</v>
      </c>
      <c r="C628" t="b">
        <f t="shared" si="63"/>
        <v>0</v>
      </c>
      <c r="E628" s="15">
        <v>44097</v>
      </c>
      <c r="F628">
        <f t="shared" si="57"/>
        <v>191.96852100000001</v>
      </c>
      <c r="G628">
        <v>1483.079956</v>
      </c>
      <c r="I628" s="13">
        <f t="shared" si="58"/>
        <v>9.5953210794503807E-3</v>
      </c>
      <c r="J628" s="13">
        <f t="shared" si="59"/>
        <v>5.29390273924224E-3</v>
      </c>
      <c r="L628" s="15">
        <v>44097</v>
      </c>
      <c r="M628">
        <f t="shared" si="60"/>
        <v>229.29117402536303</v>
      </c>
      <c r="N628">
        <f t="shared" si="61"/>
        <v>130.6666851334642</v>
      </c>
    </row>
    <row r="629" spans="1:14" x14ac:dyDescent="0.45">
      <c r="A629" s="15">
        <v>44097</v>
      </c>
      <c r="B629">
        <v>191.96852100000001</v>
      </c>
      <c r="C629" t="b">
        <f t="shared" si="63"/>
        <v>0</v>
      </c>
      <c r="E629" s="15">
        <v>44098</v>
      </c>
      <c r="F629">
        <f t="shared" si="57"/>
        <v>189.94570899999999</v>
      </c>
      <c r="G629">
        <v>1465.209961</v>
      </c>
      <c r="I629" s="13">
        <f t="shared" si="58"/>
        <v>-1.0537206774646202E-2</v>
      </c>
      <c r="J629" s="13">
        <f t="shared" si="59"/>
        <v>-1.204924584659417E-2</v>
      </c>
      <c r="L629" s="15">
        <v>44098</v>
      </c>
      <c r="M629">
        <f t="shared" si="60"/>
        <v>226.8750855130564</v>
      </c>
      <c r="N629">
        <f t="shared" si="61"/>
        <v>129.09225012033158</v>
      </c>
    </row>
    <row r="630" spans="1:14" x14ac:dyDescent="0.45">
      <c r="A630" s="15">
        <v>44098</v>
      </c>
      <c r="B630">
        <v>189.94570899999999</v>
      </c>
      <c r="C630" t="b">
        <f t="shared" si="63"/>
        <v>0</v>
      </c>
      <c r="E630" s="15">
        <v>44099</v>
      </c>
      <c r="F630">
        <f t="shared" si="57"/>
        <v>189.74740600000001</v>
      </c>
      <c r="G630">
        <v>1472.6099850000001</v>
      </c>
      <c r="I630" s="13">
        <f t="shared" si="58"/>
        <v>-1.0439983142761511E-3</v>
      </c>
      <c r="J630" s="13">
        <f t="shared" si="59"/>
        <v>5.0504870953440584E-3</v>
      </c>
      <c r="L630" s="15">
        <v>44099</v>
      </c>
      <c r="M630">
        <f t="shared" si="60"/>
        <v>226.63822830622951</v>
      </c>
      <c r="N630">
        <f t="shared" si="61"/>
        <v>129.74422886367324</v>
      </c>
    </row>
    <row r="631" spans="1:14" x14ac:dyDescent="0.45">
      <c r="A631" s="15">
        <v>44099</v>
      </c>
      <c r="B631">
        <v>189.74740600000001</v>
      </c>
      <c r="C631" t="b">
        <f t="shared" si="63"/>
        <v>0</v>
      </c>
      <c r="E631" s="15">
        <v>44102</v>
      </c>
      <c r="F631">
        <f t="shared" si="57"/>
        <v>193.27740499999999</v>
      </c>
      <c r="G631">
        <v>1495.6899410000001</v>
      </c>
      <c r="I631" s="13">
        <f t="shared" si="58"/>
        <v>1.8603674613606902E-2</v>
      </c>
      <c r="J631" s="13">
        <f t="shared" si="59"/>
        <v>1.5672823242468992E-2</v>
      </c>
      <c r="L631" s="15">
        <v>44102</v>
      </c>
      <c r="M631">
        <f t="shared" si="60"/>
        <v>230.85453216064295</v>
      </c>
      <c r="N631">
        <f t="shared" si="61"/>
        <v>131.77768722938404</v>
      </c>
    </row>
    <row r="632" spans="1:14" x14ac:dyDescent="0.45">
      <c r="A632" s="15">
        <v>44102</v>
      </c>
      <c r="B632">
        <v>193.27740499999999</v>
      </c>
      <c r="C632" t="b">
        <f t="shared" si="63"/>
        <v>0</v>
      </c>
      <c r="E632" s="15">
        <v>44103</v>
      </c>
      <c r="F632">
        <f t="shared" si="57"/>
        <v>196.13313299999999</v>
      </c>
      <c r="G632">
        <v>1512.51001</v>
      </c>
      <c r="I632" s="13">
        <f t="shared" si="58"/>
        <v>1.4775281156118591E-2</v>
      </c>
      <c r="J632" s="13">
        <f t="shared" si="59"/>
        <v>1.1245692398488716E-2</v>
      </c>
      <c r="L632" s="15">
        <v>44103</v>
      </c>
      <c r="M632">
        <f t="shared" si="60"/>
        <v>234.26547277948066</v>
      </c>
      <c r="N632">
        <f t="shared" si="61"/>
        <v>133.25961856494996</v>
      </c>
    </row>
    <row r="633" spans="1:14" x14ac:dyDescent="0.45">
      <c r="A633" s="15">
        <v>44103</v>
      </c>
      <c r="B633">
        <v>196.13313299999999</v>
      </c>
      <c r="C633" t="b">
        <f t="shared" si="63"/>
        <v>0</v>
      </c>
      <c r="E633" s="15">
        <v>44104</v>
      </c>
      <c r="F633">
        <f t="shared" si="57"/>
        <v>204.26402300000001</v>
      </c>
      <c r="G633">
        <v>1508.3599850000001</v>
      </c>
      <c r="I633" s="13">
        <f t="shared" si="58"/>
        <v>4.1455973682937186E-2</v>
      </c>
      <c r="J633" s="13">
        <f t="shared" si="59"/>
        <v>-2.7438000228506843E-3</v>
      </c>
      <c r="L633" s="15">
        <v>44104</v>
      </c>
      <c r="M633">
        <f t="shared" si="60"/>
        <v>243.97717605384764</v>
      </c>
      <c r="N633">
        <f t="shared" si="61"/>
        <v>132.89398082048638</v>
      </c>
    </row>
    <row r="634" spans="1:14" x14ac:dyDescent="0.45">
      <c r="A634" s="15">
        <v>44104</v>
      </c>
      <c r="B634">
        <v>204.26402300000001</v>
      </c>
      <c r="C634" t="b">
        <f t="shared" si="63"/>
        <v>0</v>
      </c>
      <c r="E634" s="15">
        <v>44105</v>
      </c>
      <c r="F634">
        <f t="shared" si="57"/>
        <v>208.23031599999999</v>
      </c>
      <c r="G634">
        <v>1525.6800539999999</v>
      </c>
      <c r="I634" s="13">
        <f t="shared" si="58"/>
        <v>1.941748204968996E-2</v>
      </c>
      <c r="J634" s="13">
        <f t="shared" si="59"/>
        <v>1.1482715778886154E-2</v>
      </c>
      <c r="L634" s="15">
        <v>44105</v>
      </c>
      <c r="M634">
        <f t="shared" si="60"/>
        <v>248.71459849040727</v>
      </c>
      <c r="N634">
        <f t="shared" si="61"/>
        <v>134.41996463097277</v>
      </c>
    </row>
    <row r="635" spans="1:14" x14ac:dyDescent="0.45">
      <c r="A635" s="15">
        <v>44105</v>
      </c>
      <c r="B635">
        <v>208.23031599999999</v>
      </c>
      <c r="C635" t="b">
        <f t="shared" si="63"/>
        <v>0</v>
      </c>
      <c r="E635" s="15">
        <v>44106</v>
      </c>
      <c r="F635">
        <f t="shared" si="57"/>
        <v>208.13116500000001</v>
      </c>
      <c r="G635">
        <v>1517.839966</v>
      </c>
      <c r="I635" s="13">
        <f t="shared" si="58"/>
        <v>-4.7616025324559441E-4</v>
      </c>
      <c r="J635" s="13">
        <f t="shared" si="59"/>
        <v>-5.1387497525742232E-3</v>
      </c>
      <c r="L635" s="15">
        <v>44106</v>
      </c>
      <c r="M635">
        <f t="shared" si="60"/>
        <v>248.59617048420421</v>
      </c>
      <c r="N635">
        <f t="shared" si="61"/>
        <v>133.72921407098431</v>
      </c>
    </row>
    <row r="636" spans="1:14" x14ac:dyDescent="0.45">
      <c r="A636" s="15">
        <v>44106</v>
      </c>
      <c r="B636">
        <v>208.13116500000001</v>
      </c>
      <c r="C636" t="b">
        <f t="shared" si="63"/>
        <v>0</v>
      </c>
      <c r="E636" s="15">
        <v>44109</v>
      </c>
      <c r="F636">
        <f t="shared" si="57"/>
        <v>213.28735399999999</v>
      </c>
      <c r="G636">
        <v>1539.829956</v>
      </c>
      <c r="I636" s="13">
        <f t="shared" si="58"/>
        <v>2.4773747843096938E-2</v>
      </c>
      <c r="J636" s="13">
        <f t="shared" si="59"/>
        <v>1.4487686773692499E-2</v>
      </c>
      <c r="L636" s="15">
        <v>44109</v>
      </c>
      <c r="M636">
        <f t="shared" si="60"/>
        <v>254.75482932653941</v>
      </c>
      <c r="N636">
        <f t="shared" si="61"/>
        <v>135.6666410369368</v>
      </c>
    </row>
    <row r="637" spans="1:14" x14ac:dyDescent="0.45">
      <c r="A637" s="15">
        <v>44109</v>
      </c>
      <c r="B637">
        <v>213.28735399999999</v>
      </c>
      <c r="C637" t="b">
        <f t="shared" si="63"/>
        <v>0</v>
      </c>
      <c r="E637" s="15">
        <v>44110</v>
      </c>
      <c r="F637">
        <f t="shared" si="57"/>
        <v>210.80841100000001</v>
      </c>
      <c r="G637">
        <v>1528.290039</v>
      </c>
      <c r="I637" s="13">
        <f t="shared" si="58"/>
        <v>-1.1622550298973633E-2</v>
      </c>
      <c r="J637" s="13">
        <f t="shared" si="59"/>
        <v>-7.4942801021855576E-3</v>
      </c>
      <c r="L637" s="15">
        <v>44110</v>
      </c>
      <c r="M637">
        <f t="shared" si="60"/>
        <v>251.79392850878526</v>
      </c>
      <c r="N637">
        <f t="shared" si="61"/>
        <v>134.64991722848333</v>
      </c>
    </row>
    <row r="638" spans="1:14" x14ac:dyDescent="0.45">
      <c r="A638" s="15">
        <v>44110</v>
      </c>
      <c r="B638">
        <v>210.80841100000001</v>
      </c>
      <c r="C638" t="b">
        <f t="shared" si="63"/>
        <v>0</v>
      </c>
      <c r="E638" s="15">
        <v>44111</v>
      </c>
      <c r="F638">
        <f t="shared" si="57"/>
        <v>217.65025299999999</v>
      </c>
      <c r="G638">
        <v>1536.630005</v>
      </c>
      <c r="I638" s="13">
        <f t="shared" si="58"/>
        <v>3.2455260999998625E-2</v>
      </c>
      <c r="J638" s="13">
        <f t="shared" si="59"/>
        <v>5.4570570946448349E-3</v>
      </c>
      <c r="L638" s="15">
        <v>44111</v>
      </c>
      <c r="M638">
        <f t="shared" si="60"/>
        <v>259.96596617675289</v>
      </c>
      <c r="N638">
        <f t="shared" si="61"/>
        <v>135.38470951458837</v>
      </c>
    </row>
    <row r="639" spans="1:14" x14ac:dyDescent="0.45">
      <c r="A639" s="15">
        <v>44111</v>
      </c>
      <c r="B639">
        <v>217.65025299999999</v>
      </c>
      <c r="C639" t="b">
        <f t="shared" si="63"/>
        <v>0</v>
      </c>
      <c r="E639" s="15">
        <v>44112</v>
      </c>
      <c r="F639">
        <f t="shared" si="57"/>
        <v>219.83171100000001</v>
      </c>
      <c r="G639">
        <v>1549.3100589999999</v>
      </c>
      <c r="I639" s="13">
        <f t="shared" si="58"/>
        <v>1.0022768041533237E-2</v>
      </c>
      <c r="J639" s="13">
        <f t="shared" si="59"/>
        <v>8.2518589112152707E-3</v>
      </c>
      <c r="L639" s="15">
        <v>44112</v>
      </c>
      <c r="M639">
        <f t="shared" si="60"/>
        <v>262.57154475443554</v>
      </c>
      <c r="N639">
        <f t="shared" si="61"/>
        <v>136.5018850362386</v>
      </c>
    </row>
    <row r="640" spans="1:14" x14ac:dyDescent="0.45">
      <c r="A640" s="15">
        <v>44112</v>
      </c>
      <c r="B640">
        <v>219.83171100000001</v>
      </c>
      <c r="C640" t="b">
        <f t="shared" si="63"/>
        <v>0</v>
      </c>
      <c r="E640" s="15">
        <v>44113</v>
      </c>
      <c r="F640">
        <f t="shared" si="57"/>
        <v>216.162903</v>
      </c>
      <c r="G640">
        <v>1565.079956</v>
      </c>
      <c r="I640" s="13">
        <f t="shared" si="58"/>
        <v>-1.6689166377820808E-2</v>
      </c>
      <c r="J640" s="13">
        <f t="shared" si="59"/>
        <v>1.0178657853792572E-2</v>
      </c>
      <c r="L640" s="15">
        <v>44113</v>
      </c>
      <c r="M640">
        <f t="shared" si="60"/>
        <v>258.18944455794735</v>
      </c>
      <c r="N640">
        <f t="shared" si="61"/>
        <v>137.8912910204202</v>
      </c>
    </row>
    <row r="641" spans="1:14" x14ac:dyDescent="0.45">
      <c r="A641" s="15">
        <v>44113</v>
      </c>
      <c r="B641">
        <v>216.162903</v>
      </c>
      <c r="C641" t="b">
        <f t="shared" si="63"/>
        <v>0</v>
      </c>
      <c r="E641" s="15">
        <v>44116</v>
      </c>
      <c r="F641">
        <f t="shared" si="57"/>
        <v>224.29379299999999</v>
      </c>
      <c r="G641">
        <v>1597.1099850000001</v>
      </c>
      <c r="I641" s="13">
        <f t="shared" si="58"/>
        <v>3.7614641028391516E-2</v>
      </c>
      <c r="J641" s="13">
        <f t="shared" si="59"/>
        <v>2.0465426623865079E-2</v>
      </c>
      <c r="L641" s="15">
        <v>44116</v>
      </c>
      <c r="M641">
        <f t="shared" si="60"/>
        <v>267.90114783231434</v>
      </c>
      <c r="N641">
        <f t="shared" si="61"/>
        <v>140.71329511886864</v>
      </c>
    </row>
    <row r="642" spans="1:14" x14ac:dyDescent="0.45">
      <c r="A642" s="15">
        <v>44116</v>
      </c>
      <c r="B642">
        <v>224.29379299999999</v>
      </c>
      <c r="C642" t="b">
        <f t="shared" si="63"/>
        <v>0</v>
      </c>
      <c r="E642" s="15">
        <v>44117</v>
      </c>
      <c r="F642">
        <f t="shared" si="57"/>
        <v>224.09549000000001</v>
      </c>
      <c r="G642">
        <v>1597</v>
      </c>
      <c r="I642" s="13">
        <f t="shared" si="58"/>
        <v>-8.8412165734774728E-4</v>
      </c>
      <c r="J642" s="13">
        <f t="shared" si="59"/>
        <v>-6.886501307545867E-5</v>
      </c>
      <c r="L642" s="15">
        <v>44117</v>
      </c>
      <c r="M642">
        <f t="shared" si="60"/>
        <v>267.66429062548747</v>
      </c>
      <c r="N642">
        <f t="shared" si="61"/>
        <v>140.70360489596038</v>
      </c>
    </row>
    <row r="643" spans="1:14" x14ac:dyDescent="0.45">
      <c r="A643" s="15">
        <v>44117</v>
      </c>
      <c r="B643">
        <v>224.09549000000001</v>
      </c>
      <c r="C643" t="b">
        <f t="shared" si="63"/>
        <v>0</v>
      </c>
      <c r="E643" s="15">
        <v>44118</v>
      </c>
      <c r="F643">
        <f t="shared" ref="F643:F706" si="64">VLOOKUP(E643,A643:B1882,2,0)</f>
        <v>229.64830000000001</v>
      </c>
      <c r="G643">
        <v>1598.2700199999999</v>
      </c>
      <c r="I643" s="13">
        <f t="shared" si="58"/>
        <v>2.4778767301385729E-2</v>
      </c>
      <c r="J643" s="13">
        <f t="shared" si="59"/>
        <v>7.9525360050092253E-4</v>
      </c>
      <c r="L643" s="15">
        <v>44118</v>
      </c>
      <c r="M643">
        <f t="shared" si="60"/>
        <v>274.2966817977869</v>
      </c>
      <c r="N643">
        <f t="shared" si="61"/>
        <v>140.81549994435736</v>
      </c>
    </row>
    <row r="644" spans="1:14" x14ac:dyDescent="0.45">
      <c r="A644" s="15">
        <v>44118</v>
      </c>
      <c r="B644">
        <v>229.64830000000001</v>
      </c>
      <c r="C644" t="b">
        <f t="shared" si="63"/>
        <v>0</v>
      </c>
      <c r="E644" s="15">
        <v>44119</v>
      </c>
      <c r="F644">
        <f t="shared" si="64"/>
        <v>224.09549000000001</v>
      </c>
      <c r="G644">
        <v>1570.790039</v>
      </c>
      <c r="I644" s="13">
        <f t="shared" ref="I644:I707" si="65">F644/F643-1</f>
        <v>-2.4179625975894403E-2</v>
      </c>
      <c r="J644" s="13">
        <f t="shared" ref="J644:J707" si="66">G644/G643-1</f>
        <v>-1.7193578466797477E-2</v>
      </c>
      <c r="L644" s="15">
        <v>44119</v>
      </c>
      <c r="M644">
        <f t="shared" ref="M644:M707" si="67">M643*(1+I644)</f>
        <v>267.66429062548747</v>
      </c>
      <c r="N644">
        <f t="shared" ref="N644:N707" si="68">N643*(1+J644)</f>
        <v>138.39437759672273</v>
      </c>
    </row>
    <row r="645" spans="1:14" x14ac:dyDescent="0.45">
      <c r="A645" s="15">
        <v>44119</v>
      </c>
      <c r="B645">
        <v>224.09549000000001</v>
      </c>
      <c r="C645" t="b">
        <f t="shared" si="63"/>
        <v>0</v>
      </c>
      <c r="E645" s="15">
        <v>44120</v>
      </c>
      <c r="F645">
        <f t="shared" si="64"/>
        <v>224.69042999999999</v>
      </c>
      <c r="G645">
        <v>1579.130005</v>
      </c>
      <c r="I645" s="13">
        <f t="shared" si="65"/>
        <v>2.6548503943564228E-3</v>
      </c>
      <c r="J645" s="13">
        <f t="shared" si="66"/>
        <v>5.309408509688085E-3</v>
      </c>
      <c r="L645" s="15">
        <v>44120</v>
      </c>
      <c r="M645">
        <f t="shared" si="67"/>
        <v>268.3748992730097</v>
      </c>
      <c r="N645">
        <f t="shared" si="68"/>
        <v>139.12916988282777</v>
      </c>
    </row>
    <row r="646" spans="1:14" x14ac:dyDescent="0.45">
      <c r="A646" s="15">
        <v>44120</v>
      </c>
      <c r="B646">
        <v>224.69042999999999</v>
      </c>
      <c r="C646" t="b">
        <f t="shared" si="63"/>
        <v>0</v>
      </c>
      <c r="E646" s="15">
        <v>44123</v>
      </c>
      <c r="F646">
        <f t="shared" si="64"/>
        <v>222.608124</v>
      </c>
      <c r="G646">
        <v>1569.76001</v>
      </c>
      <c r="I646" s="13">
        <f t="shared" si="65"/>
        <v>-9.2674441007567498E-3</v>
      </c>
      <c r="J646" s="13">
        <f t="shared" si="66"/>
        <v>-5.9336438230745969E-3</v>
      </c>
      <c r="L646" s="15">
        <v>44123</v>
      </c>
      <c r="M646">
        <f t="shared" si="67"/>
        <v>265.88774989595089</v>
      </c>
      <c r="N646">
        <f t="shared" si="68"/>
        <v>138.30362694334303</v>
      </c>
    </row>
    <row r="647" spans="1:14" x14ac:dyDescent="0.45">
      <c r="A647" s="15">
        <v>44123</v>
      </c>
      <c r="B647">
        <v>222.608124</v>
      </c>
      <c r="C647" t="b">
        <f t="shared" si="63"/>
        <v>0</v>
      </c>
      <c r="E647" s="15">
        <v>44124</v>
      </c>
      <c r="F647">
        <f t="shared" si="64"/>
        <v>221.71571399999999</v>
      </c>
      <c r="G647">
        <v>1566.8900149999999</v>
      </c>
      <c r="I647" s="13">
        <f t="shared" si="65"/>
        <v>-4.0088833415622416E-3</v>
      </c>
      <c r="J647" s="13">
        <f t="shared" si="66"/>
        <v>-1.8283017669687984E-3</v>
      </c>
      <c r="L647" s="15">
        <v>44124</v>
      </c>
      <c r="M647">
        <f t="shared" si="67"/>
        <v>264.82183692466754</v>
      </c>
      <c r="N647">
        <f t="shared" si="68"/>
        <v>138.05076617782433</v>
      </c>
    </row>
    <row r="648" spans="1:14" x14ac:dyDescent="0.45">
      <c r="A648" s="15">
        <v>44124</v>
      </c>
      <c r="B648">
        <v>221.71571399999999</v>
      </c>
      <c r="C648" t="b">
        <f t="shared" si="63"/>
        <v>0</v>
      </c>
      <c r="E648" s="15">
        <v>44125</v>
      </c>
      <c r="F648">
        <f t="shared" si="64"/>
        <v>215.76628099999999</v>
      </c>
      <c r="G648">
        <v>1541.219971</v>
      </c>
      <c r="I648" s="13">
        <f t="shared" si="65"/>
        <v>-2.6833609998432539E-2</v>
      </c>
      <c r="J648" s="13">
        <f t="shared" si="66"/>
        <v>-1.6382798890961059E-2</v>
      </c>
      <c r="L648" s="15">
        <v>44125</v>
      </c>
      <c r="M648">
        <f t="shared" si="67"/>
        <v>257.71571103356251</v>
      </c>
      <c r="N648">
        <f t="shared" si="68"/>
        <v>135.78910823878994</v>
      </c>
    </row>
    <row r="649" spans="1:14" x14ac:dyDescent="0.45">
      <c r="A649" s="15">
        <v>44125</v>
      </c>
      <c r="B649">
        <v>215.76628099999999</v>
      </c>
      <c r="C649" t="b">
        <f t="shared" si="63"/>
        <v>0</v>
      </c>
      <c r="E649" s="15">
        <v>44126</v>
      </c>
      <c r="F649">
        <f t="shared" si="64"/>
        <v>210.015152</v>
      </c>
      <c r="G649">
        <v>1526.3599850000001</v>
      </c>
      <c r="I649" s="13">
        <f t="shared" si="65"/>
        <v>-2.6654438188142948E-2</v>
      </c>
      <c r="J649" s="13">
        <f t="shared" si="66"/>
        <v>-9.6417035073573798E-3</v>
      </c>
      <c r="L649" s="15">
        <v>44126</v>
      </c>
      <c r="M649">
        <f t="shared" si="67"/>
        <v>250.84644354370511</v>
      </c>
      <c r="N649">
        <f t="shared" si="68"/>
        <v>134.47986991762306</v>
      </c>
    </row>
    <row r="650" spans="1:14" x14ac:dyDescent="0.45">
      <c r="A650" s="15">
        <v>44126</v>
      </c>
      <c r="B650">
        <v>210.015152</v>
      </c>
      <c r="C650" t="b">
        <f t="shared" ref="C650:C681" si="69">E648=A650</f>
        <v>0</v>
      </c>
      <c r="E650" s="15">
        <v>44127</v>
      </c>
      <c r="F650">
        <f t="shared" si="64"/>
        <v>210.61009200000001</v>
      </c>
      <c r="G650">
        <v>1529.23999</v>
      </c>
      <c r="I650" s="13">
        <f t="shared" si="65"/>
        <v>2.8328432226643052E-3</v>
      </c>
      <c r="J650" s="13">
        <f t="shared" si="66"/>
        <v>1.8868451926823404E-3</v>
      </c>
      <c r="L650" s="15">
        <v>44127</v>
      </c>
      <c r="M650">
        <f t="shared" si="67"/>
        <v>251.55705219122734</v>
      </c>
      <c r="N650">
        <f t="shared" si="68"/>
        <v>134.73361261368967</v>
      </c>
    </row>
    <row r="651" spans="1:14" x14ac:dyDescent="0.45">
      <c r="A651" s="15">
        <v>44127</v>
      </c>
      <c r="B651">
        <v>210.61009200000001</v>
      </c>
      <c r="C651" t="b">
        <f t="shared" si="69"/>
        <v>0</v>
      </c>
      <c r="E651" s="15">
        <v>44130</v>
      </c>
      <c r="F651">
        <f t="shared" si="64"/>
        <v>204.26402300000001</v>
      </c>
      <c r="G651">
        <v>1501.829956</v>
      </c>
      <c r="I651" s="13">
        <f t="shared" si="65"/>
        <v>-3.0131837177109211E-2</v>
      </c>
      <c r="J651" s="13">
        <f t="shared" si="66"/>
        <v>-1.7923958423294972E-2</v>
      </c>
      <c r="L651" s="15">
        <v>44130</v>
      </c>
      <c r="M651">
        <f t="shared" si="67"/>
        <v>243.97717605384773</v>
      </c>
      <c r="N651">
        <f t="shared" si="68"/>
        <v>132.31865294298157</v>
      </c>
    </row>
    <row r="652" spans="1:14" x14ac:dyDescent="0.45">
      <c r="A652" s="15">
        <v>44130</v>
      </c>
      <c r="B652">
        <v>204.26402300000001</v>
      </c>
      <c r="C652" t="b">
        <f t="shared" si="69"/>
        <v>0</v>
      </c>
      <c r="E652" s="15">
        <v>44131</v>
      </c>
      <c r="F652">
        <f t="shared" si="64"/>
        <v>206.247162</v>
      </c>
      <c r="G652">
        <v>1501.660034</v>
      </c>
      <c r="I652" s="13">
        <f t="shared" si="65"/>
        <v>9.7087043076595769E-3</v>
      </c>
      <c r="J652" s="13">
        <f t="shared" si="66"/>
        <v>-1.1314330182399246E-4</v>
      </c>
      <c r="L652" s="15">
        <v>44131</v>
      </c>
      <c r="M652">
        <f t="shared" si="67"/>
        <v>246.34587831397235</v>
      </c>
      <c r="N652">
        <f t="shared" si="68"/>
        <v>132.30368197369469</v>
      </c>
    </row>
    <row r="653" spans="1:14" x14ac:dyDescent="0.45">
      <c r="A653" s="15">
        <v>44131</v>
      </c>
      <c r="B653">
        <v>206.247162</v>
      </c>
      <c r="C653" t="b">
        <f t="shared" si="69"/>
        <v>0</v>
      </c>
      <c r="E653" s="15">
        <v>44132</v>
      </c>
      <c r="F653">
        <f t="shared" si="64"/>
        <v>201.88426200000001</v>
      </c>
      <c r="G653">
        <v>1464.51001</v>
      </c>
      <c r="I653" s="13">
        <f t="shared" si="65"/>
        <v>-2.1153745620994258E-2</v>
      </c>
      <c r="J653" s="13">
        <f t="shared" si="66"/>
        <v>-2.4739303942879043E-2</v>
      </c>
      <c r="L653" s="15">
        <v>44132</v>
      </c>
      <c r="M653">
        <f t="shared" si="67"/>
        <v>241.13474026933818</v>
      </c>
      <c r="N653">
        <f t="shared" si="68"/>
        <v>129.03058097258545</v>
      </c>
    </row>
    <row r="654" spans="1:14" x14ac:dyDescent="0.45">
      <c r="A654" s="15">
        <v>44132</v>
      </c>
      <c r="B654">
        <v>201.88426200000001</v>
      </c>
      <c r="C654" t="b">
        <f t="shared" si="69"/>
        <v>0</v>
      </c>
      <c r="E654" s="15">
        <v>44133</v>
      </c>
      <c r="F654">
        <f t="shared" si="64"/>
        <v>217.25363200000001</v>
      </c>
      <c r="G654">
        <v>1493.910034</v>
      </c>
      <c r="I654" s="13">
        <f t="shared" si="65"/>
        <v>7.6129609350133576E-2</v>
      </c>
      <c r="J654" s="13">
        <f t="shared" si="66"/>
        <v>2.0074990132706638E-2</v>
      </c>
      <c r="L654" s="15">
        <v>44133</v>
      </c>
      <c r="M654">
        <f t="shared" si="67"/>
        <v>259.49223384678879</v>
      </c>
      <c r="N654">
        <f t="shared" si="68"/>
        <v>131.6208686124275</v>
      </c>
    </row>
    <row r="655" spans="1:14" x14ac:dyDescent="0.45">
      <c r="A655" s="15">
        <v>44133</v>
      </c>
      <c r="B655">
        <v>217.25363200000001</v>
      </c>
      <c r="C655" t="b">
        <f t="shared" si="69"/>
        <v>0</v>
      </c>
      <c r="E655" s="15">
        <v>44134</v>
      </c>
      <c r="F655">
        <f t="shared" si="64"/>
        <v>216.36120600000001</v>
      </c>
      <c r="G655">
        <v>1485.1099850000001</v>
      </c>
      <c r="I655" s="13">
        <f t="shared" si="65"/>
        <v>-4.1077610154752753E-3</v>
      </c>
      <c r="J655" s="13">
        <f t="shared" si="66"/>
        <v>-5.8906150971069771E-3</v>
      </c>
      <c r="L655" s="15">
        <v>44134</v>
      </c>
      <c r="M655">
        <f t="shared" si="67"/>
        <v>258.42630176477434</v>
      </c>
      <c r="N655">
        <f t="shared" si="68"/>
        <v>130.8455407366848</v>
      </c>
    </row>
    <row r="656" spans="1:14" x14ac:dyDescent="0.45">
      <c r="A656" s="15">
        <v>44134</v>
      </c>
      <c r="B656">
        <v>216.36120600000001</v>
      </c>
      <c r="C656" t="b">
        <f t="shared" si="69"/>
        <v>0</v>
      </c>
      <c r="E656" s="15">
        <v>44137</v>
      </c>
      <c r="F656">
        <f t="shared" si="64"/>
        <v>212.49408</v>
      </c>
      <c r="G656">
        <v>1497.089966</v>
      </c>
      <c r="I656" s="13">
        <f t="shared" si="65"/>
        <v>-1.7873472197229345E-2</v>
      </c>
      <c r="J656" s="13">
        <f t="shared" si="66"/>
        <v>8.0667298186671843E-3</v>
      </c>
      <c r="L656" s="15">
        <v>44137</v>
      </c>
      <c r="M656">
        <f t="shared" si="67"/>
        <v>253.80732644514885</v>
      </c>
      <c r="N656">
        <f t="shared" si="68"/>
        <v>131.90103636178503</v>
      </c>
    </row>
    <row r="657" spans="1:14" x14ac:dyDescent="0.45">
      <c r="A657" s="15">
        <v>44137</v>
      </c>
      <c r="B657">
        <v>212.49408</v>
      </c>
      <c r="C657" t="b">
        <f t="shared" si="69"/>
        <v>0</v>
      </c>
      <c r="E657" s="15">
        <v>44138</v>
      </c>
      <c r="F657">
        <f t="shared" si="64"/>
        <v>220.92243999999999</v>
      </c>
      <c r="G657">
        <v>1514.1099850000001</v>
      </c>
      <c r="I657" s="13">
        <f t="shared" si="65"/>
        <v>3.966397557993151E-2</v>
      </c>
      <c r="J657" s="13">
        <f t="shared" si="66"/>
        <v>1.1368734936802127E-2</v>
      </c>
      <c r="L657" s="15">
        <v>44138</v>
      </c>
      <c r="M657">
        <f t="shared" si="67"/>
        <v>263.87433404327692</v>
      </c>
      <c r="N657">
        <f t="shared" si="68"/>
        <v>133.40058428207166</v>
      </c>
    </row>
    <row r="658" spans="1:14" x14ac:dyDescent="0.45">
      <c r="A658" s="15">
        <v>44138</v>
      </c>
      <c r="B658">
        <v>220.92243999999999</v>
      </c>
      <c r="C658" t="b">
        <f t="shared" si="69"/>
        <v>0</v>
      </c>
      <c r="E658" s="15">
        <v>44139</v>
      </c>
      <c r="F658">
        <f t="shared" si="64"/>
        <v>213.188187</v>
      </c>
      <c r="G658">
        <v>1555.23999</v>
      </c>
      <c r="I658" s="13">
        <f t="shared" si="65"/>
        <v>-3.5008906293086395E-2</v>
      </c>
      <c r="J658" s="13">
        <f t="shared" si="66"/>
        <v>2.7164476430026285E-2</v>
      </c>
      <c r="L658" s="15">
        <v>44139</v>
      </c>
      <c r="M658">
        <f t="shared" si="67"/>
        <v>254.63638220960524</v>
      </c>
      <c r="N658">
        <f t="shared" si="68"/>
        <v>137.02434130955373</v>
      </c>
    </row>
    <row r="659" spans="1:14" x14ac:dyDescent="0.45">
      <c r="A659" s="15">
        <v>44139</v>
      </c>
      <c r="B659">
        <v>213.188187</v>
      </c>
      <c r="C659" t="b">
        <f t="shared" si="69"/>
        <v>0</v>
      </c>
      <c r="E659" s="15">
        <v>44140</v>
      </c>
      <c r="F659">
        <f t="shared" si="64"/>
        <v>228.55755600000001</v>
      </c>
      <c r="G659">
        <v>1593.26001</v>
      </c>
      <c r="I659" s="13">
        <f t="shared" si="65"/>
        <v>7.2092967327500146E-2</v>
      </c>
      <c r="J659" s="13">
        <f t="shared" si="66"/>
        <v>2.4446400712728522E-2</v>
      </c>
      <c r="L659" s="15">
        <v>44140</v>
      </c>
      <c r="M659">
        <f t="shared" si="67"/>
        <v>272.99387459263517</v>
      </c>
      <c r="N659">
        <f t="shared" si="68"/>
        <v>140.37409326460477</v>
      </c>
    </row>
    <row r="660" spans="1:14" x14ac:dyDescent="0.45">
      <c r="A660" s="15">
        <v>44140</v>
      </c>
      <c r="B660">
        <v>228.55755600000001</v>
      </c>
      <c r="C660" t="b">
        <f t="shared" si="69"/>
        <v>0</v>
      </c>
      <c r="E660" s="15">
        <v>44141</v>
      </c>
      <c r="F660">
        <f t="shared" si="64"/>
        <v>228.359253</v>
      </c>
      <c r="G660">
        <v>1586.329956</v>
      </c>
      <c r="I660" s="13">
        <f t="shared" si="65"/>
        <v>-8.6762828352959787E-4</v>
      </c>
      <c r="J660" s="13">
        <f t="shared" si="66"/>
        <v>-4.3496064399431988E-3</v>
      </c>
      <c r="L660" s="15">
        <v>44141</v>
      </c>
      <c r="M660">
        <f t="shared" si="67"/>
        <v>272.75701738580824</v>
      </c>
      <c r="N660">
        <f t="shared" si="68"/>
        <v>139.76352120453984</v>
      </c>
    </row>
    <row r="661" spans="1:14" x14ac:dyDescent="0.45">
      <c r="A661" s="15">
        <v>44141</v>
      </c>
      <c r="B661">
        <v>228.359253</v>
      </c>
      <c r="C661" t="b">
        <f t="shared" si="69"/>
        <v>0</v>
      </c>
      <c r="E661" s="15">
        <v>44144</v>
      </c>
      <c r="F661">
        <f t="shared" si="64"/>
        <v>222.013184</v>
      </c>
      <c r="G661">
        <v>1562.98999</v>
      </c>
      <c r="I661" s="13">
        <f t="shared" si="65"/>
        <v>-2.7789848305380449E-2</v>
      </c>
      <c r="J661" s="13">
        <f t="shared" si="66"/>
        <v>-1.471318492834417E-2</v>
      </c>
      <c r="L661" s="15">
        <v>44144</v>
      </c>
      <c r="M661">
        <f t="shared" si="67"/>
        <v>265.1771412484286</v>
      </c>
      <c r="N661">
        <f t="shared" si="68"/>
        <v>137.7071546708209</v>
      </c>
    </row>
    <row r="662" spans="1:14" x14ac:dyDescent="0.45">
      <c r="A662" s="15">
        <v>44144</v>
      </c>
      <c r="B662">
        <v>222.013184</v>
      </c>
      <c r="C662" t="b">
        <f t="shared" si="69"/>
        <v>0</v>
      </c>
      <c r="E662" s="15">
        <v>44145</v>
      </c>
      <c r="F662">
        <f t="shared" si="64"/>
        <v>224.888733</v>
      </c>
      <c r="G662">
        <v>1552.160034</v>
      </c>
      <c r="I662" s="13">
        <f t="shared" si="65"/>
        <v>1.2952154228822677E-2</v>
      </c>
      <c r="J662" s="13">
        <f t="shared" si="66"/>
        <v>-6.9289989502747673E-3</v>
      </c>
      <c r="L662" s="15">
        <v>44145</v>
      </c>
      <c r="M662">
        <f t="shared" si="67"/>
        <v>268.61175647983652</v>
      </c>
      <c r="N662">
        <f t="shared" si="68"/>
        <v>136.75298194066144</v>
      </c>
    </row>
    <row r="663" spans="1:14" x14ac:dyDescent="0.45">
      <c r="A663" s="15">
        <v>44145</v>
      </c>
      <c r="B663">
        <v>224.888733</v>
      </c>
      <c r="C663" t="b">
        <f t="shared" si="69"/>
        <v>0</v>
      </c>
      <c r="E663" s="15">
        <v>44146</v>
      </c>
      <c r="F663">
        <f t="shared" si="64"/>
        <v>233.51542699999999</v>
      </c>
      <c r="G663">
        <v>1579.119995</v>
      </c>
      <c r="I663" s="13">
        <f t="shared" si="65"/>
        <v>3.835983192630632E-2</v>
      </c>
      <c r="J663" s="13">
        <f t="shared" si="66"/>
        <v>1.7369317859913469E-2</v>
      </c>
      <c r="L663" s="15">
        <v>44146</v>
      </c>
      <c r="M663">
        <f t="shared" si="67"/>
        <v>278.91565831183294</v>
      </c>
      <c r="N663">
        <f t="shared" si="68"/>
        <v>139.12828795227981</v>
      </c>
    </row>
    <row r="664" spans="1:14" x14ac:dyDescent="0.45">
      <c r="A664" s="15">
        <v>44146</v>
      </c>
      <c r="B664">
        <v>233.51542699999999</v>
      </c>
      <c r="C664" t="b">
        <f t="shared" si="69"/>
        <v>0</v>
      </c>
      <c r="E664" s="15">
        <v>44147</v>
      </c>
      <c r="F664">
        <f t="shared" si="64"/>
        <v>235.101944</v>
      </c>
      <c r="G664">
        <v>1585.5699460000001</v>
      </c>
      <c r="I664" s="13">
        <f t="shared" si="65"/>
        <v>6.7940564800457182E-3</v>
      </c>
      <c r="J664" s="13">
        <f t="shared" si="66"/>
        <v>4.0845224051513362E-3</v>
      </c>
      <c r="L664" s="15">
        <v>44147</v>
      </c>
      <c r="M664">
        <f t="shared" si="67"/>
        <v>280.81062704757267</v>
      </c>
      <c r="N664">
        <f t="shared" si="68"/>
        <v>139.69656056161125</v>
      </c>
    </row>
    <row r="665" spans="1:14" x14ac:dyDescent="0.45">
      <c r="A665" s="15">
        <v>44147</v>
      </c>
      <c r="B665">
        <v>235.101944</v>
      </c>
      <c r="C665" t="b">
        <f t="shared" si="69"/>
        <v>0</v>
      </c>
      <c r="E665" s="15">
        <v>44148</v>
      </c>
      <c r="F665">
        <f t="shared" si="64"/>
        <v>232.52384900000001</v>
      </c>
      <c r="G665">
        <v>1578.9399410000001</v>
      </c>
      <c r="I665" s="13">
        <f t="shared" si="65"/>
        <v>-1.0965859984552018E-2</v>
      </c>
      <c r="J665" s="13">
        <f t="shared" si="66"/>
        <v>-4.1814648522607856E-3</v>
      </c>
      <c r="L665" s="15">
        <v>44148</v>
      </c>
      <c r="M665">
        <f t="shared" si="67"/>
        <v>277.73129702919471</v>
      </c>
      <c r="N665">
        <f t="shared" si="68"/>
        <v>139.11242430364115</v>
      </c>
    </row>
    <row r="666" spans="1:14" x14ac:dyDescent="0.45">
      <c r="A666" s="15">
        <v>44148</v>
      </c>
      <c r="B666">
        <v>232.52384900000001</v>
      </c>
      <c r="C666" t="b">
        <f t="shared" si="69"/>
        <v>0</v>
      </c>
      <c r="E666" s="15">
        <v>44151</v>
      </c>
      <c r="F666">
        <f t="shared" si="64"/>
        <v>229.25166300000001</v>
      </c>
      <c r="G666">
        <v>1570.6999510000001</v>
      </c>
      <c r="I666" s="13">
        <f t="shared" si="65"/>
        <v>-1.4072474776555044E-2</v>
      </c>
      <c r="J666" s="13">
        <f t="shared" si="66"/>
        <v>-5.2186848822010079E-3</v>
      </c>
      <c r="L666" s="15">
        <v>44151</v>
      </c>
      <c r="M666">
        <f t="shared" si="67"/>
        <v>273.82293035709142</v>
      </c>
      <c r="N666">
        <f t="shared" si="68"/>
        <v>138.38644039800141</v>
      </c>
    </row>
    <row r="667" spans="1:14" x14ac:dyDescent="0.45">
      <c r="A667" s="15">
        <v>44151</v>
      </c>
      <c r="B667">
        <v>229.25166300000001</v>
      </c>
      <c r="C667" t="b">
        <f t="shared" si="69"/>
        <v>0</v>
      </c>
      <c r="E667" s="15">
        <v>44152</v>
      </c>
      <c r="F667">
        <f t="shared" si="64"/>
        <v>229.35083</v>
      </c>
      <c r="G667">
        <v>1564.25</v>
      </c>
      <c r="I667" s="13">
        <f t="shared" si="65"/>
        <v>4.3256829068227809E-4</v>
      </c>
      <c r="J667" s="13">
        <f t="shared" si="66"/>
        <v>-4.1064182856144216E-3</v>
      </c>
      <c r="L667" s="15">
        <v>44152</v>
      </c>
      <c r="M667">
        <f t="shared" si="67"/>
        <v>273.94137747402561</v>
      </c>
      <c r="N667">
        <f t="shared" si="68"/>
        <v>137.81816778866997</v>
      </c>
    </row>
    <row r="668" spans="1:14" x14ac:dyDescent="0.45">
      <c r="A668" s="15">
        <v>44152</v>
      </c>
      <c r="B668">
        <v>229.35083</v>
      </c>
      <c r="C668" t="b">
        <f t="shared" si="69"/>
        <v>0</v>
      </c>
      <c r="E668" s="15">
        <v>44153</v>
      </c>
      <c r="F668">
        <f t="shared" si="64"/>
        <v>231.036484</v>
      </c>
      <c r="G668">
        <v>1564.5500489999999</v>
      </c>
      <c r="I668" s="13">
        <f t="shared" si="65"/>
        <v>7.3496747319379274E-3</v>
      </c>
      <c r="J668" s="13">
        <f t="shared" si="66"/>
        <v>1.9181652549149497E-4</v>
      </c>
      <c r="L668" s="15">
        <v>44153</v>
      </c>
      <c r="M668">
        <f t="shared" si="67"/>
        <v>275.95475749407871</v>
      </c>
      <c r="N668">
        <f t="shared" si="68"/>
        <v>137.84460359076479</v>
      </c>
    </row>
    <row r="669" spans="1:14" x14ac:dyDescent="0.45">
      <c r="A669" s="15">
        <v>44153</v>
      </c>
      <c r="B669">
        <v>231.036484</v>
      </c>
      <c r="C669" t="b">
        <f t="shared" si="69"/>
        <v>0</v>
      </c>
      <c r="E669" s="15">
        <v>44154</v>
      </c>
      <c r="F669">
        <f t="shared" si="64"/>
        <v>236.39097599999999</v>
      </c>
      <c r="G669">
        <v>1569.969971</v>
      </c>
      <c r="I669" s="13">
        <f t="shared" si="65"/>
        <v>2.3175958650755835E-2</v>
      </c>
      <c r="J669" s="13">
        <f t="shared" si="66"/>
        <v>3.4642049344884018E-3</v>
      </c>
      <c r="L669" s="15">
        <v>44154</v>
      </c>
      <c r="M669">
        <f t="shared" si="67"/>
        <v>282.3502735432408</v>
      </c>
      <c r="N669">
        <f t="shared" si="68"/>
        <v>138.32212554671651</v>
      </c>
    </row>
    <row r="670" spans="1:14" x14ac:dyDescent="0.45">
      <c r="A670" s="15">
        <v>44154</v>
      </c>
      <c r="B670">
        <v>236.39097599999999</v>
      </c>
      <c r="C670" t="b">
        <f t="shared" si="69"/>
        <v>0</v>
      </c>
      <c r="E670" s="15">
        <v>44155</v>
      </c>
      <c r="F670">
        <f t="shared" si="64"/>
        <v>246.306702</v>
      </c>
      <c r="G670">
        <v>1595.7700199999999</v>
      </c>
      <c r="I670" s="13">
        <f t="shared" si="65"/>
        <v>4.1946296630206437E-2</v>
      </c>
      <c r="J670" s="13">
        <f t="shared" si="66"/>
        <v>1.6433466548131825E-2</v>
      </c>
      <c r="L670" s="15">
        <v>44155</v>
      </c>
      <c r="M670">
        <f t="shared" si="67"/>
        <v>294.19382187090554</v>
      </c>
      <c r="N670">
        <f t="shared" si="68"/>
        <v>140.59523756975497</v>
      </c>
    </row>
    <row r="671" spans="1:14" x14ac:dyDescent="0.45">
      <c r="A671" s="15">
        <v>44155</v>
      </c>
      <c r="B671">
        <v>246.306702</v>
      </c>
      <c r="C671" t="b">
        <f t="shared" si="69"/>
        <v>0</v>
      </c>
      <c r="E671" s="15">
        <v>44158</v>
      </c>
      <c r="F671">
        <f t="shared" si="64"/>
        <v>243.530304</v>
      </c>
      <c r="G671">
        <v>1582.0600589999999</v>
      </c>
      <c r="I671" s="13">
        <f t="shared" si="65"/>
        <v>-1.1272117150917027E-2</v>
      </c>
      <c r="J671" s="13">
        <f t="shared" si="66"/>
        <v>-8.591439134819745E-3</v>
      </c>
      <c r="L671" s="15">
        <v>44158</v>
      </c>
      <c r="M671">
        <f t="shared" si="67"/>
        <v>290.87763464570065</v>
      </c>
      <c r="N671">
        <f t="shared" si="68"/>
        <v>139.38732214352891</v>
      </c>
    </row>
    <row r="672" spans="1:14" x14ac:dyDescent="0.45">
      <c r="A672" s="15">
        <v>44158</v>
      </c>
      <c r="B672">
        <v>243.530304</v>
      </c>
      <c r="C672" t="b">
        <f t="shared" si="69"/>
        <v>0</v>
      </c>
      <c r="E672" s="15">
        <v>44159</v>
      </c>
      <c r="F672">
        <f t="shared" si="64"/>
        <v>236.39097599999999</v>
      </c>
      <c r="G672">
        <v>1558.8900149999999</v>
      </c>
      <c r="I672" s="13">
        <f t="shared" si="65"/>
        <v>-2.9315973752490398E-2</v>
      </c>
      <c r="J672" s="13">
        <f t="shared" si="66"/>
        <v>-1.4645489511090681E-2</v>
      </c>
      <c r="L672" s="15">
        <v>44159</v>
      </c>
      <c r="M672">
        <f t="shared" si="67"/>
        <v>282.3502735432408</v>
      </c>
      <c r="N672">
        <f t="shared" si="68"/>
        <v>137.34592657909684</v>
      </c>
    </row>
    <row r="673" spans="1:14" x14ac:dyDescent="0.45">
      <c r="A673" s="15">
        <v>44159</v>
      </c>
      <c r="B673">
        <v>236.39097599999999</v>
      </c>
      <c r="C673" t="b">
        <f t="shared" si="69"/>
        <v>0</v>
      </c>
      <c r="E673" s="15">
        <v>44160</v>
      </c>
      <c r="F673">
        <f t="shared" si="64"/>
        <v>236.68846099999999</v>
      </c>
      <c r="G673">
        <v>1562.8599850000001</v>
      </c>
      <c r="I673" s="13">
        <f t="shared" si="65"/>
        <v>1.2584448232066947E-3</v>
      </c>
      <c r="J673" s="13">
        <f t="shared" si="66"/>
        <v>2.546664589419434E-3</v>
      </c>
      <c r="L673" s="15">
        <v>44160</v>
      </c>
      <c r="M673">
        <f t="shared" si="67"/>
        <v>282.70559578331228</v>
      </c>
      <c r="N673">
        <f t="shared" si="68"/>
        <v>137.69570058681683</v>
      </c>
    </row>
    <row r="674" spans="1:14" x14ac:dyDescent="0.45">
      <c r="A674" s="15">
        <v>44160</v>
      </c>
      <c r="B674">
        <v>236.68846099999999</v>
      </c>
      <c r="C674" t="b">
        <f t="shared" si="69"/>
        <v>0</v>
      </c>
      <c r="E674" s="15">
        <v>44161</v>
      </c>
      <c r="F674">
        <f t="shared" si="64"/>
        <v>235.59773300000001</v>
      </c>
      <c r="G674">
        <v>1572.3599850000001</v>
      </c>
      <c r="I674" s="13">
        <f t="shared" si="65"/>
        <v>-4.6082854879857527E-3</v>
      </c>
      <c r="J674" s="13">
        <f t="shared" si="66"/>
        <v>6.0785995490184597E-3</v>
      </c>
      <c r="L674" s="15">
        <v>44161</v>
      </c>
      <c r="M674">
        <f t="shared" si="67"/>
        <v>281.4028076888917</v>
      </c>
      <c r="N674">
        <f t="shared" si="68"/>
        <v>138.53269761030563</v>
      </c>
    </row>
    <row r="675" spans="1:14" x14ac:dyDescent="0.45">
      <c r="A675" s="15">
        <v>44161</v>
      </c>
      <c r="B675">
        <v>235.59773300000001</v>
      </c>
      <c r="C675" t="b">
        <f t="shared" si="69"/>
        <v>0</v>
      </c>
      <c r="E675" s="15">
        <v>44162</v>
      </c>
      <c r="F675">
        <f t="shared" si="64"/>
        <v>244.720215</v>
      </c>
      <c r="G675">
        <v>1593.1800539999999</v>
      </c>
      <c r="I675" s="13">
        <f t="shared" si="65"/>
        <v>3.8720584802910629E-2</v>
      </c>
      <c r="J675" s="13">
        <f t="shared" si="66"/>
        <v>1.3241286472957414E-2</v>
      </c>
      <c r="L675" s="15">
        <v>44162</v>
      </c>
      <c r="M675">
        <f t="shared" si="67"/>
        <v>292.29888896778658</v>
      </c>
      <c r="N675">
        <f t="shared" si="68"/>
        <v>140.36704874523528</v>
      </c>
    </row>
    <row r="676" spans="1:14" x14ac:dyDescent="0.45">
      <c r="A676" s="15">
        <v>44162</v>
      </c>
      <c r="B676">
        <v>244.720215</v>
      </c>
      <c r="C676" t="b">
        <f t="shared" si="69"/>
        <v>0</v>
      </c>
      <c r="E676" s="15">
        <v>44165</v>
      </c>
      <c r="F676">
        <f t="shared" si="64"/>
        <v>252.950256</v>
      </c>
      <c r="G676">
        <v>1596.780029</v>
      </c>
      <c r="I676" s="13">
        <f t="shared" si="65"/>
        <v>3.3630409322744415E-2</v>
      </c>
      <c r="J676" s="13">
        <f t="shared" si="66"/>
        <v>2.259615911561097E-3</v>
      </c>
      <c r="L676" s="15">
        <v>44165</v>
      </c>
      <c r="M676">
        <f t="shared" si="67"/>
        <v>302.12902024835665</v>
      </c>
      <c r="N676">
        <f t="shared" si="68"/>
        <v>140.68422436203889</v>
      </c>
    </row>
    <row r="677" spans="1:14" x14ac:dyDescent="0.45">
      <c r="A677" s="15">
        <v>44165</v>
      </c>
      <c r="B677">
        <v>252.950256</v>
      </c>
      <c r="C677" t="b">
        <f t="shared" si="69"/>
        <v>0</v>
      </c>
      <c r="E677" s="15">
        <v>44166</v>
      </c>
      <c r="F677">
        <f t="shared" si="64"/>
        <v>246.50503499999999</v>
      </c>
      <c r="G677">
        <v>1581.619995</v>
      </c>
      <c r="I677" s="13">
        <f t="shared" si="65"/>
        <v>-2.5480191646850892E-2</v>
      </c>
      <c r="J677" s="13">
        <f t="shared" si="66"/>
        <v>-9.4941280105401704E-3</v>
      </c>
      <c r="L677" s="15">
        <v>44166</v>
      </c>
      <c r="M677">
        <f t="shared" si="67"/>
        <v>294.43071491035323</v>
      </c>
      <c r="N677">
        <f t="shared" si="68"/>
        <v>139.34855032688213</v>
      </c>
    </row>
    <row r="678" spans="1:14" x14ac:dyDescent="0.45">
      <c r="A678" s="15">
        <v>44166</v>
      </c>
      <c r="B678">
        <v>246.50503499999999</v>
      </c>
      <c r="C678" t="b">
        <f t="shared" si="69"/>
        <v>0</v>
      </c>
      <c r="E678" s="15">
        <v>44167</v>
      </c>
      <c r="F678">
        <f t="shared" si="64"/>
        <v>246.306702</v>
      </c>
      <c r="G678">
        <v>1575.6899410000001</v>
      </c>
      <c r="I678" s="13">
        <f t="shared" si="65"/>
        <v>-8.0457991456439615E-4</v>
      </c>
      <c r="J678" s="13">
        <f t="shared" si="66"/>
        <v>-3.7493544712046134E-3</v>
      </c>
      <c r="L678" s="15">
        <v>44167</v>
      </c>
      <c r="M678">
        <f t="shared" si="67"/>
        <v>294.19382187090554</v>
      </c>
      <c r="N678">
        <f t="shared" si="68"/>
        <v>138.82608321665816</v>
      </c>
    </row>
    <row r="679" spans="1:14" x14ac:dyDescent="0.45">
      <c r="A679" s="15">
        <v>44167</v>
      </c>
      <c r="B679">
        <v>246.306702</v>
      </c>
      <c r="C679" t="b">
        <f t="shared" si="69"/>
        <v>0</v>
      </c>
      <c r="E679" s="15">
        <v>44168</v>
      </c>
      <c r="F679">
        <f t="shared" si="64"/>
        <v>237.08509799999999</v>
      </c>
      <c r="G679">
        <v>1554.040039</v>
      </c>
      <c r="I679" s="13">
        <f t="shared" si="65"/>
        <v>-3.7439517175622883E-2</v>
      </c>
      <c r="J679" s="13">
        <f t="shared" si="66"/>
        <v>-1.3739950631569187E-2</v>
      </c>
      <c r="L679" s="15">
        <v>44168</v>
      </c>
      <c r="M679">
        <f t="shared" si="67"/>
        <v>283.17934722400764</v>
      </c>
      <c r="N679">
        <f t="shared" si="68"/>
        <v>136.91861968688715</v>
      </c>
    </row>
    <row r="680" spans="1:14" x14ac:dyDescent="0.45">
      <c r="A680" s="15">
        <v>44168</v>
      </c>
      <c r="B680">
        <v>237.08509799999999</v>
      </c>
      <c r="C680" t="b">
        <f t="shared" si="69"/>
        <v>0</v>
      </c>
      <c r="E680" s="15">
        <v>44169</v>
      </c>
      <c r="F680">
        <f t="shared" si="64"/>
        <v>240.357269</v>
      </c>
      <c r="G680">
        <v>1554.9799800000001</v>
      </c>
      <c r="I680" s="13">
        <f t="shared" si="65"/>
        <v>1.3801673017846072E-2</v>
      </c>
      <c r="J680" s="13">
        <f t="shared" si="66"/>
        <v>6.0483705465208537E-4</v>
      </c>
      <c r="L680" s="15">
        <v>44169</v>
      </c>
      <c r="M680">
        <f t="shared" si="67"/>
        <v>287.08769597980051</v>
      </c>
      <c r="N680">
        <f t="shared" si="68"/>
        <v>137.00143314154559</v>
      </c>
    </row>
    <row r="681" spans="1:14" x14ac:dyDescent="0.45">
      <c r="A681" s="15">
        <v>44169</v>
      </c>
      <c r="B681">
        <v>240.357269</v>
      </c>
      <c r="C681" t="b">
        <f t="shared" si="69"/>
        <v>0</v>
      </c>
      <c r="E681" s="15">
        <v>44172</v>
      </c>
      <c r="F681">
        <f t="shared" si="64"/>
        <v>245.81092799999999</v>
      </c>
      <c r="G681">
        <v>1563.5600589999999</v>
      </c>
      <c r="I681" s="13">
        <f t="shared" si="65"/>
        <v>2.2689802653732105E-2</v>
      </c>
      <c r="J681" s="13">
        <f t="shared" si="66"/>
        <v>5.517806730862107E-3</v>
      </c>
      <c r="L681" s="15">
        <v>44172</v>
      </c>
      <c r="M681">
        <f t="shared" si="67"/>
        <v>293.6016591458968</v>
      </c>
      <c r="N681">
        <f t="shared" si="68"/>
        <v>137.75738057147177</v>
      </c>
    </row>
    <row r="682" spans="1:14" x14ac:dyDescent="0.45">
      <c r="A682" s="15">
        <v>44172</v>
      </c>
      <c r="B682">
        <v>245.81092799999999</v>
      </c>
      <c r="C682" t="b">
        <f t="shared" ref="C682:C713" si="70">E680=A682</f>
        <v>0</v>
      </c>
      <c r="E682" s="15">
        <v>44173</v>
      </c>
      <c r="F682">
        <f t="shared" si="64"/>
        <v>245.91009500000001</v>
      </c>
      <c r="G682">
        <v>1579.6400149999999</v>
      </c>
      <c r="I682" s="13">
        <f t="shared" si="65"/>
        <v>4.0342795500136752E-4</v>
      </c>
      <c r="J682" s="13">
        <f t="shared" si="66"/>
        <v>1.0284194654015533E-2</v>
      </c>
      <c r="L682" s="15">
        <v>44173</v>
      </c>
      <c r="M682">
        <f t="shared" si="67"/>
        <v>293.72010626283105</v>
      </c>
      <c r="N682">
        <f t="shared" si="68"/>
        <v>139.17410428829609</v>
      </c>
    </row>
    <row r="683" spans="1:14" x14ac:dyDescent="0.45">
      <c r="A683" s="15">
        <v>44173</v>
      </c>
      <c r="B683">
        <v>245.91009500000001</v>
      </c>
      <c r="C683" t="b">
        <f t="shared" si="70"/>
        <v>0</v>
      </c>
      <c r="E683" s="15">
        <v>44174</v>
      </c>
      <c r="F683">
        <f t="shared" si="64"/>
        <v>246.604187</v>
      </c>
      <c r="G683">
        <v>1588.9399410000001</v>
      </c>
      <c r="I683" s="13">
        <f t="shared" si="65"/>
        <v>2.8225437430700051E-3</v>
      </c>
      <c r="J683" s="13">
        <f t="shared" si="66"/>
        <v>5.8873704842177244E-3</v>
      </c>
      <c r="L683" s="15">
        <v>44174</v>
      </c>
      <c r="M683">
        <f t="shared" si="67"/>
        <v>294.54914411097707</v>
      </c>
      <c r="N683">
        <f t="shared" si="68"/>
        <v>139.99347380205046</v>
      </c>
    </row>
    <row r="684" spans="1:14" x14ac:dyDescent="0.45">
      <c r="A684" s="15">
        <v>44174</v>
      </c>
      <c r="B684">
        <v>246.604187</v>
      </c>
      <c r="C684" t="b">
        <f t="shared" si="70"/>
        <v>0</v>
      </c>
      <c r="E684" s="15">
        <v>44175</v>
      </c>
      <c r="F684">
        <f t="shared" si="64"/>
        <v>242.53874200000001</v>
      </c>
      <c r="G684">
        <v>1576.910034</v>
      </c>
      <c r="I684" s="13">
        <f t="shared" si="65"/>
        <v>-1.6485709547178096E-2</v>
      </c>
      <c r="J684" s="13">
        <f t="shared" si="66"/>
        <v>-7.5710268774722422E-3</v>
      </c>
      <c r="L684" s="15">
        <v>44175</v>
      </c>
      <c r="M684">
        <f t="shared" si="67"/>
        <v>289.69329247379358</v>
      </c>
      <c r="N684">
        <f t="shared" si="68"/>
        <v>138.93357944922442</v>
      </c>
    </row>
    <row r="685" spans="1:14" x14ac:dyDescent="0.45">
      <c r="A685" s="15">
        <v>44175</v>
      </c>
      <c r="B685">
        <v>242.53874200000001</v>
      </c>
      <c r="C685" t="b">
        <f t="shared" si="70"/>
        <v>0</v>
      </c>
      <c r="E685" s="15">
        <v>44176</v>
      </c>
      <c r="F685">
        <f t="shared" si="64"/>
        <v>248.19070400000001</v>
      </c>
      <c r="G685">
        <v>1581.969971</v>
      </c>
      <c r="I685" s="13">
        <f t="shared" si="65"/>
        <v>2.3303336833502719E-2</v>
      </c>
      <c r="J685" s="13">
        <f t="shared" si="66"/>
        <v>3.2087670766891563E-3</v>
      </c>
      <c r="L685" s="15">
        <v>44176</v>
      </c>
      <c r="M685">
        <f t="shared" si="67"/>
        <v>296.44411284671679</v>
      </c>
      <c r="N685">
        <f t="shared" si="68"/>
        <v>139.37938494480767</v>
      </c>
    </row>
    <row r="686" spans="1:14" x14ac:dyDescent="0.45">
      <c r="A686" s="15">
        <v>44176</v>
      </c>
      <c r="B686">
        <v>248.19070400000001</v>
      </c>
      <c r="C686" t="b">
        <f t="shared" si="70"/>
        <v>0</v>
      </c>
      <c r="E686" s="15">
        <v>44179</v>
      </c>
      <c r="F686">
        <f t="shared" si="64"/>
        <v>251.56204199999999</v>
      </c>
      <c r="G686">
        <v>1600.2700199999999</v>
      </c>
      <c r="I686" s="13">
        <f t="shared" si="65"/>
        <v>1.3583659442780727E-2</v>
      </c>
      <c r="J686" s="13">
        <f t="shared" si="66"/>
        <v>1.1567886455159382E-2</v>
      </c>
      <c r="L686" s="15">
        <v>44179</v>
      </c>
      <c r="M686">
        <f t="shared" si="67"/>
        <v>300.47090871944386</v>
      </c>
      <c r="N686">
        <f t="shared" si="68"/>
        <v>140.99170984403915</v>
      </c>
    </row>
    <row r="687" spans="1:14" x14ac:dyDescent="0.45">
      <c r="A687" s="15">
        <v>44179</v>
      </c>
      <c r="B687">
        <v>251.56204199999999</v>
      </c>
      <c r="C687" t="b">
        <f t="shared" si="70"/>
        <v>0</v>
      </c>
      <c r="E687" s="15">
        <v>44180</v>
      </c>
      <c r="F687">
        <f t="shared" si="64"/>
        <v>255.42918399999999</v>
      </c>
      <c r="G687">
        <v>1595.3100589999999</v>
      </c>
      <c r="I687" s="13">
        <f t="shared" si="65"/>
        <v>1.5372517925418938E-2</v>
      </c>
      <c r="J687" s="13">
        <f t="shared" si="66"/>
        <v>-3.0994525536384154E-3</v>
      </c>
      <c r="L687" s="15">
        <v>44180</v>
      </c>
      <c r="M687">
        <f t="shared" si="67"/>
        <v>305.08990314980042</v>
      </c>
      <c r="N687">
        <f t="shared" si="68"/>
        <v>140.5547127289212</v>
      </c>
    </row>
    <row r="688" spans="1:14" x14ac:dyDescent="0.45">
      <c r="A688" s="15">
        <v>44180</v>
      </c>
      <c r="B688">
        <v>255.42918399999999</v>
      </c>
      <c r="C688" t="b">
        <f t="shared" si="70"/>
        <v>0</v>
      </c>
      <c r="E688" s="15">
        <v>44181</v>
      </c>
      <c r="F688">
        <f t="shared" si="64"/>
        <v>256.12326000000002</v>
      </c>
      <c r="G688">
        <v>1612.619995</v>
      </c>
      <c r="I688" s="13">
        <f t="shared" si="65"/>
        <v>2.7172932596457589E-3</v>
      </c>
      <c r="J688" s="13">
        <f t="shared" si="66"/>
        <v>1.0850515172486697E-2</v>
      </c>
      <c r="L688" s="15">
        <v>44181</v>
      </c>
      <c r="M688">
        <f t="shared" si="67"/>
        <v>305.91892188721533</v>
      </c>
      <c r="N688">
        <f t="shared" si="68"/>
        <v>142.07980377195088</v>
      </c>
    </row>
    <row r="689" spans="1:14" x14ac:dyDescent="0.45">
      <c r="A689" s="15">
        <v>44181</v>
      </c>
      <c r="B689">
        <v>256.12326000000002</v>
      </c>
      <c r="C689" t="b">
        <f t="shared" si="70"/>
        <v>0</v>
      </c>
      <c r="E689" s="15">
        <v>44182</v>
      </c>
      <c r="F689">
        <f t="shared" si="64"/>
        <v>259.79211400000003</v>
      </c>
      <c r="G689">
        <v>1618.410034</v>
      </c>
      <c r="I689" s="13">
        <f t="shared" si="65"/>
        <v>1.4324563883811203E-2</v>
      </c>
      <c r="J689" s="13">
        <f t="shared" si="66"/>
        <v>3.5904546749712107E-3</v>
      </c>
      <c r="L689" s="15">
        <v>44182</v>
      </c>
      <c r="M689">
        <f t="shared" si="67"/>
        <v>310.30107702705538</v>
      </c>
      <c r="N689">
        <f t="shared" si="68"/>
        <v>142.58993486762287</v>
      </c>
    </row>
    <row r="690" spans="1:14" x14ac:dyDescent="0.45">
      <c r="A690" s="15">
        <v>44182</v>
      </c>
      <c r="B690">
        <v>259.79211400000003</v>
      </c>
      <c r="C690" t="b">
        <f t="shared" si="70"/>
        <v>0</v>
      </c>
      <c r="E690" s="15">
        <v>44183</v>
      </c>
      <c r="F690">
        <f t="shared" si="64"/>
        <v>264.353363</v>
      </c>
      <c r="G690">
        <v>1643.839966</v>
      </c>
      <c r="I690" s="13">
        <f t="shared" si="65"/>
        <v>1.7557303529236457E-2</v>
      </c>
      <c r="J690" s="13">
        <f t="shared" si="66"/>
        <v>1.5712910489777743E-2</v>
      </c>
      <c r="L690" s="15">
        <v>44183</v>
      </c>
      <c r="M690">
        <f t="shared" si="67"/>
        <v>315.74912722186838</v>
      </c>
      <c r="N690">
        <f t="shared" si="68"/>
        <v>144.83043775094106</v>
      </c>
    </row>
    <row r="691" spans="1:14" x14ac:dyDescent="0.45">
      <c r="A691" s="15">
        <v>44183</v>
      </c>
      <c r="B691">
        <v>264.353363</v>
      </c>
      <c r="C691" t="b">
        <f t="shared" si="70"/>
        <v>0</v>
      </c>
      <c r="E691" s="15">
        <v>44186</v>
      </c>
      <c r="F691">
        <f t="shared" si="64"/>
        <v>267.72470099999998</v>
      </c>
      <c r="G691">
        <v>1634.76001</v>
      </c>
      <c r="I691" s="13">
        <f t="shared" si="65"/>
        <v>1.2753149654464613E-2</v>
      </c>
      <c r="J691" s="13">
        <f t="shared" si="66"/>
        <v>-5.5236252845796141E-3</v>
      </c>
      <c r="L691" s="15">
        <v>44186</v>
      </c>
      <c r="M691">
        <f t="shared" si="67"/>
        <v>319.77592309459544</v>
      </c>
      <c r="N691">
        <f t="shared" si="68"/>
        <v>144.03044868300321</v>
      </c>
    </row>
    <row r="692" spans="1:14" x14ac:dyDescent="0.45">
      <c r="A692" s="15">
        <v>44186</v>
      </c>
      <c r="B692">
        <v>267.72470099999998</v>
      </c>
      <c r="C692" t="b">
        <f t="shared" si="70"/>
        <v>0</v>
      </c>
      <c r="E692" s="15">
        <v>44187</v>
      </c>
      <c r="F692">
        <f t="shared" si="64"/>
        <v>278.23535199999998</v>
      </c>
      <c r="G692">
        <v>1654.1999510000001</v>
      </c>
      <c r="I692" s="13">
        <f t="shared" si="65"/>
        <v>3.9259175416914482E-2</v>
      </c>
      <c r="J692" s="13">
        <f t="shared" si="66"/>
        <v>1.1891617657077358E-2</v>
      </c>
      <c r="L692" s="15">
        <v>44187</v>
      </c>
      <c r="M692">
        <f t="shared" si="67"/>
        <v>332.33006215347194</v>
      </c>
      <c r="N692">
        <f t="shared" si="68"/>
        <v>145.74320370971878</v>
      </c>
    </row>
    <row r="693" spans="1:14" x14ac:dyDescent="0.45">
      <c r="A693" s="15">
        <v>44187</v>
      </c>
      <c r="B693">
        <v>278.23535199999998</v>
      </c>
      <c r="C693" t="b">
        <f t="shared" si="70"/>
        <v>0</v>
      </c>
      <c r="E693" s="15">
        <v>44188</v>
      </c>
      <c r="F693">
        <f t="shared" si="64"/>
        <v>275.855591</v>
      </c>
      <c r="G693">
        <v>1649.420044</v>
      </c>
      <c r="I693" s="13">
        <f t="shared" si="65"/>
        <v>-8.5530504405492147E-3</v>
      </c>
      <c r="J693" s="13">
        <f t="shared" si="66"/>
        <v>-2.8895581801404724E-3</v>
      </c>
      <c r="L693" s="15">
        <v>44188</v>
      </c>
      <c r="M693">
        <f t="shared" si="67"/>
        <v>329.48762636896242</v>
      </c>
      <c r="N693">
        <f t="shared" si="68"/>
        <v>145.32207024323949</v>
      </c>
    </row>
    <row r="694" spans="1:14" x14ac:dyDescent="0.45">
      <c r="A694" s="15">
        <v>44188</v>
      </c>
      <c r="B694">
        <v>275.855591</v>
      </c>
      <c r="C694" t="b">
        <f t="shared" si="70"/>
        <v>0</v>
      </c>
      <c r="E694" s="15">
        <v>44193</v>
      </c>
      <c r="F694">
        <f t="shared" si="64"/>
        <v>292.51400799999999</v>
      </c>
      <c r="G694">
        <v>1682.9300539999999</v>
      </c>
      <c r="I694" s="13">
        <f t="shared" si="65"/>
        <v>6.0388179697978162E-2</v>
      </c>
      <c r="J694" s="13">
        <f t="shared" si="66"/>
        <v>2.0316237893371891E-2</v>
      </c>
      <c r="L694" s="15">
        <v>44193</v>
      </c>
      <c r="M694">
        <f t="shared" si="67"/>
        <v>349.38478435839164</v>
      </c>
      <c r="N694">
        <f t="shared" si="68"/>
        <v>148.27446799345844</v>
      </c>
    </row>
    <row r="695" spans="1:14" x14ac:dyDescent="0.45">
      <c r="A695" s="15">
        <v>44193</v>
      </c>
      <c r="B695">
        <v>292.51400799999999</v>
      </c>
      <c r="C695" t="b">
        <f t="shared" si="70"/>
        <v>0</v>
      </c>
      <c r="E695" s="15">
        <v>44194</v>
      </c>
      <c r="F695">
        <f t="shared" si="64"/>
        <v>289.34097300000002</v>
      </c>
      <c r="G695">
        <v>1688.219971</v>
      </c>
      <c r="I695" s="13">
        <f t="shared" si="65"/>
        <v>-1.084746341446996E-2</v>
      </c>
      <c r="J695" s="13">
        <f t="shared" si="66"/>
        <v>3.1432779915165909E-3</v>
      </c>
      <c r="L695" s="15">
        <v>44194</v>
      </c>
      <c r="M695">
        <f t="shared" si="67"/>
        <v>345.5948456924915</v>
      </c>
      <c r="N695">
        <f t="shared" si="68"/>
        <v>148.74053586540612</v>
      </c>
    </row>
    <row r="696" spans="1:14" x14ac:dyDescent="0.45">
      <c r="A696" s="15">
        <v>44194</v>
      </c>
      <c r="B696">
        <v>289.34097300000002</v>
      </c>
      <c r="C696" t="b">
        <f t="shared" si="70"/>
        <v>0</v>
      </c>
      <c r="E696" s="15">
        <v>44195</v>
      </c>
      <c r="F696">
        <f t="shared" si="64"/>
        <v>285.47384599999998</v>
      </c>
      <c r="G696">
        <v>1676.670044</v>
      </c>
      <c r="I696" s="13">
        <f t="shared" si="65"/>
        <v>-1.3365293411106483E-2</v>
      </c>
      <c r="J696" s="13">
        <f t="shared" si="66"/>
        <v>-6.8414822703219969E-3</v>
      </c>
      <c r="L696" s="15">
        <v>44195</v>
      </c>
      <c r="M696">
        <f t="shared" si="67"/>
        <v>340.97586917844529</v>
      </c>
      <c r="N696">
        <f t="shared" si="68"/>
        <v>147.72293012640475</v>
      </c>
    </row>
    <row r="697" spans="1:14" x14ac:dyDescent="0.45">
      <c r="A697" s="15">
        <v>44195</v>
      </c>
      <c r="B697">
        <v>285.47384599999998</v>
      </c>
      <c r="C697" t="b">
        <f t="shared" si="70"/>
        <v>0</v>
      </c>
      <c r="E697" s="15">
        <v>44200</v>
      </c>
      <c r="F697">
        <f t="shared" si="64"/>
        <v>292.81149299999998</v>
      </c>
      <c r="G697">
        <v>1701.5500489999999</v>
      </c>
      <c r="I697" s="13">
        <f t="shared" si="65"/>
        <v>2.5703394909248445E-2</v>
      </c>
      <c r="J697" s="13">
        <f t="shared" si="66"/>
        <v>1.483893929460578E-2</v>
      </c>
      <c r="L697" s="15">
        <v>44200</v>
      </c>
      <c r="M697">
        <f t="shared" si="67"/>
        <v>349.74010659846311</v>
      </c>
      <c r="N697">
        <f t="shared" si="68"/>
        <v>149.91498171897175</v>
      </c>
    </row>
    <row r="698" spans="1:14" x14ac:dyDescent="0.45">
      <c r="A698" s="15">
        <v>44200</v>
      </c>
      <c r="B698">
        <v>292.81149299999998</v>
      </c>
      <c r="C698" t="b">
        <f t="shared" si="70"/>
        <v>0</v>
      </c>
      <c r="E698" s="15">
        <v>44201</v>
      </c>
      <c r="F698">
        <f t="shared" si="64"/>
        <v>290.233429</v>
      </c>
      <c r="G698">
        <v>1680.589966</v>
      </c>
      <c r="I698" s="13">
        <f t="shared" si="65"/>
        <v>-8.8045177926127094E-3</v>
      </c>
      <c r="J698" s="13">
        <f t="shared" si="66"/>
        <v>-1.2318228906824213E-2</v>
      </c>
      <c r="L698" s="15">
        <v>44201</v>
      </c>
      <c r="M698">
        <f t="shared" si="67"/>
        <v>346.66081360712667</v>
      </c>
      <c r="N698">
        <f t="shared" si="68"/>
        <v>148.06829465759509</v>
      </c>
    </row>
    <row r="699" spans="1:14" x14ac:dyDescent="0.45">
      <c r="A699" s="15">
        <v>44201</v>
      </c>
      <c r="B699">
        <v>290.233429</v>
      </c>
      <c r="C699" t="b">
        <f t="shared" si="70"/>
        <v>0</v>
      </c>
      <c r="E699" s="15">
        <v>44203</v>
      </c>
      <c r="F699">
        <f t="shared" si="64"/>
        <v>309.37075800000002</v>
      </c>
      <c r="G699">
        <v>1691.8900149999999</v>
      </c>
      <c r="I699" s="13">
        <f t="shared" si="65"/>
        <v>6.5937714569743955E-2</v>
      </c>
      <c r="J699" s="13">
        <f t="shared" si="66"/>
        <v>6.7238584238935584E-3</v>
      </c>
      <c r="L699" s="15">
        <v>44203</v>
      </c>
      <c r="M699">
        <f t="shared" si="67"/>
        <v>369.51883538726861</v>
      </c>
      <c r="N699">
        <f t="shared" si="68"/>
        <v>149.06388490794012</v>
      </c>
    </row>
    <row r="700" spans="1:14" x14ac:dyDescent="0.45">
      <c r="A700" s="15">
        <v>44202</v>
      </c>
      <c r="B700">
        <v>299.455017</v>
      </c>
      <c r="C700" t="b">
        <f t="shared" si="70"/>
        <v>0</v>
      </c>
      <c r="E700" s="15">
        <v>44204</v>
      </c>
      <c r="F700">
        <f t="shared" si="64"/>
        <v>309.37075800000002</v>
      </c>
      <c r="G700">
        <v>1706.5699460000001</v>
      </c>
      <c r="I700" s="13">
        <f t="shared" si="65"/>
        <v>0</v>
      </c>
      <c r="J700" s="13">
        <f t="shared" si="66"/>
        <v>8.6766461589409261E-3</v>
      </c>
      <c r="L700" s="15">
        <v>44204</v>
      </c>
      <c r="M700">
        <f t="shared" si="67"/>
        <v>369.51883538726861</v>
      </c>
      <c r="N700">
        <f t="shared" si="68"/>
        <v>150.35725949236343</v>
      </c>
    </row>
    <row r="701" spans="1:14" x14ac:dyDescent="0.45">
      <c r="A701" s="15">
        <v>44203</v>
      </c>
      <c r="B701">
        <v>309.37075800000002</v>
      </c>
      <c r="C701" t="b">
        <f t="shared" si="70"/>
        <v>1</v>
      </c>
      <c r="E701" s="15">
        <v>44207</v>
      </c>
      <c r="F701">
        <f t="shared" si="64"/>
        <v>301.73562600000002</v>
      </c>
      <c r="G701">
        <v>1690.540039</v>
      </c>
      <c r="I701" s="13">
        <f t="shared" si="65"/>
        <v>-2.4679552939518623E-2</v>
      </c>
      <c r="J701" s="13">
        <f t="shared" si="66"/>
        <v>-9.3930559585748696E-3</v>
      </c>
      <c r="L701" s="15">
        <v>44207</v>
      </c>
      <c r="M701">
        <f t="shared" si="67"/>
        <v>360.39927572717926</v>
      </c>
      <c r="N701">
        <f t="shared" si="68"/>
        <v>148.94494534017369</v>
      </c>
    </row>
    <row r="702" spans="1:14" x14ac:dyDescent="0.45">
      <c r="A702" s="15">
        <v>44204</v>
      </c>
      <c r="B702">
        <v>309.37075800000002</v>
      </c>
      <c r="C702" t="b">
        <f t="shared" si="70"/>
        <v>1</v>
      </c>
      <c r="E702" s="15">
        <v>44208</v>
      </c>
      <c r="F702">
        <f t="shared" si="64"/>
        <v>282.69744900000001</v>
      </c>
      <c r="G702">
        <v>1664.5500489999999</v>
      </c>
      <c r="I702" s="13">
        <f t="shared" si="65"/>
        <v>-6.309555571008385E-2</v>
      </c>
      <c r="J702" s="13">
        <f t="shared" si="66"/>
        <v>-1.5373779620962869E-2</v>
      </c>
      <c r="L702" s="15">
        <v>44208</v>
      </c>
      <c r="M702">
        <f t="shared" si="67"/>
        <v>337.65968314766116</v>
      </c>
      <c r="N702">
        <f t="shared" si="68"/>
        <v>146.6550985748575</v>
      </c>
    </row>
    <row r="703" spans="1:14" x14ac:dyDescent="0.45">
      <c r="A703" s="15">
        <v>44207</v>
      </c>
      <c r="B703">
        <v>301.73562600000002</v>
      </c>
      <c r="C703" t="b">
        <f t="shared" si="70"/>
        <v>1</v>
      </c>
      <c r="E703" s="15">
        <v>44209</v>
      </c>
      <c r="F703">
        <f t="shared" si="64"/>
        <v>289.34097300000002</v>
      </c>
      <c r="G703">
        <v>1671.630005</v>
      </c>
      <c r="I703" s="13">
        <f t="shared" si="65"/>
        <v>2.3500473822811285E-2</v>
      </c>
      <c r="J703" s="13">
        <f t="shared" si="66"/>
        <v>4.2533752615330211E-3</v>
      </c>
      <c r="L703" s="15">
        <v>44209</v>
      </c>
      <c r="M703">
        <f t="shared" si="67"/>
        <v>345.5948456924915</v>
      </c>
      <c r="N703">
        <f t="shared" si="68"/>
        <v>147.2788777431135</v>
      </c>
    </row>
    <row r="704" spans="1:14" x14ac:dyDescent="0.45">
      <c r="A704" s="15">
        <v>44208</v>
      </c>
      <c r="B704">
        <v>282.69744900000001</v>
      </c>
      <c r="C704" t="b">
        <f t="shared" si="70"/>
        <v>1</v>
      </c>
      <c r="E704" s="15">
        <v>44210</v>
      </c>
      <c r="F704">
        <f t="shared" si="64"/>
        <v>286.76290899999998</v>
      </c>
      <c r="G704">
        <v>1676.51001</v>
      </c>
      <c r="I704" s="13">
        <f t="shared" si="65"/>
        <v>-8.9101241807189036E-3</v>
      </c>
      <c r="J704" s="13">
        <f t="shared" si="66"/>
        <v>2.9193092881818483E-3</v>
      </c>
      <c r="L704" s="15">
        <v>44210</v>
      </c>
      <c r="M704">
        <f t="shared" si="67"/>
        <v>342.515552701155</v>
      </c>
      <c r="N704">
        <f t="shared" si="68"/>
        <v>147.70883033886196</v>
      </c>
    </row>
    <row r="705" spans="1:14" x14ac:dyDescent="0.45">
      <c r="A705" s="15">
        <v>44209</v>
      </c>
      <c r="B705">
        <v>289.34097300000002</v>
      </c>
      <c r="C705" t="b">
        <f t="shared" si="70"/>
        <v>1</v>
      </c>
      <c r="E705" s="15">
        <v>44211</v>
      </c>
      <c r="F705">
        <f t="shared" si="64"/>
        <v>270.302795</v>
      </c>
      <c r="G705">
        <v>1657.630005</v>
      </c>
      <c r="I705" s="13">
        <f t="shared" si="65"/>
        <v>-5.7399731567097434E-2</v>
      </c>
      <c r="J705" s="13">
        <f t="shared" si="66"/>
        <v>-1.1261492557387065E-2</v>
      </c>
      <c r="L705" s="15">
        <v>44211</v>
      </c>
      <c r="M705">
        <f t="shared" si="67"/>
        <v>322.85525191855271</v>
      </c>
      <c r="N705">
        <f t="shared" si="68"/>
        <v>146.04540844534051</v>
      </c>
    </row>
    <row r="706" spans="1:14" x14ac:dyDescent="0.45">
      <c r="A706" s="15">
        <v>44210</v>
      </c>
      <c r="B706">
        <v>286.76290899999998</v>
      </c>
      <c r="C706" t="b">
        <f t="shared" si="70"/>
        <v>1</v>
      </c>
      <c r="E706" s="15">
        <v>44214</v>
      </c>
      <c r="F706">
        <f t="shared" si="64"/>
        <v>272.88089000000002</v>
      </c>
      <c r="G706">
        <v>1667.8599850000001</v>
      </c>
      <c r="I706" s="13">
        <f t="shared" si="65"/>
        <v>9.5378037063953425E-3</v>
      </c>
      <c r="J706" s="13">
        <f t="shared" si="66"/>
        <v>6.1714495811144854E-3</v>
      </c>
      <c r="L706" s="15">
        <v>44214</v>
      </c>
      <c r="M706">
        <f t="shared" si="67"/>
        <v>325.93458193693067</v>
      </c>
      <c r="N706">
        <f t="shared" si="68"/>
        <v>146.9467203201142</v>
      </c>
    </row>
    <row r="707" spans="1:14" x14ac:dyDescent="0.45">
      <c r="A707" s="15">
        <v>44211</v>
      </c>
      <c r="B707">
        <v>270.302795</v>
      </c>
      <c r="C707" t="b">
        <f t="shared" si="70"/>
        <v>1</v>
      </c>
      <c r="E707" s="15">
        <v>44215</v>
      </c>
      <c r="F707">
        <f t="shared" ref="F707:F770" si="71">VLOOKUP(E707,A707:B1946,2,0)</f>
        <v>282.69744900000001</v>
      </c>
      <c r="G707">
        <v>1686.8199460000001</v>
      </c>
      <c r="I707" s="13">
        <f t="shared" si="65"/>
        <v>3.5973786951515763E-2</v>
      </c>
      <c r="J707" s="13">
        <f t="shared" si="66"/>
        <v>1.1367837330781727E-2</v>
      </c>
      <c r="L707" s="15">
        <v>44215</v>
      </c>
      <c r="M707">
        <f t="shared" si="67"/>
        <v>337.65968314766116</v>
      </c>
      <c r="N707">
        <f t="shared" si="68"/>
        <v>148.61718673300513</v>
      </c>
    </row>
    <row r="708" spans="1:14" x14ac:dyDescent="0.45">
      <c r="A708" s="15">
        <v>44214</v>
      </c>
      <c r="B708">
        <v>272.88089000000002</v>
      </c>
      <c r="C708" t="b">
        <f t="shared" si="70"/>
        <v>1</v>
      </c>
      <c r="E708" s="15">
        <v>44216</v>
      </c>
      <c r="F708">
        <f t="shared" si="71"/>
        <v>284.18481400000002</v>
      </c>
      <c r="G708">
        <v>1689.910034</v>
      </c>
      <c r="I708" s="13">
        <f t="shared" ref="I708:I771" si="72">F708/F707-1</f>
        <v>5.2613315233700497E-3</v>
      </c>
      <c r="J708" s="13">
        <f t="shared" ref="J708:J771" si="73">G708/G707-1</f>
        <v>1.8319015063388289E-3</v>
      </c>
      <c r="L708" s="15">
        <v>44216</v>
      </c>
      <c r="M708">
        <f t="shared" ref="M708:M771" si="74">M707*(1+I708)</f>
        <v>339.4362226827771</v>
      </c>
      <c r="N708">
        <f t="shared" ref="N708:N771" si="75">N707*(1+J708)</f>
        <v>148.88943878124917</v>
      </c>
    </row>
    <row r="709" spans="1:14" x14ac:dyDescent="0.45">
      <c r="A709" s="15">
        <v>44215</v>
      </c>
      <c r="B709">
        <v>282.69744900000001</v>
      </c>
      <c r="C709" t="b">
        <f t="shared" si="70"/>
        <v>1</v>
      </c>
      <c r="E709" s="15">
        <v>44217</v>
      </c>
      <c r="F709">
        <f t="shared" si="71"/>
        <v>295.38958700000001</v>
      </c>
      <c r="G709">
        <v>1691.0600589999999</v>
      </c>
      <c r="I709" s="13">
        <f t="shared" si="72"/>
        <v>3.9427768297288335E-2</v>
      </c>
      <c r="J709" s="13">
        <f t="shared" si="73"/>
        <v>6.8052439293331268E-4</v>
      </c>
      <c r="L709" s="15">
        <v>44217</v>
      </c>
      <c r="M709">
        <f t="shared" si="74"/>
        <v>352.81943542242038</v>
      </c>
      <c r="N709">
        <f t="shared" si="75"/>
        <v>148.99076167618995</v>
      </c>
    </row>
    <row r="710" spans="1:14" x14ac:dyDescent="0.45">
      <c r="A710" s="15">
        <v>44216</v>
      </c>
      <c r="B710">
        <v>284.18481400000002</v>
      </c>
      <c r="C710" t="b">
        <f t="shared" si="70"/>
        <v>1</v>
      </c>
      <c r="E710" s="15">
        <v>44218</v>
      </c>
      <c r="F710">
        <f t="shared" si="71"/>
        <v>290.13424700000002</v>
      </c>
      <c r="G710">
        <v>1685.719971</v>
      </c>
      <c r="I710" s="13">
        <f t="shared" si="72"/>
        <v>-1.77912161812257E-2</v>
      </c>
      <c r="J710" s="13">
        <f t="shared" si="73"/>
        <v>-3.1578346207039587E-3</v>
      </c>
      <c r="L710" s="15">
        <v>44218</v>
      </c>
      <c r="M710">
        <f t="shared" si="74"/>
        <v>346.54234857388212</v>
      </c>
      <c r="N710">
        <f t="shared" si="75"/>
        <v>148.52027349080382</v>
      </c>
    </row>
    <row r="711" spans="1:14" x14ac:dyDescent="0.45">
      <c r="A711" s="15">
        <v>44217</v>
      </c>
      <c r="B711">
        <v>295.38958700000001</v>
      </c>
      <c r="C711" t="b">
        <f t="shared" si="70"/>
        <v>1</v>
      </c>
      <c r="E711" s="15">
        <v>44221</v>
      </c>
      <c r="F711">
        <f t="shared" si="71"/>
        <v>288.54769900000002</v>
      </c>
      <c r="G711">
        <v>1688.719971</v>
      </c>
      <c r="I711" s="13">
        <f t="shared" si="72"/>
        <v>-5.4683237722018552E-3</v>
      </c>
      <c r="J711" s="13">
        <f t="shared" si="73"/>
        <v>1.7796550148363455E-3</v>
      </c>
      <c r="L711" s="15">
        <v>44221</v>
      </c>
      <c r="M711">
        <f t="shared" si="74"/>
        <v>344.64734281110088</v>
      </c>
      <c r="N711">
        <f t="shared" si="75"/>
        <v>148.78458834032659</v>
      </c>
    </row>
    <row r="712" spans="1:14" x14ac:dyDescent="0.45">
      <c r="A712" s="15">
        <v>44218</v>
      </c>
      <c r="B712">
        <v>290.13424700000002</v>
      </c>
      <c r="C712" t="b">
        <f t="shared" si="70"/>
        <v>1</v>
      </c>
      <c r="E712" s="15">
        <v>44222</v>
      </c>
      <c r="F712">
        <f t="shared" si="71"/>
        <v>278.63198899999998</v>
      </c>
      <c r="G712">
        <v>1667.630005</v>
      </c>
      <c r="I712" s="13">
        <f t="shared" si="72"/>
        <v>-3.4364197095884785E-2</v>
      </c>
      <c r="J712" s="13">
        <f t="shared" si="73"/>
        <v>-1.2488728955761252E-2</v>
      </c>
      <c r="L712" s="15">
        <v>44222</v>
      </c>
      <c r="M712">
        <f t="shared" si="74"/>
        <v>332.80381359416725</v>
      </c>
      <c r="N712">
        <f t="shared" si="75"/>
        <v>146.92645794374974</v>
      </c>
    </row>
    <row r="713" spans="1:14" x14ac:dyDescent="0.45">
      <c r="A713" s="15">
        <v>44221</v>
      </c>
      <c r="B713">
        <v>288.54769900000002</v>
      </c>
      <c r="C713" t="b">
        <f t="shared" si="70"/>
        <v>1</v>
      </c>
      <c r="E713" s="15">
        <v>44223</v>
      </c>
      <c r="F713">
        <f t="shared" si="71"/>
        <v>263.06427000000002</v>
      </c>
      <c r="G713">
        <v>1628.0699460000001</v>
      </c>
      <c r="I713" s="13">
        <f t="shared" si="72"/>
        <v>-5.5871973120788954E-2</v>
      </c>
      <c r="J713" s="13">
        <f t="shared" si="73"/>
        <v>-2.3722323825661751E-2</v>
      </c>
      <c r="L713" s="15">
        <v>44223</v>
      </c>
      <c r="M713">
        <f t="shared" si="74"/>
        <v>314.2094078665379</v>
      </c>
      <c r="N713">
        <f t="shared" si="75"/>
        <v>143.44102092985062</v>
      </c>
    </row>
    <row r="714" spans="1:14" x14ac:dyDescent="0.45">
      <c r="A714" s="15">
        <v>44222</v>
      </c>
      <c r="B714">
        <v>278.63198899999998</v>
      </c>
      <c r="C714" t="b">
        <f t="shared" ref="C714:C727" si="76">E712=A714</f>
        <v>1</v>
      </c>
      <c r="E714" s="15">
        <v>44224</v>
      </c>
      <c r="F714">
        <f t="shared" si="71"/>
        <v>269.707855</v>
      </c>
      <c r="G714">
        <v>1644.170044</v>
      </c>
      <c r="I714" s="13">
        <f t="shared" si="72"/>
        <v>2.5254607932882589E-2</v>
      </c>
      <c r="J714" s="13">
        <f t="shared" si="73"/>
        <v>9.8890702082894411E-3</v>
      </c>
      <c r="L714" s="15">
        <v>44224</v>
      </c>
      <c r="M714">
        <f t="shared" si="74"/>
        <v>322.14464327103053</v>
      </c>
      <c r="N714">
        <f t="shared" si="75"/>
        <v>144.85951925657463</v>
      </c>
    </row>
    <row r="715" spans="1:14" x14ac:dyDescent="0.45">
      <c r="A715" s="15">
        <v>44223</v>
      </c>
      <c r="B715">
        <v>263.06427000000002</v>
      </c>
      <c r="C715" t="b">
        <f t="shared" si="76"/>
        <v>1</v>
      </c>
      <c r="E715" s="15">
        <v>44225</v>
      </c>
      <c r="F715">
        <f t="shared" si="71"/>
        <v>264.55163599999997</v>
      </c>
      <c r="G715">
        <v>1612.51001</v>
      </c>
      <c r="I715" s="13">
        <f t="shared" si="72"/>
        <v>-1.9117793213697887E-2</v>
      </c>
      <c r="J715" s="13">
        <f t="shared" si="73"/>
        <v>-1.9255936522828421E-2</v>
      </c>
      <c r="L715" s="15">
        <v>44225</v>
      </c>
      <c r="M715">
        <f t="shared" si="74"/>
        <v>315.98594859607448</v>
      </c>
      <c r="N715">
        <f t="shared" si="75"/>
        <v>142.07011354904259</v>
      </c>
    </row>
    <row r="716" spans="1:14" x14ac:dyDescent="0.45">
      <c r="A716" s="15">
        <v>44224</v>
      </c>
      <c r="B716">
        <v>269.707855</v>
      </c>
      <c r="C716" t="b">
        <f t="shared" si="76"/>
        <v>1</v>
      </c>
      <c r="E716" s="15">
        <v>44228</v>
      </c>
      <c r="F716">
        <f t="shared" si="71"/>
        <v>263.36175500000002</v>
      </c>
      <c r="G716">
        <v>1639.4799800000001</v>
      </c>
      <c r="I716" s="13">
        <f t="shared" si="72"/>
        <v>-4.4977268634239786E-3</v>
      </c>
      <c r="J716" s="13">
        <f t="shared" si="73"/>
        <v>1.6725458963197548E-2</v>
      </c>
      <c r="L716" s="15">
        <v>44228</v>
      </c>
      <c r="M716">
        <f t="shared" si="74"/>
        <v>314.56473010660943</v>
      </c>
      <c r="N716">
        <f t="shared" si="75"/>
        <v>144.44630140310392</v>
      </c>
    </row>
    <row r="717" spans="1:14" x14ac:dyDescent="0.45">
      <c r="A717" s="15">
        <v>44225</v>
      </c>
      <c r="B717">
        <v>264.55163599999997</v>
      </c>
      <c r="C717" t="b">
        <f t="shared" si="76"/>
        <v>1</v>
      </c>
      <c r="E717" s="15">
        <v>44229</v>
      </c>
      <c r="F717">
        <f t="shared" si="71"/>
        <v>268.31964099999999</v>
      </c>
      <c r="G717">
        <v>1665.369995</v>
      </c>
      <c r="I717" s="13">
        <f t="shared" si="72"/>
        <v>1.8825383359098558E-2</v>
      </c>
      <c r="J717" s="13">
        <f t="shared" si="73"/>
        <v>1.5791601798028632E-2</v>
      </c>
      <c r="L717" s="15">
        <v>44229</v>
      </c>
      <c r="M717">
        <f t="shared" si="74"/>
        <v>320.48653174211773</v>
      </c>
      <c r="N717">
        <f t="shared" si="75"/>
        <v>146.72733987605974</v>
      </c>
    </row>
    <row r="718" spans="1:14" x14ac:dyDescent="0.45">
      <c r="A718" s="15">
        <v>44228</v>
      </c>
      <c r="B718">
        <v>263.36175500000002</v>
      </c>
      <c r="C718" t="b">
        <f t="shared" si="76"/>
        <v>1</v>
      </c>
      <c r="E718" s="15">
        <v>44230</v>
      </c>
      <c r="F718">
        <f t="shared" si="71"/>
        <v>272.88089000000002</v>
      </c>
      <c r="G718">
        <v>1675.26001</v>
      </c>
      <c r="I718" s="13">
        <f t="shared" si="72"/>
        <v>1.6999310907694687E-2</v>
      </c>
      <c r="J718" s="13">
        <f t="shared" si="73"/>
        <v>5.9386292713889954E-3</v>
      </c>
      <c r="L718" s="15">
        <v>44230</v>
      </c>
      <c r="M718">
        <f t="shared" si="74"/>
        <v>325.93458193693078</v>
      </c>
      <c r="N718">
        <f t="shared" si="75"/>
        <v>147.59869915156077</v>
      </c>
    </row>
    <row r="719" spans="1:14" x14ac:dyDescent="0.45">
      <c r="A719" s="15">
        <v>44229</v>
      </c>
      <c r="B719">
        <v>268.31964099999999</v>
      </c>
      <c r="C719" t="b">
        <f t="shared" si="76"/>
        <v>1</v>
      </c>
      <c r="E719" s="15">
        <v>44231</v>
      </c>
      <c r="F719">
        <f t="shared" si="71"/>
        <v>265.54321299999998</v>
      </c>
      <c r="G719">
        <v>1665.2299800000001</v>
      </c>
      <c r="I719" s="13">
        <f t="shared" si="72"/>
        <v>-2.6889669701678387E-2</v>
      </c>
      <c r="J719" s="13">
        <f t="shared" si="73"/>
        <v>-5.9871482278144317E-3</v>
      </c>
      <c r="L719" s="15">
        <v>44231</v>
      </c>
      <c r="M719">
        <f t="shared" si="74"/>
        <v>317.17030868429208</v>
      </c>
      <c r="N719">
        <f t="shared" si="75"/>
        <v>146.7150038615078</v>
      </c>
    </row>
    <row r="720" spans="1:14" x14ac:dyDescent="0.45">
      <c r="A720" s="15">
        <v>44230</v>
      </c>
      <c r="B720">
        <v>272.88089000000002</v>
      </c>
      <c r="C720" t="b">
        <f t="shared" si="76"/>
        <v>1</v>
      </c>
      <c r="E720" s="15">
        <v>44232</v>
      </c>
      <c r="F720">
        <f t="shared" si="71"/>
        <v>264.94830300000001</v>
      </c>
      <c r="G720">
        <v>1679.400024</v>
      </c>
      <c r="I720" s="13">
        <f t="shared" si="72"/>
        <v>-2.2403509895015938E-3</v>
      </c>
      <c r="J720" s="13">
        <f t="shared" si="73"/>
        <v>8.5093615717872773E-3</v>
      </c>
      <c r="L720" s="15">
        <v>44232</v>
      </c>
      <c r="M720">
        <f t="shared" si="74"/>
        <v>316.45973586939073</v>
      </c>
      <c r="N720">
        <f t="shared" si="75"/>
        <v>147.96345487737153</v>
      </c>
    </row>
    <row r="721" spans="1:14" x14ac:dyDescent="0.45">
      <c r="A721" s="15">
        <v>44231</v>
      </c>
      <c r="B721">
        <v>265.54321299999998</v>
      </c>
      <c r="C721" t="b">
        <f t="shared" si="76"/>
        <v>1</v>
      </c>
      <c r="E721" s="15">
        <v>44235</v>
      </c>
      <c r="F721">
        <f t="shared" si="71"/>
        <v>263.56005900000002</v>
      </c>
      <c r="G721">
        <v>1672.76001</v>
      </c>
      <c r="I721" s="13">
        <f t="shared" si="72"/>
        <v>-5.2396787761270769E-3</v>
      </c>
      <c r="J721" s="13">
        <f t="shared" si="73"/>
        <v>-3.9538013011246598E-3</v>
      </c>
      <c r="L721" s="15">
        <v>44235</v>
      </c>
      <c r="M721">
        <f t="shared" si="74"/>
        <v>314.8015885078571</v>
      </c>
      <c r="N721">
        <f t="shared" si="75"/>
        <v>147.37843677695849</v>
      </c>
    </row>
    <row r="722" spans="1:14" x14ac:dyDescent="0.45">
      <c r="A722" s="15">
        <v>44232</v>
      </c>
      <c r="B722">
        <v>264.94830300000001</v>
      </c>
      <c r="C722" t="b">
        <f t="shared" si="76"/>
        <v>1</v>
      </c>
      <c r="E722" s="15">
        <v>44236</v>
      </c>
      <c r="F722">
        <f t="shared" si="71"/>
        <v>253.44605999999999</v>
      </c>
      <c r="G722">
        <v>1660.030029</v>
      </c>
      <c r="I722" s="13">
        <f t="shared" si="72"/>
        <v>-3.8374551282066682E-2</v>
      </c>
      <c r="J722" s="13">
        <f t="shared" si="73"/>
        <v>-7.6101657882172713E-3</v>
      </c>
      <c r="L722" s="15">
        <v>44236</v>
      </c>
      <c r="M722">
        <f t="shared" si="74"/>
        <v>302.72121880598627</v>
      </c>
      <c r="N722">
        <f t="shared" si="75"/>
        <v>146.25686243947754</v>
      </c>
    </row>
    <row r="723" spans="1:14" x14ac:dyDescent="0.45">
      <c r="A723" s="15">
        <v>44235</v>
      </c>
      <c r="B723">
        <v>263.56005900000002</v>
      </c>
      <c r="C723" t="b">
        <f t="shared" si="76"/>
        <v>1</v>
      </c>
      <c r="E723" s="15">
        <v>44237</v>
      </c>
      <c r="F723">
        <f t="shared" si="71"/>
        <v>243.629456</v>
      </c>
      <c r="G723">
        <v>1631.469971</v>
      </c>
      <c r="I723" s="13">
        <f t="shared" si="72"/>
        <v>-3.8732517680487799E-2</v>
      </c>
      <c r="J723" s="13">
        <f t="shared" si="73"/>
        <v>-1.7204542990830407E-2</v>
      </c>
      <c r="L723" s="15">
        <v>44237</v>
      </c>
      <c r="M723">
        <f t="shared" si="74"/>
        <v>290.9960638463246</v>
      </c>
      <c r="N723">
        <f t="shared" si="75"/>
        <v>143.74057996193358</v>
      </c>
    </row>
    <row r="724" spans="1:14" x14ac:dyDescent="0.45">
      <c r="A724" s="15">
        <v>44236</v>
      </c>
      <c r="B724">
        <v>253.44605999999999</v>
      </c>
      <c r="C724" t="b">
        <f t="shared" si="76"/>
        <v>1</v>
      </c>
      <c r="E724" s="15">
        <v>44238</v>
      </c>
      <c r="F724">
        <f t="shared" si="71"/>
        <v>257.80898999999999</v>
      </c>
      <c r="G724">
        <v>1672.01001</v>
      </c>
      <c r="I724" s="13">
        <f t="shared" si="72"/>
        <v>5.8201229985917591E-2</v>
      </c>
      <c r="J724" s="13">
        <f t="shared" si="73"/>
        <v>2.4848780376356627E-2</v>
      </c>
      <c r="L724" s="15">
        <v>44238</v>
      </c>
      <c r="M724">
        <f t="shared" si="74"/>
        <v>307.93239268324129</v>
      </c>
      <c r="N724">
        <f t="shared" si="75"/>
        <v>147.31235806457778</v>
      </c>
    </row>
    <row r="725" spans="1:14" x14ac:dyDescent="0.45">
      <c r="A725" s="15">
        <v>44237</v>
      </c>
      <c r="B725">
        <v>243.629456</v>
      </c>
      <c r="C725" t="b">
        <f t="shared" si="76"/>
        <v>1</v>
      </c>
      <c r="E725" s="15">
        <v>44239</v>
      </c>
      <c r="F725">
        <f t="shared" si="71"/>
        <v>258.00726300000002</v>
      </c>
      <c r="G725">
        <v>1696</v>
      </c>
      <c r="I725" s="13">
        <f t="shared" si="72"/>
        <v>7.6906937962095689E-4</v>
      </c>
      <c r="J725" s="13">
        <f t="shared" si="73"/>
        <v>1.4347994244364726E-2</v>
      </c>
      <c r="L725" s="15">
        <v>44239</v>
      </c>
      <c r="M725">
        <f t="shared" si="74"/>
        <v>308.16921405744739</v>
      </c>
      <c r="N725">
        <f t="shared" si="75"/>
        <v>149.42599493021214</v>
      </c>
    </row>
    <row r="726" spans="1:14" x14ac:dyDescent="0.45">
      <c r="A726" s="15">
        <v>44238</v>
      </c>
      <c r="B726">
        <v>257.80898999999999</v>
      </c>
      <c r="C726" t="b">
        <f t="shared" si="76"/>
        <v>1</v>
      </c>
      <c r="E726" s="15">
        <v>44243</v>
      </c>
      <c r="F726">
        <f t="shared" si="71"/>
        <v>270.99685699999998</v>
      </c>
      <c r="G726">
        <v>1711.9300539999999</v>
      </c>
      <c r="I726" s="13">
        <f t="shared" si="72"/>
        <v>5.0345846271776962E-2</v>
      </c>
      <c r="J726" s="13">
        <f t="shared" si="73"/>
        <v>9.3927205188679697E-3</v>
      </c>
      <c r="L726" s="15">
        <v>44243</v>
      </c>
      <c r="M726">
        <f t="shared" si="74"/>
        <v>323.68425393407796</v>
      </c>
      <c r="N726">
        <f t="shared" si="75"/>
        <v>150.8295115388454</v>
      </c>
    </row>
    <row r="727" spans="1:14" x14ac:dyDescent="0.45">
      <c r="A727" s="15">
        <v>44239</v>
      </c>
      <c r="B727">
        <v>258.00726300000002</v>
      </c>
      <c r="C727" t="b">
        <f t="shared" si="76"/>
        <v>1</v>
      </c>
      <c r="E727" s="15">
        <v>44245</v>
      </c>
      <c r="F727">
        <f t="shared" si="71"/>
        <v>257.31317100000001</v>
      </c>
      <c r="G727">
        <v>1678.119995</v>
      </c>
      <c r="I727" s="13">
        <f t="shared" si="72"/>
        <v>-5.0493891890413978E-2</v>
      </c>
      <c r="J727" s="13">
        <f t="shared" si="73"/>
        <v>-1.9749673137054446E-2</v>
      </c>
      <c r="L727" s="15">
        <v>44245</v>
      </c>
      <c r="M727">
        <f t="shared" si="74"/>
        <v>307.34017620930132</v>
      </c>
      <c r="N727">
        <f t="shared" si="75"/>
        <v>147.85067798653162</v>
      </c>
    </row>
    <row r="728" spans="1:14" x14ac:dyDescent="0.45">
      <c r="A728" s="15">
        <v>44242</v>
      </c>
      <c r="B728">
        <v>261.97357199999999</v>
      </c>
      <c r="C728" t="e">
        <f>#REF!=A728</f>
        <v>#REF!</v>
      </c>
      <c r="E728" s="15">
        <v>44246</v>
      </c>
      <c r="F728">
        <f t="shared" si="71"/>
        <v>252.751938</v>
      </c>
      <c r="G728">
        <v>1676.75</v>
      </c>
      <c r="I728" s="13">
        <f t="shared" si="72"/>
        <v>-1.7726387585499936E-2</v>
      </c>
      <c r="J728" s="13">
        <f t="shared" si="73"/>
        <v>-8.163867924116941E-4</v>
      </c>
      <c r="L728" s="15">
        <v>44246</v>
      </c>
      <c r="M728">
        <f t="shared" si="74"/>
        <v>301.89214512521937</v>
      </c>
      <c r="N728">
        <f t="shared" si="75"/>
        <v>147.72997464577429</v>
      </c>
    </row>
    <row r="729" spans="1:14" x14ac:dyDescent="0.45">
      <c r="A729" s="15">
        <v>44243</v>
      </c>
      <c r="B729">
        <v>270.99685699999998</v>
      </c>
      <c r="C729" t="b">
        <f>E726=A729</f>
        <v>1</v>
      </c>
      <c r="E729" s="15">
        <v>44249</v>
      </c>
      <c r="F729">
        <f t="shared" si="71"/>
        <v>244.02610799999999</v>
      </c>
      <c r="G729">
        <v>1645.219971</v>
      </c>
      <c r="I729" s="13">
        <f t="shared" si="72"/>
        <v>-3.4523296118109337E-2</v>
      </c>
      <c r="J729" s="13">
        <f t="shared" si="73"/>
        <v>-1.8804251677352002E-2</v>
      </c>
      <c r="L729" s="15">
        <v>44249</v>
      </c>
      <c r="M729">
        <f t="shared" si="74"/>
        <v>291.46983320333021</v>
      </c>
      <c r="N729">
        <f t="shared" si="75"/>
        <v>144.95202302224632</v>
      </c>
    </row>
    <row r="730" spans="1:14" x14ac:dyDescent="0.45">
      <c r="A730" s="15">
        <v>44244</v>
      </c>
      <c r="B730">
        <v>264.849152</v>
      </c>
      <c r="C730" t="e">
        <f>#REF!=A730</f>
        <v>#REF!</v>
      </c>
      <c r="E730" s="15">
        <v>44250</v>
      </c>
      <c r="F730">
        <f t="shared" si="71"/>
        <v>235.59773300000001</v>
      </c>
      <c r="G730">
        <v>1615.969971</v>
      </c>
      <c r="I730" s="13">
        <f t="shared" si="72"/>
        <v>-3.4538824837545667E-2</v>
      </c>
      <c r="J730" s="13">
        <f t="shared" si="73"/>
        <v>-1.7778777619761876E-2</v>
      </c>
      <c r="L730" s="15">
        <v>44250</v>
      </c>
      <c r="M730">
        <f t="shared" si="74"/>
        <v>281.40280768889176</v>
      </c>
      <c r="N730">
        <f t="shared" si="75"/>
        <v>142.37495323939919</v>
      </c>
    </row>
    <row r="731" spans="1:14" x14ac:dyDescent="0.45">
      <c r="A731" s="15">
        <v>44245</v>
      </c>
      <c r="B731">
        <v>257.31317100000001</v>
      </c>
      <c r="C731" t="b">
        <f t="shared" ref="C731:C760" si="77">E727=A731</f>
        <v>1</v>
      </c>
      <c r="E731" s="15">
        <v>44251</v>
      </c>
      <c r="F731">
        <f t="shared" si="71"/>
        <v>224.09549000000001</v>
      </c>
      <c r="G731">
        <v>1609.75</v>
      </c>
      <c r="I731" s="13">
        <f t="shared" si="72"/>
        <v>-4.8821535137606786E-2</v>
      </c>
      <c r="J731" s="13">
        <f t="shared" si="73"/>
        <v>-3.8490634799054346E-3</v>
      </c>
      <c r="L731" s="15">
        <v>44251</v>
      </c>
      <c r="M731">
        <f t="shared" si="74"/>
        <v>267.6642906254873</v>
      </c>
      <c r="N731">
        <f t="shared" si="75"/>
        <v>141.82694300643217</v>
      </c>
    </row>
    <row r="732" spans="1:14" x14ac:dyDescent="0.45">
      <c r="A732" s="15">
        <v>44246</v>
      </c>
      <c r="B732">
        <v>252.751938</v>
      </c>
      <c r="C732" t="b">
        <f t="shared" si="77"/>
        <v>1</v>
      </c>
      <c r="E732" s="15">
        <v>44252</v>
      </c>
      <c r="F732">
        <f t="shared" si="71"/>
        <v>234.705307</v>
      </c>
      <c r="G732">
        <v>1627.6099850000001</v>
      </c>
      <c r="I732" s="13">
        <f t="shared" si="72"/>
        <v>4.7345071513933634E-2</v>
      </c>
      <c r="J732" s="13">
        <f t="shared" si="73"/>
        <v>1.1094881192731831E-2</v>
      </c>
      <c r="L732" s="15">
        <v>44252</v>
      </c>
      <c r="M732">
        <f t="shared" si="74"/>
        <v>280.3368756068773</v>
      </c>
      <c r="N732">
        <f t="shared" si="75"/>
        <v>143.40049608901688</v>
      </c>
    </row>
    <row r="733" spans="1:14" x14ac:dyDescent="0.45">
      <c r="A733" s="15">
        <v>44249</v>
      </c>
      <c r="B733">
        <v>244.02610799999999</v>
      </c>
      <c r="C733" t="b">
        <f t="shared" si="77"/>
        <v>1</v>
      </c>
      <c r="E733" s="15">
        <v>44253</v>
      </c>
      <c r="F733">
        <f t="shared" si="71"/>
        <v>228.95417800000001</v>
      </c>
      <c r="G733">
        <v>1606.8599850000001</v>
      </c>
      <c r="I733" s="13">
        <f t="shared" si="72"/>
        <v>-2.4503617210496209E-2</v>
      </c>
      <c r="J733" s="13">
        <f t="shared" si="73"/>
        <v>-1.2748754425956688E-2</v>
      </c>
      <c r="L733" s="15">
        <v>44253</v>
      </c>
      <c r="M733">
        <f t="shared" si="74"/>
        <v>273.46760811701989</v>
      </c>
      <c r="N733">
        <f t="shared" si="75"/>
        <v>141.57231837981763</v>
      </c>
    </row>
    <row r="734" spans="1:14" x14ac:dyDescent="0.45">
      <c r="A734" s="15">
        <v>44250</v>
      </c>
      <c r="B734">
        <v>235.59773300000001</v>
      </c>
      <c r="C734" t="b">
        <f t="shared" si="77"/>
        <v>1</v>
      </c>
      <c r="E734" s="15">
        <v>44256</v>
      </c>
      <c r="F734">
        <f t="shared" si="71"/>
        <v>232.72216800000001</v>
      </c>
      <c r="G734">
        <v>1633.01001</v>
      </c>
      <c r="I734" s="13">
        <f t="shared" si="72"/>
        <v>1.6457397864126255E-2</v>
      </c>
      <c r="J734" s="13">
        <f t="shared" si="73"/>
        <v>1.6273991040980373E-2</v>
      </c>
      <c r="L734" s="15">
        <v>44256</v>
      </c>
      <c r="M734">
        <f t="shared" si="74"/>
        <v>277.96817334675268</v>
      </c>
      <c r="N734">
        <f t="shared" si="75"/>
        <v>143.8762650207816</v>
      </c>
    </row>
    <row r="735" spans="1:14" x14ac:dyDescent="0.45">
      <c r="A735" s="15">
        <v>44251</v>
      </c>
      <c r="B735">
        <v>224.09549000000001</v>
      </c>
      <c r="C735" t="b">
        <f t="shared" si="77"/>
        <v>1</v>
      </c>
      <c r="E735" s="15">
        <v>44257</v>
      </c>
      <c r="F735">
        <f t="shared" si="71"/>
        <v>227.86346399999999</v>
      </c>
      <c r="G735">
        <v>1620.9300539999999</v>
      </c>
      <c r="I735" s="13">
        <f t="shared" si="72"/>
        <v>-2.0877701689338113E-2</v>
      </c>
      <c r="J735" s="13">
        <f t="shared" si="73"/>
        <v>-7.3973557577886595E-3</v>
      </c>
      <c r="L735" s="15">
        <v>44257</v>
      </c>
      <c r="M735">
        <f t="shared" si="74"/>
        <v>272.16483674448892</v>
      </c>
      <c r="N735">
        <f t="shared" si="75"/>
        <v>142.81196110332101</v>
      </c>
    </row>
    <row r="736" spans="1:14" x14ac:dyDescent="0.45">
      <c r="A736" s="15">
        <v>44252</v>
      </c>
      <c r="B736">
        <v>234.705307</v>
      </c>
      <c r="C736" t="b">
        <f t="shared" si="77"/>
        <v>1</v>
      </c>
      <c r="E736" s="15">
        <v>44258</v>
      </c>
      <c r="F736">
        <f t="shared" si="71"/>
        <v>216.162903</v>
      </c>
      <c r="G736">
        <v>1580.9300539999999</v>
      </c>
      <c r="I736" s="13">
        <f t="shared" si="72"/>
        <v>-5.1348999943229168E-2</v>
      </c>
      <c r="J736" s="13">
        <f t="shared" si="73"/>
        <v>-2.4677190666735571E-2</v>
      </c>
      <c r="L736" s="15">
        <v>44258</v>
      </c>
      <c r="M736">
        <f t="shared" si="74"/>
        <v>258.18944455794718</v>
      </c>
      <c r="N736">
        <f t="shared" si="75"/>
        <v>139.28776310968394</v>
      </c>
    </row>
    <row r="737" spans="1:14" x14ac:dyDescent="0.45">
      <c r="A737" s="15">
        <v>44253</v>
      </c>
      <c r="B737">
        <v>228.95417800000001</v>
      </c>
      <c r="C737" t="b">
        <f t="shared" si="77"/>
        <v>1</v>
      </c>
      <c r="E737" s="15">
        <v>44259</v>
      </c>
      <c r="F737">
        <f t="shared" si="71"/>
        <v>215.17132599999999</v>
      </c>
      <c r="G737">
        <v>1560.01001</v>
      </c>
      <c r="I737" s="13">
        <f t="shared" si="72"/>
        <v>-4.5871747012946607E-3</v>
      </c>
      <c r="J737" s="13">
        <f t="shared" si="73"/>
        <v>-1.3232744830847465E-2</v>
      </c>
      <c r="L737" s="15">
        <v>44259</v>
      </c>
      <c r="M737">
        <f t="shared" si="74"/>
        <v>257.00508446972964</v>
      </c>
      <c r="N737">
        <f t="shared" si="75"/>
        <v>137.44460368239396</v>
      </c>
    </row>
    <row r="738" spans="1:14" x14ac:dyDescent="0.45">
      <c r="A738" s="15">
        <v>44256</v>
      </c>
      <c r="B738">
        <v>232.72216800000001</v>
      </c>
      <c r="C738" t="b">
        <f t="shared" si="77"/>
        <v>1</v>
      </c>
      <c r="E738" s="15">
        <v>44260</v>
      </c>
      <c r="F738">
        <f t="shared" si="71"/>
        <v>206.742966</v>
      </c>
      <c r="G738">
        <v>1538.8199460000001</v>
      </c>
      <c r="I738" s="13">
        <f t="shared" si="72"/>
        <v>-3.9170460844768829E-2</v>
      </c>
      <c r="J738" s="13">
        <f t="shared" si="73"/>
        <v>-1.3583287199548044E-2</v>
      </c>
      <c r="L738" s="15">
        <v>44260</v>
      </c>
      <c r="M738">
        <f t="shared" si="74"/>
        <v>246.9380768716016</v>
      </c>
      <c r="N738">
        <f t="shared" si="75"/>
        <v>135.57765415654794</v>
      </c>
    </row>
    <row r="739" spans="1:14" x14ac:dyDescent="0.45">
      <c r="A739" s="15">
        <v>44257</v>
      </c>
      <c r="B739">
        <v>227.86346399999999</v>
      </c>
      <c r="C739" t="b">
        <f t="shared" si="77"/>
        <v>1</v>
      </c>
      <c r="E739" s="15">
        <v>44263</v>
      </c>
      <c r="F739">
        <f t="shared" si="71"/>
        <v>211.50251800000001</v>
      </c>
      <c r="G739">
        <v>1556.400024</v>
      </c>
      <c r="I739" s="13">
        <f t="shared" si="72"/>
        <v>2.3021590973982597E-2</v>
      </c>
      <c r="J739" s="13">
        <f t="shared" si="73"/>
        <v>1.1424389218308129E-2</v>
      </c>
      <c r="L739" s="15">
        <v>44263</v>
      </c>
      <c r="M739">
        <f t="shared" si="74"/>
        <v>252.62298427324149</v>
      </c>
      <c r="N739">
        <f t="shared" si="75"/>
        <v>137.12654604693751</v>
      </c>
    </row>
    <row r="740" spans="1:14" x14ac:dyDescent="0.45">
      <c r="A740" s="15">
        <v>44258</v>
      </c>
      <c r="B740">
        <v>216.162903</v>
      </c>
      <c r="C740" t="b">
        <f t="shared" si="77"/>
        <v>1</v>
      </c>
      <c r="E740" s="15">
        <v>44264</v>
      </c>
      <c r="F740">
        <f t="shared" si="71"/>
        <v>225.58284</v>
      </c>
      <c r="G740">
        <v>1607.329956</v>
      </c>
      <c r="I740" s="13">
        <f t="shared" si="72"/>
        <v>6.6572833898838057E-2</v>
      </c>
      <c r="J740" s="13">
        <f t="shared" si="73"/>
        <v>3.2722906203193514E-2</v>
      </c>
      <c r="L740" s="15">
        <v>44264</v>
      </c>
      <c r="M740">
        <f t="shared" si="74"/>
        <v>269.44081224429277</v>
      </c>
      <c r="N740">
        <f t="shared" si="75"/>
        <v>141.61372515119933</v>
      </c>
    </row>
    <row r="741" spans="1:14" x14ac:dyDescent="0.45">
      <c r="A741" s="15">
        <v>44259</v>
      </c>
      <c r="B741">
        <v>215.17132599999999</v>
      </c>
      <c r="C741" t="b">
        <f t="shared" si="77"/>
        <v>1</v>
      </c>
      <c r="E741" s="15">
        <v>44265</v>
      </c>
      <c r="F741">
        <f t="shared" si="71"/>
        <v>227.962616</v>
      </c>
      <c r="G741">
        <v>1621.9399410000001</v>
      </c>
      <c r="I741" s="13">
        <f t="shared" si="72"/>
        <v>1.0549454914212442E-2</v>
      </c>
      <c r="J741" s="13">
        <f t="shared" si="73"/>
        <v>9.0895991488633143E-3</v>
      </c>
      <c r="L741" s="15">
        <v>44265</v>
      </c>
      <c r="M741">
        <f t="shared" si="74"/>
        <v>272.2832659451127</v>
      </c>
      <c r="N741">
        <f t="shared" si="75"/>
        <v>142.90093714680103</v>
      </c>
    </row>
    <row r="742" spans="1:14" x14ac:dyDescent="0.45">
      <c r="A742" s="15">
        <v>44260</v>
      </c>
      <c r="B742">
        <v>206.742966</v>
      </c>
      <c r="C742" t="b">
        <f t="shared" si="77"/>
        <v>1</v>
      </c>
      <c r="E742" s="15">
        <v>44266</v>
      </c>
      <c r="F742">
        <f t="shared" si="71"/>
        <v>235.79605100000001</v>
      </c>
      <c r="G742">
        <v>1642.26001</v>
      </c>
      <c r="I742" s="13">
        <f t="shared" si="72"/>
        <v>3.4362805346995984E-2</v>
      </c>
      <c r="J742" s="13">
        <f t="shared" si="73"/>
        <v>1.252824995941082E-2</v>
      </c>
      <c r="L742" s="15">
        <v>44266</v>
      </c>
      <c r="M742">
        <f t="shared" si="74"/>
        <v>281.63968281202892</v>
      </c>
      <c r="N742">
        <f t="shared" si="75"/>
        <v>144.6912358068102</v>
      </c>
    </row>
    <row r="743" spans="1:14" x14ac:dyDescent="0.45">
      <c r="A743" s="15">
        <v>44263</v>
      </c>
      <c r="B743">
        <v>211.50251800000001</v>
      </c>
      <c r="C743" t="b">
        <f t="shared" si="77"/>
        <v>1</v>
      </c>
      <c r="E743" s="15">
        <v>44267</v>
      </c>
      <c r="F743">
        <f t="shared" si="71"/>
        <v>232.62301600000001</v>
      </c>
      <c r="G743">
        <v>1624.130005</v>
      </c>
      <c r="I743" s="13">
        <f t="shared" si="72"/>
        <v>-1.3456692707716322E-2</v>
      </c>
      <c r="J743" s="13">
        <f t="shared" si="73"/>
        <v>-1.1039667829456534E-2</v>
      </c>
      <c r="L743" s="15">
        <v>44267</v>
      </c>
      <c r="M743">
        <f t="shared" si="74"/>
        <v>277.84974414612873</v>
      </c>
      <c r="N743">
        <f t="shared" si="75"/>
        <v>143.09389262566944</v>
      </c>
    </row>
    <row r="744" spans="1:14" x14ac:dyDescent="0.45">
      <c r="A744" s="15">
        <v>44264</v>
      </c>
      <c r="B744">
        <v>225.58284</v>
      </c>
      <c r="C744" t="b">
        <f t="shared" si="77"/>
        <v>1</v>
      </c>
      <c r="E744" s="15">
        <v>44270</v>
      </c>
      <c r="F744">
        <f t="shared" si="71"/>
        <v>231.036484</v>
      </c>
      <c r="G744">
        <v>1636.079956</v>
      </c>
      <c r="I744" s="13">
        <f t="shared" si="72"/>
        <v>-6.8201849811800885E-3</v>
      </c>
      <c r="J744" s="13">
        <f t="shared" si="73"/>
        <v>7.3577552063019969E-3</v>
      </c>
      <c r="L744" s="15">
        <v>44270</v>
      </c>
      <c r="M744">
        <f t="shared" si="74"/>
        <v>275.95475749407859</v>
      </c>
      <c r="N744">
        <f t="shared" si="75"/>
        <v>144.14674245912599</v>
      </c>
    </row>
    <row r="745" spans="1:14" x14ac:dyDescent="0.45">
      <c r="A745" s="15">
        <v>44265</v>
      </c>
      <c r="B745">
        <v>227.962616</v>
      </c>
      <c r="C745" t="b">
        <f t="shared" si="77"/>
        <v>1</v>
      </c>
      <c r="E745" s="15">
        <v>44271</v>
      </c>
      <c r="F745">
        <f t="shared" si="71"/>
        <v>232.22636399999999</v>
      </c>
      <c r="G745">
        <v>1655.73999</v>
      </c>
      <c r="I745" s="13">
        <f t="shared" si="72"/>
        <v>5.1501822543316145E-3</v>
      </c>
      <c r="J745" s="13">
        <f t="shared" si="73"/>
        <v>1.201654841372557E-2</v>
      </c>
      <c r="L745" s="15">
        <v>44271</v>
      </c>
      <c r="M745">
        <f t="shared" si="74"/>
        <v>277.37597478912301</v>
      </c>
      <c r="N745">
        <f t="shared" si="75"/>
        <v>145.8788887685669</v>
      </c>
    </row>
    <row r="746" spans="1:14" x14ac:dyDescent="0.45">
      <c r="A746" s="15">
        <v>44266</v>
      </c>
      <c r="B746">
        <v>235.79605100000001</v>
      </c>
      <c r="C746" t="b">
        <f t="shared" si="77"/>
        <v>1</v>
      </c>
      <c r="E746" s="15">
        <v>44272</v>
      </c>
      <c r="F746">
        <f t="shared" si="71"/>
        <v>218.74099699999999</v>
      </c>
      <c r="G746">
        <v>1623.0600589999999</v>
      </c>
      <c r="I746" s="13">
        <f t="shared" si="72"/>
        <v>-5.8069922672517871E-2</v>
      </c>
      <c r="J746" s="13">
        <f t="shared" si="73"/>
        <v>-1.9737356829800379E-2</v>
      </c>
      <c r="L746" s="15">
        <v>44272</v>
      </c>
      <c r="M746">
        <f t="shared" si="74"/>
        <v>261.26877338190434</v>
      </c>
      <c r="N746">
        <f t="shared" si="75"/>
        <v>142.99962508700693</v>
      </c>
    </row>
    <row r="747" spans="1:14" x14ac:dyDescent="0.45">
      <c r="A747" s="15">
        <v>44267</v>
      </c>
      <c r="B747">
        <v>232.62301600000001</v>
      </c>
      <c r="C747" t="b">
        <f t="shared" si="77"/>
        <v>1</v>
      </c>
      <c r="E747" s="15">
        <v>44273</v>
      </c>
      <c r="F747">
        <f t="shared" si="71"/>
        <v>217.65025299999999</v>
      </c>
      <c r="G747">
        <v>1630.599976</v>
      </c>
      <c r="I747" s="13">
        <f t="shared" si="72"/>
        <v>-4.9864635114559297E-3</v>
      </c>
      <c r="J747" s="13">
        <f t="shared" si="73"/>
        <v>4.6454947604621655E-3</v>
      </c>
      <c r="L747" s="15">
        <v>44273</v>
      </c>
      <c r="M747">
        <f t="shared" si="74"/>
        <v>259.9659661767526</v>
      </c>
      <c r="N747">
        <f t="shared" si="75"/>
        <v>143.66392909609667</v>
      </c>
    </row>
    <row r="748" spans="1:14" x14ac:dyDescent="0.45">
      <c r="A748" s="15">
        <v>44270</v>
      </c>
      <c r="B748">
        <v>231.036484</v>
      </c>
      <c r="C748" t="b">
        <f t="shared" si="77"/>
        <v>1</v>
      </c>
      <c r="E748" s="15">
        <v>44274</v>
      </c>
      <c r="F748">
        <f t="shared" si="71"/>
        <v>221.21992499999999</v>
      </c>
      <c r="G748">
        <v>1637.030029</v>
      </c>
      <c r="I748" s="13">
        <f t="shared" si="72"/>
        <v>1.640095497614702E-2</v>
      </c>
      <c r="J748" s="13">
        <f t="shared" si="73"/>
        <v>3.9433663035943756E-3</v>
      </c>
      <c r="L748" s="15">
        <v>44274</v>
      </c>
      <c r="M748">
        <f t="shared" si="74"/>
        <v>264.22965628334811</v>
      </c>
      <c r="N748">
        <f t="shared" si="75"/>
        <v>144.23044859313617</v>
      </c>
    </row>
    <row r="749" spans="1:14" x14ac:dyDescent="0.45">
      <c r="A749" s="15">
        <v>44271</v>
      </c>
      <c r="B749">
        <v>232.22636399999999</v>
      </c>
      <c r="C749" t="b">
        <f t="shared" si="77"/>
        <v>1</v>
      </c>
      <c r="E749" s="15">
        <v>44277</v>
      </c>
      <c r="F749">
        <f t="shared" si="71"/>
        <v>225.186218</v>
      </c>
      <c r="G749">
        <v>1649.25</v>
      </c>
      <c r="I749" s="13">
        <f t="shared" si="72"/>
        <v>1.7929185176244866E-2</v>
      </c>
      <c r="J749" s="13">
        <f t="shared" si="73"/>
        <v>7.4647201233473126E-3</v>
      </c>
      <c r="L749" s="15">
        <v>44277</v>
      </c>
      <c r="M749">
        <f t="shared" si="74"/>
        <v>268.96707871990776</v>
      </c>
      <c r="N749">
        <f t="shared" si="75"/>
        <v>145.30708852514877</v>
      </c>
    </row>
    <row r="750" spans="1:14" x14ac:dyDescent="0.45">
      <c r="A750" s="15">
        <v>44272</v>
      </c>
      <c r="B750">
        <v>218.74099699999999</v>
      </c>
      <c r="C750" t="b">
        <f t="shared" si="77"/>
        <v>1</v>
      </c>
      <c r="E750" s="15">
        <v>44278</v>
      </c>
      <c r="F750">
        <f t="shared" si="71"/>
        <v>228.16095000000001</v>
      </c>
      <c r="G750">
        <v>1640.1400149999999</v>
      </c>
      <c r="I750" s="13">
        <f t="shared" si="72"/>
        <v>1.321009796434347E-2</v>
      </c>
      <c r="J750" s="13">
        <f t="shared" si="73"/>
        <v>-5.5237138093072735E-3</v>
      </c>
      <c r="L750" s="15">
        <v>44278</v>
      </c>
      <c r="M750">
        <f t="shared" si="74"/>
        <v>272.52016017898103</v>
      </c>
      <c r="N750">
        <f t="shared" si="75"/>
        <v>144.50445375367218</v>
      </c>
    </row>
    <row r="751" spans="1:14" x14ac:dyDescent="0.45">
      <c r="A751" s="15">
        <v>44273</v>
      </c>
      <c r="B751">
        <v>217.65025299999999</v>
      </c>
      <c r="C751" t="b">
        <f t="shared" si="77"/>
        <v>1</v>
      </c>
      <c r="E751" s="15">
        <v>44279</v>
      </c>
      <c r="F751">
        <f t="shared" si="71"/>
        <v>224.59127799999999</v>
      </c>
      <c r="G751">
        <v>1619.5200199999999</v>
      </c>
      <c r="I751" s="13">
        <f t="shared" si="72"/>
        <v>-1.5645411714844348E-2</v>
      </c>
      <c r="J751" s="13">
        <f t="shared" si="73"/>
        <v>-1.2572094340372542E-2</v>
      </c>
      <c r="L751" s="15">
        <v>44279</v>
      </c>
      <c r="M751">
        <f t="shared" si="74"/>
        <v>268.25647007238553</v>
      </c>
      <c r="N751">
        <f t="shared" si="75"/>
        <v>142.687730128477</v>
      </c>
    </row>
    <row r="752" spans="1:14" x14ac:dyDescent="0.45">
      <c r="A752" s="15">
        <v>44274</v>
      </c>
      <c r="B752">
        <v>221.21992499999999</v>
      </c>
      <c r="C752" t="b">
        <f t="shared" si="77"/>
        <v>1</v>
      </c>
      <c r="E752" s="15">
        <v>44280</v>
      </c>
      <c r="F752">
        <f t="shared" si="71"/>
        <v>225.781158</v>
      </c>
      <c r="G752">
        <v>1620.670044</v>
      </c>
      <c r="I752" s="13">
        <f t="shared" si="72"/>
        <v>5.2979795591172607E-3</v>
      </c>
      <c r="J752" s="13">
        <f t="shared" si="73"/>
        <v>7.1010174977637064E-4</v>
      </c>
      <c r="L752" s="15">
        <v>44280</v>
      </c>
      <c r="M752">
        <f t="shared" si="74"/>
        <v>269.67768736743</v>
      </c>
      <c r="N752">
        <f t="shared" si="75"/>
        <v>142.78905293531284</v>
      </c>
    </row>
    <row r="753" spans="1:14" x14ac:dyDescent="0.45">
      <c r="A753" s="15">
        <v>44277</v>
      </c>
      <c r="B753">
        <v>225.186218</v>
      </c>
      <c r="C753" t="b">
        <f t="shared" si="77"/>
        <v>1</v>
      </c>
      <c r="E753" s="15">
        <v>44281</v>
      </c>
      <c r="F753">
        <f t="shared" si="71"/>
        <v>235.39941400000001</v>
      </c>
      <c r="G753">
        <v>1651.25</v>
      </c>
      <c r="I753" s="13">
        <f t="shared" si="72"/>
        <v>4.2599905524445925E-2</v>
      </c>
      <c r="J753" s="13">
        <f t="shared" si="73"/>
        <v>1.8868711810409611E-2</v>
      </c>
      <c r="L753" s="15">
        <v>44281</v>
      </c>
      <c r="M753">
        <f t="shared" si="74"/>
        <v>281.16593137133356</v>
      </c>
      <c r="N753">
        <f t="shared" si="75"/>
        <v>145.48329842483056</v>
      </c>
    </row>
    <row r="754" spans="1:14" x14ac:dyDescent="0.45">
      <c r="A754" s="15">
        <v>44278</v>
      </c>
      <c r="B754">
        <v>228.16095000000001</v>
      </c>
      <c r="C754" t="b">
        <f t="shared" si="77"/>
        <v>1</v>
      </c>
      <c r="E754" s="15">
        <v>44284</v>
      </c>
      <c r="F754">
        <f t="shared" si="71"/>
        <v>241.34884600000001</v>
      </c>
      <c r="G754">
        <v>1663.0699460000001</v>
      </c>
      <c r="I754" s="13">
        <f t="shared" si="72"/>
        <v>2.5273775745253246E-2</v>
      </c>
      <c r="J754" s="13">
        <f t="shared" si="73"/>
        <v>7.158180772142364E-3</v>
      </c>
      <c r="L754" s="15">
        <v>44284</v>
      </c>
      <c r="M754">
        <f t="shared" si="74"/>
        <v>288.27205606801789</v>
      </c>
      <c r="N754">
        <f t="shared" si="75"/>
        <v>146.52469417428304</v>
      </c>
    </row>
    <row r="755" spans="1:14" x14ac:dyDescent="0.45">
      <c r="A755" s="15">
        <v>44279</v>
      </c>
      <c r="B755">
        <v>224.59127799999999</v>
      </c>
      <c r="C755" t="b">
        <f t="shared" si="77"/>
        <v>1</v>
      </c>
      <c r="E755" s="15">
        <v>44285</v>
      </c>
      <c r="F755">
        <f t="shared" si="71"/>
        <v>246.901657</v>
      </c>
      <c r="G755">
        <v>1665.349976</v>
      </c>
      <c r="I755" s="13">
        <f t="shared" si="72"/>
        <v>2.3007406465908709E-2</v>
      </c>
      <c r="J755" s="13">
        <f t="shared" si="73"/>
        <v>1.3709766119480715E-3</v>
      </c>
      <c r="L755" s="15">
        <v>44285</v>
      </c>
      <c r="M755">
        <f t="shared" si="74"/>
        <v>294.90444843473801</v>
      </c>
      <c r="N755">
        <f t="shared" si="75"/>
        <v>146.72557610306882</v>
      </c>
    </row>
    <row r="756" spans="1:14" x14ac:dyDescent="0.45">
      <c r="A756" s="15">
        <v>44280</v>
      </c>
      <c r="B756">
        <v>225.781158</v>
      </c>
      <c r="C756" t="b">
        <f t="shared" si="77"/>
        <v>1</v>
      </c>
      <c r="E756" s="15">
        <v>44286</v>
      </c>
      <c r="F756">
        <f t="shared" si="71"/>
        <v>258.20556599999998</v>
      </c>
      <c r="G756">
        <v>1689.8000489999999</v>
      </c>
      <c r="I756" s="13">
        <f t="shared" si="72"/>
        <v>4.5783042274195829E-2</v>
      </c>
      <c r="J756" s="13">
        <f t="shared" si="73"/>
        <v>1.4681642508997728E-2</v>
      </c>
      <c r="L756" s="15">
        <v>44286</v>
      </c>
      <c r="M756">
        <f t="shared" si="74"/>
        <v>308.40607126427403</v>
      </c>
      <c r="N756">
        <f t="shared" si="75"/>
        <v>148.87974855834082</v>
      </c>
    </row>
    <row r="757" spans="1:14" x14ac:dyDescent="0.45">
      <c r="A757" s="15">
        <v>44281</v>
      </c>
      <c r="B757">
        <v>235.39941400000001</v>
      </c>
      <c r="C757" t="b">
        <f t="shared" si="77"/>
        <v>1</v>
      </c>
      <c r="E757" s="15">
        <v>44292</v>
      </c>
      <c r="F757">
        <f t="shared" si="71"/>
        <v>247.69491600000001</v>
      </c>
      <c r="G757">
        <v>1695.959961</v>
      </c>
      <c r="I757" s="13">
        <f t="shared" si="72"/>
        <v>-4.0706519858677126E-2</v>
      </c>
      <c r="J757" s="13">
        <f t="shared" si="73"/>
        <v>3.6453496398258789E-3</v>
      </c>
      <c r="L757" s="15">
        <v>44292</v>
      </c>
      <c r="M757">
        <f t="shared" si="74"/>
        <v>295.85193339981828</v>
      </c>
      <c r="N757">
        <f t="shared" si="75"/>
        <v>149.42246729612535</v>
      </c>
    </row>
    <row r="758" spans="1:14" x14ac:dyDescent="0.45">
      <c r="A758" s="15">
        <v>44284</v>
      </c>
      <c r="B758">
        <v>241.34884600000001</v>
      </c>
      <c r="C758" t="b">
        <f t="shared" si="77"/>
        <v>1</v>
      </c>
      <c r="E758" s="15">
        <v>44293</v>
      </c>
      <c r="F758">
        <f t="shared" si="71"/>
        <v>242.93536399999999</v>
      </c>
      <c r="G758">
        <v>1679.6999510000001</v>
      </c>
      <c r="I758" s="13">
        <f t="shared" si="72"/>
        <v>-1.9215380262387005E-2</v>
      </c>
      <c r="J758" s="13">
        <f t="shared" si="73"/>
        <v>-9.5874963878348485E-3</v>
      </c>
      <c r="L758" s="15">
        <v>44293</v>
      </c>
      <c r="M758">
        <f t="shared" si="74"/>
        <v>290.16702599817836</v>
      </c>
      <c r="N758">
        <f t="shared" si="75"/>
        <v>147.98987993066237</v>
      </c>
    </row>
    <row r="759" spans="1:14" x14ac:dyDescent="0.45">
      <c r="A759" s="15">
        <v>44285</v>
      </c>
      <c r="B759">
        <v>246.901657</v>
      </c>
      <c r="C759" t="b">
        <f t="shared" si="77"/>
        <v>1</v>
      </c>
      <c r="E759" s="15">
        <v>44294</v>
      </c>
      <c r="F759">
        <f t="shared" si="71"/>
        <v>248.72615099999999</v>
      </c>
      <c r="G759">
        <v>1710.219971</v>
      </c>
      <c r="I759" s="13">
        <f t="shared" si="72"/>
        <v>2.3836739553488862E-2</v>
      </c>
      <c r="J759" s="13">
        <f t="shared" si="73"/>
        <v>1.8169923730622317E-2</v>
      </c>
      <c r="L759" s="15">
        <v>44294</v>
      </c>
      <c r="M759">
        <f t="shared" si="74"/>
        <v>297.08366182390739</v>
      </c>
      <c r="N759">
        <f t="shared" si="75"/>
        <v>150.67884476190645</v>
      </c>
    </row>
    <row r="760" spans="1:14" x14ac:dyDescent="0.45">
      <c r="A760" s="15">
        <v>44286</v>
      </c>
      <c r="B760">
        <v>258.20556599999998</v>
      </c>
      <c r="C760" t="b">
        <f t="shared" si="77"/>
        <v>1</v>
      </c>
      <c r="E760" s="15">
        <v>44295</v>
      </c>
      <c r="F760">
        <f t="shared" si="71"/>
        <v>250.53308100000001</v>
      </c>
      <c r="G760">
        <v>1724.420044</v>
      </c>
      <c r="I760" s="13">
        <f t="shared" si="72"/>
        <v>7.2647367103750859E-3</v>
      </c>
      <c r="J760" s="13">
        <f t="shared" si="73"/>
        <v>8.30306816712989E-3</v>
      </c>
      <c r="L760" s="15">
        <v>44295</v>
      </c>
      <c r="M760">
        <f t="shared" si="74"/>
        <v>299.24189640801217</v>
      </c>
      <c r="N760">
        <f t="shared" si="75"/>
        <v>151.92994148130893</v>
      </c>
    </row>
    <row r="761" spans="1:14" x14ac:dyDescent="0.45">
      <c r="A761" s="15">
        <v>44292</v>
      </c>
      <c r="B761">
        <v>247.69491600000001</v>
      </c>
      <c r="C761" t="e">
        <f>#REF!=A761</f>
        <v>#REF!</v>
      </c>
      <c r="E761" s="15">
        <v>44298</v>
      </c>
      <c r="F761">
        <f t="shared" si="71"/>
        <v>239.63163800000001</v>
      </c>
      <c r="G761">
        <v>1703.76001</v>
      </c>
      <c r="I761" s="13">
        <f t="shared" si="72"/>
        <v>-4.3512988210926085E-2</v>
      </c>
      <c r="J761" s="13">
        <f t="shared" si="73"/>
        <v>-1.1980859345659511E-2</v>
      </c>
      <c r="L761" s="15">
        <v>44298</v>
      </c>
      <c r="M761">
        <f t="shared" si="74"/>
        <v>286.22098729739514</v>
      </c>
      <c r="N761">
        <f t="shared" si="75"/>
        <v>150.1096902220271</v>
      </c>
    </row>
    <row r="762" spans="1:14" x14ac:dyDescent="0.45">
      <c r="A762" s="15">
        <v>44293</v>
      </c>
      <c r="B762">
        <v>242.93536399999999</v>
      </c>
      <c r="C762" t="b">
        <f t="shared" ref="C762:C779" si="78">E757=A762</f>
        <v>0</v>
      </c>
      <c r="E762" s="15">
        <v>44299</v>
      </c>
      <c r="F762">
        <f t="shared" si="71"/>
        <v>239.59172100000001</v>
      </c>
      <c r="G762">
        <v>1719.579956</v>
      </c>
      <c r="I762" s="13">
        <f t="shared" si="72"/>
        <v>-1.6657650188911521E-4</v>
      </c>
      <c r="J762" s="13">
        <f t="shared" si="73"/>
        <v>9.2853136047019724E-3</v>
      </c>
      <c r="L762" s="15">
        <v>44299</v>
      </c>
      <c r="M762">
        <f t="shared" si="74"/>
        <v>286.17330960656392</v>
      </c>
      <c r="N762">
        <f t="shared" si="75"/>
        <v>151.50350577084328</v>
      </c>
    </row>
    <row r="763" spans="1:14" x14ac:dyDescent="0.45">
      <c r="A763" s="15">
        <v>44294</v>
      </c>
      <c r="B763">
        <v>248.72615099999999</v>
      </c>
      <c r="C763" t="b">
        <f t="shared" si="78"/>
        <v>0</v>
      </c>
      <c r="E763" s="15">
        <v>44300</v>
      </c>
      <c r="F763">
        <f t="shared" si="71"/>
        <v>237.35552999999999</v>
      </c>
      <c r="G763">
        <v>1706.23999</v>
      </c>
      <c r="I763" s="13">
        <f t="shared" si="72"/>
        <v>-9.3333400280555257E-3</v>
      </c>
      <c r="J763" s="13">
        <f t="shared" si="73"/>
        <v>-7.7576887038336428E-3</v>
      </c>
      <c r="L763" s="15">
        <v>44300</v>
      </c>
      <c r="M763">
        <f t="shared" si="74"/>
        <v>283.50235680105186</v>
      </c>
      <c r="N763">
        <f t="shared" si="75"/>
        <v>150.32818873553362</v>
      </c>
    </row>
    <row r="764" spans="1:14" x14ac:dyDescent="0.45">
      <c r="A764" s="15">
        <v>44295</v>
      </c>
      <c r="B764">
        <v>250.53308100000001</v>
      </c>
      <c r="C764" t="b">
        <f t="shared" si="78"/>
        <v>0</v>
      </c>
      <c r="E764" s="15">
        <v>44301</v>
      </c>
      <c r="F764">
        <f t="shared" si="71"/>
        <v>242.14735400000001</v>
      </c>
      <c r="G764">
        <v>1719.26001</v>
      </c>
      <c r="I764" s="13">
        <f t="shared" si="72"/>
        <v>2.018838153886704E-2</v>
      </c>
      <c r="J764" s="13">
        <f t="shared" si="73"/>
        <v>7.6308257198918206E-3</v>
      </c>
      <c r="L764" s="15">
        <v>44301</v>
      </c>
      <c r="M764">
        <f t="shared" si="74"/>
        <v>289.2258105473195</v>
      </c>
      <c r="N764">
        <f t="shared" si="75"/>
        <v>151.47531694456148</v>
      </c>
    </row>
    <row r="765" spans="1:14" x14ac:dyDescent="0.45">
      <c r="A765" s="15">
        <v>44298</v>
      </c>
      <c r="B765">
        <v>239.63163800000001</v>
      </c>
      <c r="C765" t="b">
        <f t="shared" si="78"/>
        <v>0</v>
      </c>
      <c r="E765" s="15">
        <v>44302</v>
      </c>
      <c r="F765">
        <f t="shared" si="71"/>
        <v>247.57811000000001</v>
      </c>
      <c r="G765">
        <v>1737.8900149999999</v>
      </c>
      <c r="I765" s="13">
        <f t="shared" si="72"/>
        <v>2.2427484382092411E-2</v>
      </c>
      <c r="J765" s="13">
        <f t="shared" si="73"/>
        <v>1.0836060218721633E-2</v>
      </c>
      <c r="L765" s="15">
        <v>44302</v>
      </c>
      <c r="M765">
        <f t="shared" si="74"/>
        <v>295.71241789626754</v>
      </c>
      <c r="N765">
        <f t="shared" si="75"/>
        <v>153.11671260062269</v>
      </c>
    </row>
    <row r="766" spans="1:14" x14ac:dyDescent="0.45">
      <c r="A766" s="15">
        <v>44299</v>
      </c>
      <c r="B766">
        <v>239.59172100000001</v>
      </c>
      <c r="C766" t="b">
        <f t="shared" si="78"/>
        <v>0</v>
      </c>
      <c r="E766" s="15">
        <v>44305</v>
      </c>
      <c r="F766">
        <f t="shared" si="71"/>
        <v>244.064087</v>
      </c>
      <c r="G766">
        <v>1727.530029</v>
      </c>
      <c r="I766" s="13">
        <f t="shared" si="72"/>
        <v>-1.419359328657932E-2</v>
      </c>
      <c r="J766" s="13">
        <f t="shared" si="73"/>
        <v>-5.9612437556929576E-3</v>
      </c>
      <c r="L766" s="15">
        <v>44305</v>
      </c>
      <c r="M766">
        <f t="shared" si="74"/>
        <v>291.51519610685693</v>
      </c>
      <c r="N766">
        <f t="shared" si="75"/>
        <v>152.20394655374</v>
      </c>
    </row>
    <row r="767" spans="1:14" x14ac:dyDescent="0.45">
      <c r="A767" s="15">
        <v>44300</v>
      </c>
      <c r="B767">
        <v>237.35552999999999</v>
      </c>
      <c r="C767" t="b">
        <f t="shared" si="78"/>
        <v>0</v>
      </c>
      <c r="E767" s="15">
        <v>44306</v>
      </c>
      <c r="F767">
        <f t="shared" si="71"/>
        <v>235.91798399999999</v>
      </c>
      <c r="G767">
        <v>1705.26001</v>
      </c>
      <c r="I767" s="13">
        <f t="shared" si="72"/>
        <v>-3.3376901534882597E-2</v>
      </c>
      <c r="J767" s="13">
        <f t="shared" si="73"/>
        <v>-1.2891248560750856E-2</v>
      </c>
      <c r="L767" s="15">
        <v>44306</v>
      </c>
      <c r="M767">
        <f t="shared" si="74"/>
        <v>281.78532211047639</v>
      </c>
      <c r="N767">
        <f t="shared" si="75"/>
        <v>150.2418476467885</v>
      </c>
    </row>
    <row r="768" spans="1:14" x14ac:dyDescent="0.45">
      <c r="A768" s="15">
        <v>44301</v>
      </c>
      <c r="B768">
        <v>242.14735400000001</v>
      </c>
      <c r="C768" t="b">
        <f t="shared" si="78"/>
        <v>0</v>
      </c>
      <c r="E768" s="15">
        <v>44307</v>
      </c>
      <c r="F768">
        <f t="shared" si="71"/>
        <v>240.590012</v>
      </c>
      <c r="G768">
        <v>1724.869995</v>
      </c>
      <c r="I768" s="13">
        <f t="shared" si="72"/>
        <v>1.9803611071888438E-2</v>
      </c>
      <c r="J768" s="13">
        <f t="shared" si="73"/>
        <v>1.1499703790039728E-2</v>
      </c>
      <c r="L768" s="15">
        <v>44307</v>
      </c>
      <c r="M768">
        <f t="shared" si="74"/>
        <v>287.36568903531906</v>
      </c>
      <c r="N768">
        <f t="shared" si="75"/>
        <v>151.96958439159485</v>
      </c>
    </row>
    <row r="769" spans="1:14" x14ac:dyDescent="0.45">
      <c r="A769" s="15">
        <v>44302</v>
      </c>
      <c r="B769">
        <v>247.57811000000001</v>
      </c>
      <c r="C769" t="b">
        <f t="shared" si="78"/>
        <v>0</v>
      </c>
      <c r="E769" s="15">
        <v>44308</v>
      </c>
      <c r="F769">
        <f t="shared" si="71"/>
        <v>265.14816300000001</v>
      </c>
      <c r="G769">
        <v>1763.849976</v>
      </c>
      <c r="I769" s="13">
        <f t="shared" si="72"/>
        <v>0.10207469044891204</v>
      </c>
      <c r="J769" s="13">
        <f t="shared" si="73"/>
        <v>2.2598793597774947E-2</v>
      </c>
      <c r="L769" s="15">
        <v>44308</v>
      </c>
      <c r="M769">
        <f t="shared" si="74"/>
        <v>316.69845278923759</v>
      </c>
      <c r="N769">
        <f t="shared" si="75"/>
        <v>155.40391366240016</v>
      </c>
    </row>
    <row r="770" spans="1:14" x14ac:dyDescent="0.45">
      <c r="A770" s="15">
        <v>44305</v>
      </c>
      <c r="B770">
        <v>244.064087</v>
      </c>
      <c r="C770" t="b">
        <f t="shared" si="78"/>
        <v>0</v>
      </c>
      <c r="E770" s="15">
        <v>44309</v>
      </c>
      <c r="F770">
        <f t="shared" si="71"/>
        <v>262.35290500000002</v>
      </c>
      <c r="G770">
        <v>1761.540039</v>
      </c>
      <c r="I770" s="13">
        <f t="shared" si="72"/>
        <v>-1.0542249165045092E-2</v>
      </c>
      <c r="J770" s="13">
        <f t="shared" si="73"/>
        <v>-1.3095994735552452E-3</v>
      </c>
      <c r="L770" s="15">
        <v>44309</v>
      </c>
      <c r="M770">
        <f t="shared" si="74"/>
        <v>313.3597387897492</v>
      </c>
      <c r="N770">
        <f t="shared" si="75"/>
        <v>155.20039677887945</v>
      </c>
    </row>
    <row r="771" spans="1:14" x14ac:dyDescent="0.45">
      <c r="A771" s="15">
        <v>44306</v>
      </c>
      <c r="B771">
        <v>235.91798399999999</v>
      </c>
      <c r="C771" t="b">
        <f t="shared" si="78"/>
        <v>0</v>
      </c>
      <c r="E771" s="15">
        <v>44312</v>
      </c>
      <c r="F771">
        <f t="shared" ref="F771:F834" si="79">VLOOKUP(E771,A771:B2010,2,0)</f>
        <v>264.82870500000001</v>
      </c>
      <c r="G771">
        <v>1765.209961</v>
      </c>
      <c r="I771" s="13">
        <f t="shared" si="72"/>
        <v>9.4369071308739727E-3</v>
      </c>
      <c r="J771" s="13">
        <f t="shared" si="73"/>
        <v>2.0833599684078052E-3</v>
      </c>
      <c r="L771" s="15">
        <v>44312</v>
      </c>
      <c r="M771">
        <f t="shared" si="74"/>
        <v>316.31688554326297</v>
      </c>
      <c r="N771">
        <f t="shared" si="75"/>
        <v>155.52373507260958</v>
      </c>
    </row>
    <row r="772" spans="1:14" x14ac:dyDescent="0.45">
      <c r="A772" s="15">
        <v>44307</v>
      </c>
      <c r="B772">
        <v>240.590012</v>
      </c>
      <c r="C772" t="b">
        <f t="shared" si="78"/>
        <v>0</v>
      </c>
      <c r="E772" s="15">
        <v>44313</v>
      </c>
      <c r="F772">
        <f t="shared" si="79"/>
        <v>275.87988300000001</v>
      </c>
      <c r="G772">
        <v>1788.4799800000001</v>
      </c>
      <c r="I772" s="13">
        <f t="shared" ref="I772:I835" si="80">F772/F771-1</f>
        <v>4.1729532302776651E-2</v>
      </c>
      <c r="J772" s="13">
        <f t="shared" ref="J772:J835" si="81">G772/G771-1</f>
        <v>1.318257856805749E-2</v>
      </c>
      <c r="L772" s="15">
        <v>44313</v>
      </c>
      <c r="M772">
        <f t="shared" ref="M772:M835" si="82">M771*(1+I772)</f>
        <v>329.51664123645429</v>
      </c>
      <c r="N772">
        <f t="shared" ref="N772:N835" si="83">N771*(1+J772)</f>
        <v>157.573938929402</v>
      </c>
    </row>
    <row r="773" spans="1:14" x14ac:dyDescent="0.45">
      <c r="A773" s="15">
        <v>44308</v>
      </c>
      <c r="B773">
        <v>265.14816300000001</v>
      </c>
      <c r="C773" t="b">
        <f t="shared" si="78"/>
        <v>0</v>
      </c>
      <c r="E773" s="15">
        <v>44314</v>
      </c>
      <c r="F773">
        <f t="shared" si="79"/>
        <v>265.64730800000001</v>
      </c>
      <c r="G773">
        <v>1781.1099850000001</v>
      </c>
      <c r="I773" s="13">
        <f t="shared" si="80"/>
        <v>-3.7090689211289773E-2</v>
      </c>
      <c r="J773" s="13">
        <f t="shared" si="81"/>
        <v>-4.1208149279926554E-3</v>
      </c>
      <c r="L773" s="15">
        <v>44314</v>
      </c>
      <c r="M773">
        <f t="shared" si="82"/>
        <v>317.29464190640488</v>
      </c>
      <c r="N773">
        <f t="shared" si="83"/>
        <v>156.92460588959912</v>
      </c>
    </row>
    <row r="774" spans="1:14" x14ac:dyDescent="0.45">
      <c r="A774" s="15">
        <v>44309</v>
      </c>
      <c r="B774">
        <v>262.35290500000002</v>
      </c>
      <c r="C774" t="b">
        <f t="shared" si="78"/>
        <v>0</v>
      </c>
      <c r="E774" s="15">
        <v>44315</v>
      </c>
      <c r="F774">
        <f t="shared" si="79"/>
        <v>257.76077299999997</v>
      </c>
      <c r="G774">
        <v>1766.3599850000001</v>
      </c>
      <c r="I774" s="13">
        <f t="shared" si="80"/>
        <v>-2.9687991417552961E-2</v>
      </c>
      <c r="J774" s="13">
        <f t="shared" si="81"/>
        <v>-8.2813527093892336E-3</v>
      </c>
      <c r="L774" s="15">
        <v>44315</v>
      </c>
      <c r="M774">
        <f t="shared" si="82"/>
        <v>307.874801300652</v>
      </c>
      <c r="N774">
        <f t="shared" si="83"/>
        <v>155.62505787944545</v>
      </c>
    </row>
    <row r="775" spans="1:14" x14ac:dyDescent="0.45">
      <c r="A775" s="15">
        <v>44312</v>
      </c>
      <c r="B775">
        <v>264.82870500000001</v>
      </c>
      <c r="C775" t="b">
        <f t="shared" si="78"/>
        <v>0</v>
      </c>
      <c r="E775" s="15">
        <v>44319</v>
      </c>
      <c r="F775">
        <f t="shared" si="79"/>
        <v>246.579803</v>
      </c>
      <c r="G775">
        <v>1769.410034</v>
      </c>
      <c r="I775" s="13">
        <f t="shared" si="80"/>
        <v>-4.3377314049255933E-2</v>
      </c>
      <c r="J775" s="13">
        <f t="shared" si="81"/>
        <v>1.72674258129768E-3</v>
      </c>
      <c r="L775" s="15">
        <v>44319</v>
      </c>
      <c r="M775">
        <f t="shared" si="82"/>
        <v>294.52001935678135</v>
      </c>
      <c r="N775">
        <f t="shared" si="83"/>
        <v>155.89378229360281</v>
      </c>
    </row>
    <row r="776" spans="1:14" x14ac:dyDescent="0.45">
      <c r="A776" s="15">
        <v>44313</v>
      </c>
      <c r="B776">
        <v>275.87988300000001</v>
      </c>
      <c r="C776" t="b">
        <f t="shared" si="78"/>
        <v>0</v>
      </c>
      <c r="E776" s="15">
        <v>44320</v>
      </c>
      <c r="F776">
        <f t="shared" si="79"/>
        <v>230.00804099999999</v>
      </c>
      <c r="G776">
        <v>1734.579956</v>
      </c>
      <c r="I776" s="13">
        <f t="shared" si="80"/>
        <v>-6.7206485682852146E-2</v>
      </c>
      <c r="J776" s="13">
        <f t="shared" si="81"/>
        <v>-1.9684571315141453E-2</v>
      </c>
      <c r="L776" s="15">
        <v>44320</v>
      </c>
      <c r="M776">
        <f t="shared" si="82"/>
        <v>274.7263638925665</v>
      </c>
      <c r="N776">
        <f t="shared" si="83"/>
        <v>152.82508001845724</v>
      </c>
    </row>
    <row r="777" spans="1:14" x14ac:dyDescent="0.45">
      <c r="A777" s="15">
        <v>44314</v>
      </c>
      <c r="B777">
        <v>265.64730800000001</v>
      </c>
      <c r="C777" t="b">
        <f t="shared" si="78"/>
        <v>0</v>
      </c>
      <c r="E777" s="15">
        <v>44321</v>
      </c>
      <c r="F777">
        <f t="shared" si="79"/>
        <v>248.376755</v>
      </c>
      <c r="G777">
        <v>1771.030029</v>
      </c>
      <c r="I777" s="13">
        <f t="shared" si="80"/>
        <v>7.98611818966799E-2</v>
      </c>
      <c r="J777" s="13">
        <f t="shared" si="81"/>
        <v>2.1013775049064431E-2</v>
      </c>
      <c r="L777" s="15">
        <v>44321</v>
      </c>
      <c r="M777">
        <f t="shared" si="82"/>
        <v>296.66633601120424</v>
      </c>
      <c r="N777">
        <f t="shared" si="83"/>
        <v>156.03651187182038</v>
      </c>
    </row>
    <row r="778" spans="1:14" x14ac:dyDescent="0.45">
      <c r="A778" s="15">
        <v>44315</v>
      </c>
      <c r="B778">
        <v>257.76077299999997</v>
      </c>
      <c r="C778" t="b">
        <f t="shared" si="78"/>
        <v>0</v>
      </c>
      <c r="E778" s="15">
        <v>44322</v>
      </c>
      <c r="F778">
        <f t="shared" si="79"/>
        <v>232.004639</v>
      </c>
      <c r="G778">
        <v>1750.5200199999999</v>
      </c>
      <c r="I778" s="13">
        <f t="shared" si="80"/>
        <v>-6.5916458245055987E-2</v>
      </c>
      <c r="J778" s="13">
        <f t="shared" si="81"/>
        <v>-1.1580836385694071E-2</v>
      </c>
      <c r="L778" s="15">
        <v>44322</v>
      </c>
      <c r="M778">
        <f t="shared" si="82"/>
        <v>277.11114186080795</v>
      </c>
      <c r="N778">
        <f t="shared" si="83"/>
        <v>154.22947855763843</v>
      </c>
    </row>
    <row r="779" spans="1:14" x14ac:dyDescent="0.45">
      <c r="A779" s="15">
        <v>44319</v>
      </c>
      <c r="B779">
        <v>246.579803</v>
      </c>
      <c r="C779" t="b">
        <f t="shared" si="78"/>
        <v>0</v>
      </c>
      <c r="E779" s="15">
        <v>44323</v>
      </c>
      <c r="F779">
        <f t="shared" si="79"/>
        <v>244.58320599999999</v>
      </c>
      <c r="G779">
        <v>1779.530029</v>
      </c>
      <c r="I779" s="13">
        <f t="shared" si="80"/>
        <v>5.4216877103047789E-2</v>
      </c>
      <c r="J779" s="13">
        <f t="shared" si="81"/>
        <v>1.6572223492765437E-2</v>
      </c>
      <c r="L779" s="15">
        <v>44323</v>
      </c>
      <c r="M779">
        <f t="shared" si="82"/>
        <v>292.13524258296059</v>
      </c>
      <c r="N779">
        <f t="shared" si="83"/>
        <v>156.78540394546829</v>
      </c>
    </row>
    <row r="780" spans="1:14" x14ac:dyDescent="0.45">
      <c r="A780" s="15">
        <v>44320</v>
      </c>
      <c r="B780">
        <v>230.00804099999999</v>
      </c>
      <c r="C780" t="e">
        <f>#REF!=A780</f>
        <v>#REF!</v>
      </c>
      <c r="E780" s="15">
        <v>44326</v>
      </c>
      <c r="F780">
        <f t="shared" si="79"/>
        <v>235.398865</v>
      </c>
      <c r="G780">
        <v>1772.839966</v>
      </c>
      <c r="I780" s="13">
        <f t="shared" si="80"/>
        <v>-3.7550987863001484E-2</v>
      </c>
      <c r="J780" s="13">
        <f t="shared" si="81"/>
        <v>-3.7594549633755969E-3</v>
      </c>
      <c r="L780" s="15">
        <v>44326</v>
      </c>
      <c r="M780">
        <f t="shared" si="82"/>
        <v>281.16527563437285</v>
      </c>
      <c r="N780">
        <f t="shared" si="83"/>
        <v>156.19597628042064</v>
      </c>
    </row>
    <row r="781" spans="1:14" x14ac:dyDescent="0.45">
      <c r="A781" s="15">
        <v>44321</v>
      </c>
      <c r="B781">
        <v>248.376755</v>
      </c>
      <c r="C781" t="b">
        <f t="shared" ref="C781:C788" si="84">E775=A781</f>
        <v>0</v>
      </c>
      <c r="E781" s="15">
        <v>44327</v>
      </c>
      <c r="F781">
        <f t="shared" si="79"/>
        <v>228.31094400000001</v>
      </c>
      <c r="G781">
        <v>1726.2700199999999</v>
      </c>
      <c r="I781" s="13">
        <f t="shared" si="80"/>
        <v>-3.0110259877421219E-2</v>
      </c>
      <c r="J781" s="13">
        <f t="shared" si="81"/>
        <v>-2.6268556041792235E-2</v>
      </c>
      <c r="L781" s="15">
        <v>44327</v>
      </c>
      <c r="M781">
        <f t="shared" si="82"/>
        <v>272.69931611651509</v>
      </c>
      <c r="N781">
        <f t="shared" si="83"/>
        <v>152.09293352399595</v>
      </c>
    </row>
    <row r="782" spans="1:14" x14ac:dyDescent="0.45">
      <c r="A782" s="15">
        <v>44322</v>
      </c>
      <c r="B782">
        <v>232.004639</v>
      </c>
      <c r="C782" t="b">
        <f t="shared" si="84"/>
        <v>0</v>
      </c>
      <c r="E782" s="15">
        <v>44328</v>
      </c>
      <c r="F782">
        <f t="shared" si="79"/>
        <v>226.11468500000001</v>
      </c>
      <c r="G782">
        <v>1718.4300539999999</v>
      </c>
      <c r="I782" s="13">
        <f t="shared" si="80"/>
        <v>-9.6195958087755828E-3</v>
      </c>
      <c r="J782" s="13">
        <f t="shared" si="81"/>
        <v>-4.5415641291157716E-3</v>
      </c>
      <c r="L782" s="15">
        <v>44328</v>
      </c>
      <c r="M782">
        <f t="shared" si="82"/>
        <v>270.07605891814467</v>
      </c>
      <c r="N782">
        <f t="shared" si="83"/>
        <v>151.4021937128114</v>
      </c>
    </row>
    <row r="783" spans="1:14" x14ac:dyDescent="0.45">
      <c r="A783" s="15">
        <v>44323</v>
      </c>
      <c r="B783">
        <v>244.58320599999999</v>
      </c>
      <c r="C783" t="b">
        <f t="shared" si="84"/>
        <v>0</v>
      </c>
      <c r="E783" s="15">
        <v>44333</v>
      </c>
      <c r="F783">
        <f t="shared" si="79"/>
        <v>226.613831</v>
      </c>
      <c r="G783">
        <v>1742.4399410000001</v>
      </c>
      <c r="I783" s="13">
        <f t="shared" si="80"/>
        <v>2.2074904157596276E-3</v>
      </c>
      <c r="J783" s="13">
        <f t="shared" si="81"/>
        <v>1.3971989691470066E-2</v>
      </c>
      <c r="L783" s="15">
        <v>44333</v>
      </c>
      <c r="M783">
        <f t="shared" si="82"/>
        <v>270.67224922973259</v>
      </c>
      <c r="N783">
        <f t="shared" si="83"/>
        <v>153.51758360263275</v>
      </c>
    </row>
    <row r="784" spans="1:14" x14ac:dyDescent="0.45">
      <c r="A784" s="15">
        <v>44326</v>
      </c>
      <c r="B784">
        <v>235.398865</v>
      </c>
      <c r="C784" t="b">
        <f t="shared" si="84"/>
        <v>0</v>
      </c>
      <c r="E784" s="15">
        <v>44334</v>
      </c>
      <c r="F784">
        <f t="shared" si="79"/>
        <v>231.006348</v>
      </c>
      <c r="G784">
        <v>1754.8100589999999</v>
      </c>
      <c r="I784" s="13">
        <f t="shared" si="80"/>
        <v>1.938326968224624E-2</v>
      </c>
      <c r="J784" s="13">
        <f t="shared" si="81"/>
        <v>7.0993081075152453E-3</v>
      </c>
      <c r="L784" s="15">
        <v>44334</v>
      </c>
      <c r="M784">
        <f t="shared" si="82"/>
        <v>275.91876243205269</v>
      </c>
      <c r="N784">
        <f t="shared" si="83"/>
        <v>154.60745222854908</v>
      </c>
    </row>
    <row r="785" spans="1:14" x14ac:dyDescent="0.45">
      <c r="A785" s="15">
        <v>44327</v>
      </c>
      <c r="B785">
        <v>228.31094400000001</v>
      </c>
      <c r="C785" t="b">
        <f t="shared" si="84"/>
        <v>0</v>
      </c>
      <c r="E785" s="15">
        <v>44335</v>
      </c>
      <c r="F785">
        <f t="shared" si="79"/>
        <v>226.21452300000001</v>
      </c>
      <c r="G785">
        <v>1743.6099850000001</v>
      </c>
      <c r="I785" s="13">
        <f t="shared" si="80"/>
        <v>-2.0743261133239432E-2</v>
      </c>
      <c r="J785" s="13">
        <f t="shared" si="81"/>
        <v>-6.3824993152720166E-3</v>
      </c>
      <c r="L785" s="15">
        <v>44335</v>
      </c>
      <c r="M785">
        <f t="shared" si="82"/>
        <v>270.19530749136436</v>
      </c>
      <c r="N785">
        <f t="shared" si="83"/>
        <v>153.6206702705644</v>
      </c>
    </row>
    <row r="786" spans="1:14" x14ac:dyDescent="0.45">
      <c r="A786" s="15">
        <v>44328</v>
      </c>
      <c r="B786">
        <v>226.11468500000001</v>
      </c>
      <c r="C786" t="b">
        <f t="shared" si="84"/>
        <v>0</v>
      </c>
      <c r="E786" s="15">
        <v>44336</v>
      </c>
      <c r="F786">
        <f t="shared" si="79"/>
        <v>230.60702499999999</v>
      </c>
      <c r="G786">
        <v>1776.839966</v>
      </c>
      <c r="I786" s="13">
        <f t="shared" si="80"/>
        <v>1.9417418217662297E-2</v>
      </c>
      <c r="J786" s="13">
        <f t="shared" si="81"/>
        <v>1.9058150208975722E-2</v>
      </c>
      <c r="L786" s="15">
        <v>44336</v>
      </c>
      <c r="M786">
        <f t="shared" si="82"/>
        <v>275.44180277737405</v>
      </c>
      <c r="N786">
        <f t="shared" si="83"/>
        <v>156.54839607978434</v>
      </c>
    </row>
    <row r="787" spans="1:14" x14ac:dyDescent="0.45">
      <c r="A787" s="15">
        <v>44333</v>
      </c>
      <c r="B787">
        <v>226.613831</v>
      </c>
      <c r="C787" t="b">
        <f t="shared" si="84"/>
        <v>0</v>
      </c>
      <c r="E787" s="15">
        <v>44337</v>
      </c>
      <c r="F787">
        <f t="shared" si="79"/>
        <v>231.70517000000001</v>
      </c>
      <c r="G787">
        <v>1796.8900149999999</v>
      </c>
      <c r="I787" s="13">
        <f t="shared" si="80"/>
        <v>4.761975486219594E-3</v>
      </c>
      <c r="J787" s="13">
        <f t="shared" si="81"/>
        <v>1.1284105143771761E-2</v>
      </c>
      <c r="L787" s="15">
        <v>44337</v>
      </c>
      <c r="M787">
        <f t="shared" si="82"/>
        <v>276.75344989008005</v>
      </c>
      <c r="N787">
        <f t="shared" si="83"/>
        <v>158.31490464123746</v>
      </c>
    </row>
    <row r="788" spans="1:14" x14ac:dyDescent="0.45">
      <c r="A788" s="15">
        <v>44334</v>
      </c>
      <c r="B788">
        <v>231.006348</v>
      </c>
      <c r="C788" t="b">
        <f t="shared" si="84"/>
        <v>0</v>
      </c>
      <c r="E788" s="15">
        <v>44341</v>
      </c>
      <c r="F788">
        <f t="shared" si="79"/>
        <v>234.60022000000001</v>
      </c>
      <c r="G788">
        <v>1803.01001</v>
      </c>
      <c r="I788" s="13">
        <f t="shared" si="80"/>
        <v>1.2494542094162231E-2</v>
      </c>
      <c r="J788" s="13">
        <f t="shared" si="81"/>
        <v>3.4058818007289826E-3</v>
      </c>
      <c r="L788" s="15">
        <v>44341</v>
      </c>
      <c r="M788">
        <f t="shared" si="82"/>
        <v>280.21135751943626</v>
      </c>
      <c r="N788">
        <f t="shared" si="83"/>
        <v>158.85410649373921</v>
      </c>
    </row>
    <row r="789" spans="1:14" x14ac:dyDescent="0.45">
      <c r="A789" s="15">
        <v>44335</v>
      </c>
      <c r="B789">
        <v>226.21452300000001</v>
      </c>
      <c r="C789" t="e">
        <f>#REF!=A789</f>
        <v>#REF!</v>
      </c>
      <c r="E789" s="15">
        <v>44342</v>
      </c>
      <c r="F789">
        <f t="shared" si="79"/>
        <v>234.799881</v>
      </c>
      <c r="G789">
        <v>1801.5200199999999</v>
      </c>
      <c r="I789" s="13">
        <f t="shared" si="80"/>
        <v>8.5106910811938441E-4</v>
      </c>
      <c r="J789" s="13">
        <f t="shared" si="81"/>
        <v>-8.2639030939157809E-4</v>
      </c>
      <c r="L789" s="15">
        <v>44342</v>
      </c>
      <c r="M789">
        <f t="shared" si="82"/>
        <v>280.44983674956524</v>
      </c>
      <c r="N789">
        <f t="shared" si="83"/>
        <v>158.72283099952571</v>
      </c>
    </row>
    <row r="790" spans="1:14" x14ac:dyDescent="0.45">
      <c r="A790" s="15">
        <v>44336</v>
      </c>
      <c r="B790">
        <v>230.60702499999999</v>
      </c>
      <c r="C790" t="b">
        <f>E783=A790</f>
        <v>0</v>
      </c>
      <c r="E790" s="15">
        <v>44343</v>
      </c>
      <c r="F790">
        <f t="shared" si="79"/>
        <v>233.50209000000001</v>
      </c>
      <c r="G790">
        <v>1782.3000489999999</v>
      </c>
      <c r="I790" s="13">
        <f t="shared" si="80"/>
        <v>-5.5272217109854083E-3</v>
      </c>
      <c r="J790" s="13">
        <f t="shared" si="81"/>
        <v>-1.0668752379448976E-2</v>
      </c>
      <c r="L790" s="15">
        <v>44343</v>
      </c>
      <c r="M790">
        <f t="shared" si="82"/>
        <v>278.89972832304073</v>
      </c>
      <c r="N790">
        <f t="shared" si="83"/>
        <v>157.02945641862664</v>
      </c>
    </row>
    <row r="791" spans="1:14" x14ac:dyDescent="0.45">
      <c r="A791" s="15">
        <v>44337</v>
      </c>
      <c r="B791">
        <v>231.70517000000001</v>
      </c>
      <c r="C791" t="b">
        <f>E784=A791</f>
        <v>0</v>
      </c>
      <c r="E791" s="15">
        <v>44344</v>
      </c>
      <c r="F791">
        <f t="shared" si="79"/>
        <v>238.39376799999999</v>
      </c>
      <c r="G791">
        <v>1805.8900149999999</v>
      </c>
      <c r="I791" s="13">
        <f t="shared" si="80"/>
        <v>2.0949182938790667E-2</v>
      </c>
      <c r="J791" s="13">
        <f t="shared" si="81"/>
        <v>1.3235687230797932E-2</v>
      </c>
      <c r="L791" s="15">
        <v>44344</v>
      </c>
      <c r="M791">
        <f t="shared" si="82"/>
        <v>284.74244975325911</v>
      </c>
      <c r="N791">
        <f t="shared" si="83"/>
        <v>159.10784918980579</v>
      </c>
    </row>
    <row r="792" spans="1:14" x14ac:dyDescent="0.45">
      <c r="A792" s="15">
        <v>44341</v>
      </c>
      <c r="B792">
        <v>234.60022000000001</v>
      </c>
      <c r="C792" t="b">
        <f>E785=A792</f>
        <v>0</v>
      </c>
      <c r="E792" s="15">
        <v>44347</v>
      </c>
      <c r="F792">
        <f t="shared" si="79"/>
        <v>236.39717099999999</v>
      </c>
      <c r="G792">
        <v>1793.0500489999999</v>
      </c>
      <c r="I792" s="13">
        <f t="shared" si="80"/>
        <v>-8.3752063518707232E-3</v>
      </c>
      <c r="J792" s="13">
        <f t="shared" si="81"/>
        <v>-7.1100487257526046E-3</v>
      </c>
      <c r="L792" s="15">
        <v>44347</v>
      </c>
      <c r="M792">
        <f t="shared" si="82"/>
        <v>282.35767297943841</v>
      </c>
      <c r="N792">
        <f t="shared" si="83"/>
        <v>157.97658462941658</v>
      </c>
    </row>
    <row r="793" spans="1:14" x14ac:dyDescent="0.45">
      <c r="A793" s="15">
        <v>44342</v>
      </c>
      <c r="B793">
        <v>234.799881</v>
      </c>
      <c r="C793" t="b">
        <f>E786=A793</f>
        <v>0</v>
      </c>
      <c r="E793" s="15">
        <v>44348</v>
      </c>
      <c r="F793">
        <f t="shared" si="79"/>
        <v>237.99443099999999</v>
      </c>
      <c r="G793">
        <v>1807.119995</v>
      </c>
      <c r="I793" s="13">
        <f t="shared" si="80"/>
        <v>6.7566798419935736E-3</v>
      </c>
      <c r="J793" s="13">
        <f t="shared" si="81"/>
        <v>7.8469343384179879E-3</v>
      </c>
      <c r="L793" s="15">
        <v>44348</v>
      </c>
      <c r="M793">
        <f t="shared" si="82"/>
        <v>284.26547337669081</v>
      </c>
      <c r="N793">
        <f t="shared" si="83"/>
        <v>159.21621651601114</v>
      </c>
    </row>
    <row r="794" spans="1:14" x14ac:dyDescent="0.45">
      <c r="A794" s="15">
        <v>44343</v>
      </c>
      <c r="B794">
        <v>233.50209000000001</v>
      </c>
      <c r="C794" t="b">
        <f>E787=A794</f>
        <v>0</v>
      </c>
      <c r="E794" s="15">
        <v>44349</v>
      </c>
      <c r="F794">
        <f t="shared" si="79"/>
        <v>225.715363</v>
      </c>
      <c r="G794">
        <v>1786.329956</v>
      </c>
      <c r="I794" s="13">
        <f t="shared" si="80"/>
        <v>-5.1593929943680061E-2</v>
      </c>
      <c r="J794" s="13">
        <f t="shared" si="81"/>
        <v>-1.1504514950596789E-2</v>
      </c>
      <c r="L794" s="15">
        <v>44349</v>
      </c>
      <c r="M794">
        <f t="shared" si="82"/>
        <v>269.59910045788678</v>
      </c>
      <c r="N794">
        <f t="shared" si="83"/>
        <v>157.38451117272524</v>
      </c>
    </row>
    <row r="795" spans="1:14" x14ac:dyDescent="0.45">
      <c r="A795" s="15">
        <v>44344</v>
      </c>
      <c r="B795">
        <v>238.39376799999999</v>
      </c>
      <c r="C795" t="e">
        <f>#REF!=A795</f>
        <v>#REF!</v>
      </c>
      <c r="E795" s="15">
        <v>44350</v>
      </c>
      <c r="F795">
        <f t="shared" si="79"/>
        <v>223.519104</v>
      </c>
      <c r="G795">
        <v>1787.959961</v>
      </c>
      <c r="I795" s="13">
        <f t="shared" si="80"/>
        <v>-9.7302149521829584E-3</v>
      </c>
      <c r="J795" s="13">
        <f t="shared" si="81"/>
        <v>9.1248819655342928E-4</v>
      </c>
      <c r="L795" s="15">
        <v>44350</v>
      </c>
      <c r="M795">
        <f t="shared" si="82"/>
        <v>266.97584325951635</v>
      </c>
      <c r="N795">
        <f t="shared" si="83"/>
        <v>157.52812268149069</v>
      </c>
    </row>
    <row r="796" spans="1:14" x14ac:dyDescent="0.45">
      <c r="A796" s="15">
        <v>44347</v>
      </c>
      <c r="B796">
        <v>236.39717099999999</v>
      </c>
      <c r="C796" t="b">
        <f t="shared" ref="C796:C859" si="85">E788=A796</f>
        <v>0</v>
      </c>
      <c r="E796" s="15">
        <v>44351</v>
      </c>
      <c r="F796">
        <f t="shared" si="79"/>
        <v>225.216217</v>
      </c>
      <c r="G796">
        <v>1799.790039</v>
      </c>
      <c r="I796" s="13">
        <f t="shared" si="80"/>
        <v>7.5926977588456346E-3</v>
      </c>
      <c r="J796" s="13">
        <f t="shared" si="81"/>
        <v>6.6165228853243274E-3</v>
      </c>
      <c r="L796" s="15">
        <v>44351</v>
      </c>
      <c r="M796">
        <f t="shared" si="82"/>
        <v>269.0029101462988</v>
      </c>
      <c r="N796">
        <f t="shared" si="83"/>
        <v>158.57041111029494</v>
      </c>
    </row>
    <row r="797" spans="1:14" x14ac:dyDescent="0.45">
      <c r="A797" s="15">
        <v>44348</v>
      </c>
      <c r="B797">
        <v>237.99443099999999</v>
      </c>
      <c r="C797" t="b">
        <f t="shared" si="85"/>
        <v>0</v>
      </c>
      <c r="E797" s="15">
        <v>44354</v>
      </c>
      <c r="F797">
        <f t="shared" si="79"/>
        <v>220.52420000000001</v>
      </c>
      <c r="G797">
        <v>1806.3599850000001</v>
      </c>
      <c r="I797" s="13">
        <f t="shared" si="80"/>
        <v>-2.0833388743049519E-2</v>
      </c>
      <c r="J797" s="13">
        <f t="shared" si="81"/>
        <v>3.6503958004181492E-3</v>
      </c>
      <c r="L797" s="15">
        <v>44354</v>
      </c>
      <c r="M797">
        <f t="shared" si="82"/>
        <v>263.39866794620934</v>
      </c>
      <c r="N797">
        <f t="shared" si="83"/>
        <v>159.14925587308255</v>
      </c>
    </row>
    <row r="798" spans="1:14" x14ac:dyDescent="0.45">
      <c r="A798" s="15">
        <v>44349</v>
      </c>
      <c r="B798">
        <v>225.715363</v>
      </c>
      <c r="C798" t="b">
        <f t="shared" si="85"/>
        <v>0</v>
      </c>
      <c r="E798" s="15">
        <v>44355</v>
      </c>
      <c r="F798">
        <f t="shared" si="79"/>
        <v>218.028458</v>
      </c>
      <c r="G798">
        <v>1802.2299800000001</v>
      </c>
      <c r="I798" s="13">
        <f t="shared" si="80"/>
        <v>-1.1317315741311007E-2</v>
      </c>
      <c r="J798" s="13">
        <f t="shared" si="81"/>
        <v>-2.2863687383996023E-3</v>
      </c>
      <c r="L798" s="15">
        <v>44355</v>
      </c>
      <c r="M798">
        <f t="shared" si="82"/>
        <v>260.41770205522135</v>
      </c>
      <c r="N798">
        <f t="shared" si="83"/>
        <v>158.78538198971478</v>
      </c>
    </row>
    <row r="799" spans="1:14" x14ac:dyDescent="0.45">
      <c r="A799" s="15">
        <v>44350</v>
      </c>
      <c r="B799">
        <v>223.519104</v>
      </c>
      <c r="C799" t="b">
        <f t="shared" si="85"/>
        <v>0</v>
      </c>
      <c r="E799" s="15">
        <v>44356</v>
      </c>
      <c r="F799">
        <f t="shared" si="79"/>
        <v>217.42948899999999</v>
      </c>
      <c r="G799">
        <v>1815.420044</v>
      </c>
      <c r="I799" s="13">
        <f t="shared" si="80"/>
        <v>-2.7472055964364861E-3</v>
      </c>
      <c r="J799" s="13">
        <f t="shared" si="81"/>
        <v>7.3187463011794573E-3</v>
      </c>
      <c r="L799" s="15">
        <v>44356</v>
      </c>
      <c r="M799">
        <f t="shared" si="82"/>
        <v>259.7022810867241</v>
      </c>
      <c r="N799">
        <f t="shared" si="83"/>
        <v>159.94749191683337</v>
      </c>
    </row>
    <row r="800" spans="1:14" x14ac:dyDescent="0.45">
      <c r="A800" s="15">
        <v>44351</v>
      </c>
      <c r="B800">
        <v>225.216217</v>
      </c>
      <c r="C800" t="b">
        <f t="shared" si="85"/>
        <v>0</v>
      </c>
      <c r="E800" s="15">
        <v>44357</v>
      </c>
      <c r="F800">
        <f t="shared" si="79"/>
        <v>215.43289200000001</v>
      </c>
      <c r="G800">
        <v>1813.73999</v>
      </c>
      <c r="I800" s="13">
        <f t="shared" si="80"/>
        <v>-9.1827332584126786E-3</v>
      </c>
      <c r="J800" s="13">
        <f t="shared" si="81"/>
        <v>-9.2543541399825457E-4</v>
      </c>
      <c r="L800" s="15">
        <v>44357</v>
      </c>
      <c r="M800">
        <f t="shared" si="82"/>
        <v>257.3175043129034</v>
      </c>
      <c r="N800">
        <f t="shared" si="83"/>
        <v>159.79947084343334</v>
      </c>
    </row>
    <row r="801" spans="1:14" x14ac:dyDescent="0.45">
      <c r="A801" s="15">
        <v>44354</v>
      </c>
      <c r="B801">
        <v>220.52420000000001</v>
      </c>
      <c r="C801" t="b">
        <f t="shared" si="85"/>
        <v>0</v>
      </c>
      <c r="E801" s="15">
        <v>44358</v>
      </c>
      <c r="F801">
        <f t="shared" si="79"/>
        <v>213.336456</v>
      </c>
      <c r="G801">
        <v>1814.290039</v>
      </c>
      <c r="I801" s="13">
        <f t="shared" si="80"/>
        <v>-9.7312716760076245E-3</v>
      </c>
      <c r="J801" s="13">
        <f t="shared" si="81"/>
        <v>3.0326783498879628E-4</v>
      </c>
      <c r="L801" s="15">
        <v>44358</v>
      </c>
      <c r="M801">
        <f t="shared" si="82"/>
        <v>254.81347777144228</v>
      </c>
      <c r="N801">
        <f t="shared" si="83"/>
        <v>159.84793288298837</v>
      </c>
    </row>
    <row r="802" spans="1:14" x14ac:dyDescent="0.45">
      <c r="A802" s="15">
        <v>44355</v>
      </c>
      <c r="B802">
        <v>218.028458</v>
      </c>
      <c r="C802" t="b">
        <f t="shared" si="85"/>
        <v>0</v>
      </c>
      <c r="E802" s="15">
        <v>44361</v>
      </c>
      <c r="F802">
        <f t="shared" si="79"/>
        <v>223.91842700000001</v>
      </c>
      <c r="G802">
        <v>1830.5600589999999</v>
      </c>
      <c r="I802" s="13">
        <f t="shared" si="80"/>
        <v>4.9602263009375314E-2</v>
      </c>
      <c r="J802" s="13">
        <f t="shared" si="81"/>
        <v>8.9677061827266868E-3</v>
      </c>
      <c r="L802" s="15">
        <v>44361</v>
      </c>
      <c r="M802">
        <f t="shared" si="82"/>
        <v>267.45280291419499</v>
      </c>
      <c r="N802">
        <f t="shared" si="83"/>
        <v>161.28140217899923</v>
      </c>
    </row>
    <row r="803" spans="1:14" x14ac:dyDescent="0.45">
      <c r="A803" s="15">
        <v>44356</v>
      </c>
      <c r="B803">
        <v>217.42948899999999</v>
      </c>
      <c r="C803" t="b">
        <f t="shared" si="85"/>
        <v>0</v>
      </c>
      <c r="E803" s="15">
        <v>44362</v>
      </c>
      <c r="F803">
        <f t="shared" si="79"/>
        <v>225.81518600000001</v>
      </c>
      <c r="G803">
        <v>1837.630005</v>
      </c>
      <c r="I803" s="13">
        <f t="shared" si="80"/>
        <v>8.4707588625567709E-3</v>
      </c>
      <c r="J803" s="13">
        <f t="shared" si="81"/>
        <v>3.8621764772155398E-3</v>
      </c>
      <c r="L803" s="15">
        <v>44362</v>
      </c>
      <c r="M803">
        <f t="shared" si="82"/>
        <v>269.71833111479606</v>
      </c>
      <c r="N803">
        <f t="shared" si="83"/>
        <v>161.90429941670729</v>
      </c>
    </row>
    <row r="804" spans="1:14" x14ac:dyDescent="0.45">
      <c r="A804" s="15">
        <v>44357</v>
      </c>
      <c r="B804">
        <v>215.43289200000001</v>
      </c>
      <c r="C804" t="b">
        <f t="shared" si="85"/>
        <v>0</v>
      </c>
      <c r="E804" s="15">
        <v>44363</v>
      </c>
      <c r="F804">
        <f t="shared" si="79"/>
        <v>235.19920300000001</v>
      </c>
      <c r="G804">
        <v>1854.4499510000001</v>
      </c>
      <c r="I804" s="13">
        <f t="shared" si="80"/>
        <v>4.1556182142683751E-2</v>
      </c>
      <c r="J804" s="13">
        <f t="shared" si="81"/>
        <v>9.153064520188936E-3</v>
      </c>
      <c r="L804" s="15">
        <v>44363</v>
      </c>
      <c r="M804">
        <f t="shared" si="82"/>
        <v>280.92679520982318</v>
      </c>
      <c r="N804">
        <f t="shared" si="83"/>
        <v>163.38621991536439</v>
      </c>
    </row>
    <row r="805" spans="1:14" x14ac:dyDescent="0.45">
      <c r="A805" s="15">
        <v>44358</v>
      </c>
      <c r="B805">
        <v>213.336456</v>
      </c>
      <c r="C805" t="b">
        <f t="shared" si="85"/>
        <v>0</v>
      </c>
      <c r="E805" s="15">
        <v>44364</v>
      </c>
      <c r="F805">
        <f t="shared" si="79"/>
        <v>233.70176699999999</v>
      </c>
      <c r="G805">
        <v>1838.660034</v>
      </c>
      <c r="I805" s="13">
        <f t="shared" si="80"/>
        <v>-6.3666712340008091E-3</v>
      </c>
      <c r="J805" s="13">
        <f t="shared" si="81"/>
        <v>-8.5146094082967361E-3</v>
      </c>
      <c r="L805" s="15">
        <v>44364</v>
      </c>
      <c r="M805">
        <f t="shared" si="82"/>
        <v>279.13822666390075</v>
      </c>
      <c r="N805">
        <f t="shared" si="83"/>
        <v>161.99505007008699</v>
      </c>
    </row>
    <row r="806" spans="1:14" x14ac:dyDescent="0.45">
      <c r="A806" s="15">
        <v>44361</v>
      </c>
      <c r="B806">
        <v>223.91842700000001</v>
      </c>
      <c r="C806" t="b">
        <f t="shared" si="85"/>
        <v>0</v>
      </c>
      <c r="E806" s="15">
        <v>44365</v>
      </c>
      <c r="F806">
        <f t="shared" si="79"/>
        <v>228.51059000000001</v>
      </c>
      <c r="G806">
        <v>1828.219971</v>
      </c>
      <c r="I806" s="13">
        <f t="shared" si="80"/>
        <v>-2.2212827342464991E-2</v>
      </c>
      <c r="J806" s="13">
        <f t="shared" si="81"/>
        <v>-5.6780823028429461E-3</v>
      </c>
      <c r="L806" s="15">
        <v>44365</v>
      </c>
      <c r="M806">
        <f t="shared" si="82"/>
        <v>272.93777743033365</v>
      </c>
      <c r="N806">
        <f t="shared" si="83"/>
        <v>161.07522884313587</v>
      </c>
    </row>
    <row r="807" spans="1:14" x14ac:dyDescent="0.45">
      <c r="A807" s="15">
        <v>44362</v>
      </c>
      <c r="B807">
        <v>225.81518600000001</v>
      </c>
      <c r="C807" t="b">
        <f t="shared" si="85"/>
        <v>0</v>
      </c>
      <c r="E807" s="15">
        <v>44368</v>
      </c>
      <c r="F807">
        <f t="shared" si="79"/>
        <v>231.20600899999999</v>
      </c>
      <c r="G807">
        <v>1836.349976</v>
      </c>
      <c r="I807" s="13">
        <f t="shared" si="80"/>
        <v>1.1795597744507003E-2</v>
      </c>
      <c r="J807" s="13">
        <f t="shared" si="81"/>
        <v>4.4469512033351588E-3</v>
      </c>
      <c r="L807" s="15">
        <v>44368</v>
      </c>
      <c r="M807">
        <f t="shared" si="82"/>
        <v>276.15724166218166</v>
      </c>
      <c r="N807">
        <f t="shared" si="83"/>
        <v>161.79152252586735</v>
      </c>
    </row>
    <row r="808" spans="1:14" x14ac:dyDescent="0.45">
      <c r="A808" s="15">
        <v>44363</v>
      </c>
      <c r="B808">
        <v>235.19920300000001</v>
      </c>
      <c r="C808" t="b">
        <f t="shared" si="85"/>
        <v>0</v>
      </c>
      <c r="E808" s="15">
        <v>44369</v>
      </c>
      <c r="F808">
        <f t="shared" si="79"/>
        <v>231.30583200000001</v>
      </c>
      <c r="G808">
        <v>1839.8000489999999</v>
      </c>
      <c r="I808" s="13">
        <f t="shared" si="80"/>
        <v>4.317491592531475E-4</v>
      </c>
      <c r="J808" s="13">
        <f t="shared" si="81"/>
        <v>1.8787665995536607E-3</v>
      </c>
      <c r="L808" s="15">
        <v>44369</v>
      </c>
      <c r="M808">
        <f t="shared" si="82"/>
        <v>276.276472319091</v>
      </c>
      <c r="N808">
        <f t="shared" si="83"/>
        <v>162.09549103447989</v>
      </c>
    </row>
    <row r="809" spans="1:14" x14ac:dyDescent="0.45">
      <c r="A809" s="15">
        <v>44364</v>
      </c>
      <c r="B809">
        <v>233.70176699999999</v>
      </c>
      <c r="C809" t="b">
        <f t="shared" si="85"/>
        <v>0</v>
      </c>
      <c r="E809" s="15">
        <v>44370</v>
      </c>
      <c r="F809">
        <f t="shared" si="79"/>
        <v>227.51229900000001</v>
      </c>
      <c r="G809">
        <v>1825.8900149999999</v>
      </c>
      <c r="I809" s="13">
        <f t="shared" si="80"/>
        <v>-1.6400507359451311E-2</v>
      </c>
      <c r="J809" s="13">
        <f t="shared" si="81"/>
        <v>-7.5606226924282982E-3</v>
      </c>
      <c r="L809" s="15">
        <v>44370</v>
      </c>
      <c r="M809">
        <f t="shared" si="82"/>
        <v>271.74539800157851</v>
      </c>
      <c r="N809">
        <f t="shared" si="83"/>
        <v>160.8699481866243</v>
      </c>
    </row>
    <row r="810" spans="1:14" x14ac:dyDescent="0.45">
      <c r="A810" s="15">
        <v>44365</v>
      </c>
      <c r="B810">
        <v>228.51059000000001</v>
      </c>
      <c r="C810" t="b">
        <f t="shared" si="85"/>
        <v>0</v>
      </c>
      <c r="E810" s="15">
        <v>44371</v>
      </c>
      <c r="F810">
        <f t="shared" si="79"/>
        <v>233.30242899999999</v>
      </c>
      <c r="G810">
        <v>1845.23999</v>
      </c>
      <c r="I810" s="13">
        <f t="shared" si="80"/>
        <v>2.5449745026751236E-2</v>
      </c>
      <c r="J810" s="13">
        <f t="shared" si="81"/>
        <v>1.0597557816208303E-2</v>
      </c>
      <c r="L810" s="15">
        <v>44371</v>
      </c>
      <c r="M810">
        <f t="shared" si="82"/>
        <v>278.6612490929117</v>
      </c>
      <c r="N810">
        <f t="shared" si="83"/>
        <v>162.57477676342248</v>
      </c>
    </row>
    <row r="811" spans="1:14" x14ac:dyDescent="0.45">
      <c r="A811" s="15">
        <v>44368</v>
      </c>
      <c r="B811">
        <v>231.20600899999999</v>
      </c>
      <c r="C811" t="b">
        <f t="shared" si="85"/>
        <v>0</v>
      </c>
      <c r="E811" s="15">
        <v>44375</v>
      </c>
      <c r="F811">
        <f t="shared" si="79"/>
        <v>234.799881</v>
      </c>
      <c r="G811">
        <v>1856.160034</v>
      </c>
      <c r="I811" s="13">
        <f t="shared" si="80"/>
        <v>6.4185015407620671E-3</v>
      </c>
      <c r="J811" s="13">
        <f t="shared" si="81"/>
        <v>5.9179532522488643E-3</v>
      </c>
      <c r="L811" s="15">
        <v>44375</v>
      </c>
      <c r="M811">
        <f t="shared" si="82"/>
        <v>280.44983674956524</v>
      </c>
      <c r="N811">
        <f t="shared" si="83"/>
        <v>163.5368866923032</v>
      </c>
    </row>
    <row r="812" spans="1:14" x14ac:dyDescent="0.45">
      <c r="A812" s="15">
        <v>44369</v>
      </c>
      <c r="B812">
        <v>231.30583200000001</v>
      </c>
      <c r="C812" t="b">
        <f t="shared" si="85"/>
        <v>0</v>
      </c>
      <c r="E812" s="15">
        <v>44376</v>
      </c>
      <c r="F812">
        <f t="shared" si="79"/>
        <v>248.376755</v>
      </c>
      <c r="G812">
        <v>1868.650024</v>
      </c>
      <c r="I812" s="13">
        <f t="shared" si="80"/>
        <v>5.7823172406122225E-2</v>
      </c>
      <c r="J812" s="13">
        <f t="shared" si="81"/>
        <v>6.7289402698129663E-3</v>
      </c>
      <c r="L812" s="15">
        <v>44376</v>
      </c>
      <c r="M812">
        <f t="shared" si="82"/>
        <v>296.66633601120418</v>
      </c>
      <c r="N812">
        <f t="shared" si="83"/>
        <v>164.63731663476688</v>
      </c>
    </row>
    <row r="813" spans="1:14" x14ac:dyDescent="0.45">
      <c r="A813" s="15">
        <v>44370</v>
      </c>
      <c r="B813">
        <v>227.51229900000001</v>
      </c>
      <c r="C813" t="b">
        <f t="shared" si="85"/>
        <v>0</v>
      </c>
      <c r="E813" s="15">
        <v>44377</v>
      </c>
      <c r="F813">
        <f t="shared" si="79"/>
        <v>244.38355999999999</v>
      </c>
      <c r="G813">
        <v>1860.410034</v>
      </c>
      <c r="I813" s="13">
        <f t="shared" si="80"/>
        <v>-1.6077168735053382E-2</v>
      </c>
      <c r="J813" s="13">
        <f t="shared" si="81"/>
        <v>-4.4095951056483118E-3</v>
      </c>
      <c r="L813" s="15">
        <v>44377</v>
      </c>
      <c r="M813">
        <f t="shared" si="82"/>
        <v>291.89678126914202</v>
      </c>
      <c r="N813">
        <f t="shared" si="83"/>
        <v>163.91133272912714</v>
      </c>
    </row>
    <row r="814" spans="1:14" x14ac:dyDescent="0.45">
      <c r="A814" s="15">
        <v>44371</v>
      </c>
      <c r="B814">
        <v>233.30242899999999</v>
      </c>
      <c r="C814" t="b">
        <f t="shared" si="85"/>
        <v>0</v>
      </c>
      <c r="E814" s="15">
        <v>44378</v>
      </c>
      <c r="F814">
        <f t="shared" si="79"/>
        <v>253.567902</v>
      </c>
      <c r="G814">
        <v>1888.880005</v>
      </c>
      <c r="I814" s="13">
        <f t="shared" si="80"/>
        <v>3.7581668750549468E-2</v>
      </c>
      <c r="J814" s="13">
        <f t="shared" si="81"/>
        <v>1.5303062486062613E-2</v>
      </c>
      <c r="L814" s="15">
        <v>44378</v>
      </c>
      <c r="M814">
        <f t="shared" si="82"/>
        <v>302.86674941215051</v>
      </c>
      <c r="N814">
        <f t="shared" si="83"/>
        <v>166.41967809605478</v>
      </c>
    </row>
    <row r="815" spans="1:14" x14ac:dyDescent="0.45">
      <c r="A815" s="15">
        <v>44372</v>
      </c>
      <c r="B815">
        <v>233.50209000000001</v>
      </c>
      <c r="C815" t="b">
        <f t="shared" si="85"/>
        <v>0</v>
      </c>
      <c r="E815" s="15">
        <v>44379</v>
      </c>
      <c r="F815">
        <f t="shared" si="79"/>
        <v>245.18218999999999</v>
      </c>
      <c r="G815">
        <v>1883.5500489999999</v>
      </c>
      <c r="I815" s="13">
        <f t="shared" si="80"/>
        <v>-3.3070873457792804E-2</v>
      </c>
      <c r="J815" s="13">
        <f t="shared" si="81"/>
        <v>-2.8217546831409424E-3</v>
      </c>
      <c r="L815" s="15">
        <v>44379</v>
      </c>
      <c r="M815">
        <f t="shared" si="82"/>
        <v>292.85068146776825</v>
      </c>
      <c r="N815">
        <f t="shared" si="83"/>
        <v>165.95008259002043</v>
      </c>
    </row>
    <row r="816" spans="1:14" x14ac:dyDescent="0.45">
      <c r="A816" s="15">
        <v>44375</v>
      </c>
      <c r="B816">
        <v>234.799881</v>
      </c>
      <c r="C816" t="b">
        <f t="shared" si="85"/>
        <v>0</v>
      </c>
      <c r="E816" s="15">
        <v>44382</v>
      </c>
      <c r="F816">
        <f t="shared" si="79"/>
        <v>244.88270600000001</v>
      </c>
      <c r="G816">
        <v>1886.400024</v>
      </c>
      <c r="I816" s="13">
        <f t="shared" si="80"/>
        <v>-1.2214753445182192E-3</v>
      </c>
      <c r="J816" s="13">
        <f t="shared" si="81"/>
        <v>1.5130869506299049E-3</v>
      </c>
      <c r="L816" s="15">
        <v>44382</v>
      </c>
      <c r="M816">
        <f t="shared" si="82"/>
        <v>292.49297158073</v>
      </c>
      <c r="N816">
        <f t="shared" si="83"/>
        <v>166.20117949444335</v>
      </c>
    </row>
    <row r="817" spans="1:14" x14ac:dyDescent="0.45">
      <c r="A817" s="15">
        <v>44376</v>
      </c>
      <c r="B817">
        <v>248.376755</v>
      </c>
      <c r="C817" t="b">
        <f t="shared" si="85"/>
        <v>0</v>
      </c>
      <c r="E817" s="15">
        <v>44383</v>
      </c>
      <c r="F817">
        <f t="shared" si="79"/>
        <v>250.772659</v>
      </c>
      <c r="G817">
        <v>1902.369995</v>
      </c>
      <c r="I817" s="13">
        <f t="shared" si="80"/>
        <v>2.4052139476113066E-2</v>
      </c>
      <c r="J817" s="13">
        <f t="shared" si="81"/>
        <v>8.4658454181614218E-3</v>
      </c>
      <c r="L817" s="15">
        <v>44383</v>
      </c>
      <c r="M817">
        <f t="shared" si="82"/>
        <v>299.52805332897248</v>
      </c>
      <c r="N817">
        <f t="shared" si="83"/>
        <v>167.60821298835941</v>
      </c>
    </row>
    <row r="818" spans="1:14" x14ac:dyDescent="0.45">
      <c r="A818" s="15">
        <v>44377</v>
      </c>
      <c r="B818">
        <v>244.38355999999999</v>
      </c>
      <c r="C818" t="b">
        <f t="shared" si="85"/>
        <v>0</v>
      </c>
      <c r="E818" s="15">
        <v>44384</v>
      </c>
      <c r="F818">
        <f t="shared" si="79"/>
        <v>252.56959499999999</v>
      </c>
      <c r="G818">
        <v>1925.7299800000001</v>
      </c>
      <c r="I818" s="13">
        <f t="shared" si="80"/>
        <v>7.1655977456457354E-3</v>
      </c>
      <c r="J818" s="13">
        <f t="shared" si="81"/>
        <v>1.2279412028888714E-2</v>
      </c>
      <c r="L818" s="15">
        <v>44384</v>
      </c>
      <c r="M818">
        <f t="shared" si="82"/>
        <v>301.67435087266421</v>
      </c>
      <c r="N818">
        <f t="shared" si="83"/>
        <v>169.66634329506923</v>
      </c>
    </row>
    <row r="819" spans="1:14" x14ac:dyDescent="0.45">
      <c r="A819" s="15">
        <v>44378</v>
      </c>
      <c r="B819">
        <v>253.567902</v>
      </c>
      <c r="C819" t="b">
        <f t="shared" si="85"/>
        <v>0</v>
      </c>
      <c r="E819" s="15">
        <v>44385</v>
      </c>
      <c r="F819">
        <f t="shared" si="79"/>
        <v>246.080658</v>
      </c>
      <c r="G819">
        <v>1903.3000489999999</v>
      </c>
      <c r="I819" s="13">
        <f t="shared" si="80"/>
        <v>-2.5691679158768022E-2</v>
      </c>
      <c r="J819" s="13">
        <f t="shared" si="81"/>
        <v>-1.1647495356540083E-2</v>
      </c>
      <c r="L819" s="15">
        <v>44385</v>
      </c>
      <c r="M819">
        <f t="shared" si="82"/>
        <v>293.92383023961412</v>
      </c>
      <c r="N819">
        <f t="shared" si="83"/>
        <v>167.69015534937878</v>
      </c>
    </row>
    <row r="820" spans="1:14" x14ac:dyDescent="0.45">
      <c r="A820" s="15">
        <v>44379</v>
      </c>
      <c r="B820">
        <v>245.18218999999999</v>
      </c>
      <c r="C820" t="b">
        <f t="shared" si="85"/>
        <v>0</v>
      </c>
      <c r="E820" s="15">
        <v>44386</v>
      </c>
      <c r="F820">
        <f t="shared" si="79"/>
        <v>241.28881799999999</v>
      </c>
      <c r="G820">
        <v>1897.150024</v>
      </c>
      <c r="I820" s="13">
        <f t="shared" si="80"/>
        <v>-1.9472639739121611E-2</v>
      </c>
      <c r="J820" s="13">
        <f t="shared" si="81"/>
        <v>-3.2312430208947251E-3</v>
      </c>
      <c r="L820" s="15">
        <v>44386</v>
      </c>
      <c r="M820">
        <f t="shared" si="82"/>
        <v>288.20035738261538</v>
      </c>
      <c r="N820">
        <f t="shared" si="83"/>
        <v>167.14830770523335</v>
      </c>
    </row>
    <row r="821" spans="1:14" x14ac:dyDescent="0.45">
      <c r="A821" s="15">
        <v>44382</v>
      </c>
      <c r="B821">
        <v>244.88270600000001</v>
      </c>
      <c r="C821" t="b">
        <f t="shared" si="85"/>
        <v>0</v>
      </c>
      <c r="E821" s="15">
        <v>44389</v>
      </c>
      <c r="F821">
        <f t="shared" si="79"/>
        <v>248.47657799999999</v>
      </c>
      <c r="G821">
        <v>1923.619995</v>
      </c>
      <c r="I821" s="13">
        <f t="shared" si="80"/>
        <v>2.9789030671118821E-2</v>
      </c>
      <c r="J821" s="13">
        <f t="shared" si="81"/>
        <v>1.39524922463381E-2</v>
      </c>
      <c r="L821" s="15">
        <v>44389</v>
      </c>
      <c r="M821">
        <f t="shared" si="82"/>
        <v>296.78556666811352</v>
      </c>
      <c r="N821">
        <f t="shared" si="83"/>
        <v>169.48044317247914</v>
      </c>
    </row>
    <row r="822" spans="1:14" x14ac:dyDescent="0.45">
      <c r="A822" s="15">
        <v>44383</v>
      </c>
      <c r="B822">
        <v>250.772659</v>
      </c>
      <c r="C822" t="b">
        <f t="shared" si="85"/>
        <v>0</v>
      </c>
      <c r="E822" s="15">
        <v>44390</v>
      </c>
      <c r="F822">
        <f t="shared" si="79"/>
        <v>247.37844799999999</v>
      </c>
      <c r="G822">
        <v>1923.8599850000001</v>
      </c>
      <c r="I822" s="13">
        <f t="shared" si="80"/>
        <v>-4.4194507540263883E-3</v>
      </c>
      <c r="J822" s="13">
        <f t="shared" si="81"/>
        <v>1.2475956822233236E-4</v>
      </c>
      <c r="L822" s="15">
        <v>44390</v>
      </c>
      <c r="M822">
        <f t="shared" si="82"/>
        <v>295.47393747171799</v>
      </c>
      <c r="N822">
        <f t="shared" si="83"/>
        <v>169.50158747939147</v>
      </c>
    </row>
    <row r="823" spans="1:14" x14ac:dyDescent="0.45">
      <c r="A823" s="15">
        <v>44384</v>
      </c>
      <c r="B823">
        <v>252.56959499999999</v>
      </c>
      <c r="C823" t="b">
        <f t="shared" si="85"/>
        <v>0</v>
      </c>
      <c r="E823" s="15">
        <v>44391</v>
      </c>
      <c r="F823">
        <f t="shared" si="79"/>
        <v>244.38355999999999</v>
      </c>
      <c r="G823">
        <v>1920.089966</v>
      </c>
      <c r="I823" s="13">
        <f t="shared" si="80"/>
        <v>-1.2106503311881123E-2</v>
      </c>
      <c r="J823" s="13">
        <f t="shared" si="81"/>
        <v>-1.9596119413024526E-3</v>
      </c>
      <c r="L823" s="15">
        <v>44391</v>
      </c>
      <c r="M823">
        <f t="shared" si="82"/>
        <v>291.89678126914208</v>
      </c>
      <c r="N823">
        <f t="shared" si="83"/>
        <v>169.16943014449714</v>
      </c>
    </row>
    <row r="824" spans="1:14" x14ac:dyDescent="0.45">
      <c r="A824" s="15">
        <v>44385</v>
      </c>
      <c r="B824">
        <v>246.080658</v>
      </c>
      <c r="C824" t="b">
        <f t="shared" si="85"/>
        <v>0</v>
      </c>
      <c r="E824" s="15">
        <v>44392</v>
      </c>
      <c r="F824">
        <f t="shared" si="79"/>
        <v>228.71026599999999</v>
      </c>
      <c r="G824">
        <v>1895.5</v>
      </c>
      <c r="I824" s="13">
        <f t="shared" si="80"/>
        <v>-6.4133994938120997E-2</v>
      </c>
      <c r="J824" s="13">
        <f t="shared" si="81"/>
        <v>-1.2806673872280405E-2</v>
      </c>
      <c r="L824" s="15">
        <v>44392</v>
      </c>
      <c r="M824">
        <f t="shared" si="82"/>
        <v>273.1762745767731</v>
      </c>
      <c r="N824">
        <f t="shared" si="83"/>
        <v>167.00293242347703</v>
      </c>
    </row>
    <row r="825" spans="1:14" x14ac:dyDescent="0.45">
      <c r="A825" s="15">
        <v>44386</v>
      </c>
      <c r="B825">
        <v>241.28881799999999</v>
      </c>
      <c r="C825" t="b">
        <f t="shared" si="85"/>
        <v>0</v>
      </c>
      <c r="E825" s="15">
        <v>44393</v>
      </c>
      <c r="F825">
        <f t="shared" si="79"/>
        <v>226.613831</v>
      </c>
      <c r="G825">
        <v>1894.349976</v>
      </c>
      <c r="I825" s="13">
        <f t="shared" si="80"/>
        <v>-9.166335366860956E-3</v>
      </c>
      <c r="J825" s="13">
        <f t="shared" si="81"/>
        <v>-6.0671274070167591E-4</v>
      </c>
      <c r="L825" s="15">
        <v>44393</v>
      </c>
      <c r="M825">
        <f t="shared" si="82"/>
        <v>270.6722492297327</v>
      </c>
      <c r="N825">
        <f t="shared" si="83"/>
        <v>166.90160961664117</v>
      </c>
    </row>
    <row r="826" spans="1:14" x14ac:dyDescent="0.45">
      <c r="A826" s="15">
        <v>44389</v>
      </c>
      <c r="B826">
        <v>248.47657799999999</v>
      </c>
      <c r="C826" t="b">
        <f t="shared" si="85"/>
        <v>0</v>
      </c>
      <c r="E826" s="15">
        <v>44396</v>
      </c>
      <c r="F826">
        <f t="shared" si="79"/>
        <v>228.01144400000001</v>
      </c>
      <c r="G826">
        <v>1875.73999</v>
      </c>
      <c r="I826" s="13">
        <f t="shared" si="80"/>
        <v>6.1673773124641951E-3</v>
      </c>
      <c r="J826" s="13">
        <f t="shared" si="81"/>
        <v>-9.8239429016678814E-3</v>
      </c>
      <c r="L826" s="15">
        <v>44396</v>
      </c>
      <c r="M826">
        <f t="shared" si="82"/>
        <v>272.34158711874579</v>
      </c>
      <c r="N826">
        <f t="shared" si="83"/>
        <v>165.26197773357083</v>
      </c>
    </row>
    <row r="827" spans="1:14" x14ac:dyDescent="0.45">
      <c r="A827" s="15">
        <v>44390</v>
      </c>
      <c r="B827">
        <v>247.37844799999999</v>
      </c>
      <c r="C827" t="b">
        <f t="shared" si="85"/>
        <v>0</v>
      </c>
      <c r="E827" s="15">
        <v>44397</v>
      </c>
      <c r="F827">
        <f t="shared" si="79"/>
        <v>226.21452300000001</v>
      </c>
      <c r="G827">
        <v>1872.6800539999999</v>
      </c>
      <c r="I827" s="13">
        <f t="shared" si="80"/>
        <v>-7.8808368934324413E-3</v>
      </c>
      <c r="J827" s="13">
        <f t="shared" si="81"/>
        <v>-1.6313220469326151E-3</v>
      </c>
      <c r="L827" s="15">
        <v>44397</v>
      </c>
      <c r="M827">
        <f t="shared" si="82"/>
        <v>270.19530749136442</v>
      </c>
      <c r="N827">
        <f t="shared" si="83"/>
        <v>164.99238222577438</v>
      </c>
    </row>
    <row r="828" spans="1:14" x14ac:dyDescent="0.45">
      <c r="A828" s="15">
        <v>44391</v>
      </c>
      <c r="B828">
        <v>244.38355999999999</v>
      </c>
      <c r="C828" t="b">
        <f t="shared" si="85"/>
        <v>0</v>
      </c>
      <c r="E828" s="15">
        <v>44398</v>
      </c>
      <c r="F828">
        <f t="shared" si="79"/>
        <v>236.39717099999999</v>
      </c>
      <c r="G828">
        <v>1904.630005</v>
      </c>
      <c r="I828" s="13">
        <f t="shared" si="80"/>
        <v>4.5013237280083773E-2</v>
      </c>
      <c r="J828" s="13">
        <f t="shared" si="81"/>
        <v>1.7061083622776696E-2</v>
      </c>
      <c r="L828" s="15">
        <v>44398</v>
      </c>
      <c r="M828">
        <f t="shared" si="82"/>
        <v>282.35767297943841</v>
      </c>
      <c r="N828">
        <f t="shared" si="83"/>
        <v>167.80733105604946</v>
      </c>
    </row>
    <row r="829" spans="1:14" x14ac:dyDescent="0.45">
      <c r="A829" s="15">
        <v>44392</v>
      </c>
      <c r="B829">
        <v>228.71026599999999</v>
      </c>
      <c r="C829" t="b">
        <f t="shared" si="85"/>
        <v>0</v>
      </c>
      <c r="E829" s="15">
        <v>44399</v>
      </c>
      <c r="F829">
        <f t="shared" si="79"/>
        <v>245.98081999999999</v>
      </c>
      <c r="G829">
        <v>1925.5200199999999</v>
      </c>
      <c r="I829" s="13">
        <f t="shared" si="80"/>
        <v>4.0540455537008135E-2</v>
      </c>
      <c r="J829" s="13">
        <f t="shared" si="81"/>
        <v>1.096801738141262E-2</v>
      </c>
      <c r="L829" s="15">
        <v>44399</v>
      </c>
      <c r="M829">
        <f t="shared" si="82"/>
        <v>293.80458166639443</v>
      </c>
      <c r="N829">
        <f t="shared" si="83"/>
        <v>169.64784477980066</v>
      </c>
    </row>
    <row r="830" spans="1:14" x14ac:dyDescent="0.45">
      <c r="A830" s="15">
        <v>44393</v>
      </c>
      <c r="B830">
        <v>226.613831</v>
      </c>
      <c r="C830" t="b">
        <f t="shared" si="85"/>
        <v>0</v>
      </c>
      <c r="E830" s="15">
        <v>44400</v>
      </c>
      <c r="F830">
        <f t="shared" si="79"/>
        <v>233.60192900000001</v>
      </c>
      <c r="G830">
        <v>1922.459961</v>
      </c>
      <c r="I830" s="13">
        <f t="shared" si="80"/>
        <v>-5.0324618805644983E-2</v>
      </c>
      <c r="J830" s="13">
        <f t="shared" si="81"/>
        <v>-1.5892117288918151E-3</v>
      </c>
      <c r="L830" s="15">
        <v>44400</v>
      </c>
      <c r="M830">
        <f t="shared" si="82"/>
        <v>279.01897809068112</v>
      </c>
      <c r="N830">
        <f t="shared" si="83"/>
        <v>169.3782384350954</v>
      </c>
    </row>
    <row r="831" spans="1:14" x14ac:dyDescent="0.45">
      <c r="A831" s="15">
        <v>44396</v>
      </c>
      <c r="B831">
        <v>228.01144400000001</v>
      </c>
      <c r="C831" t="b">
        <f t="shared" si="85"/>
        <v>0</v>
      </c>
      <c r="E831" s="15">
        <v>44403</v>
      </c>
      <c r="F831">
        <f t="shared" si="79"/>
        <v>233.40226699999999</v>
      </c>
      <c r="G831">
        <v>1914.880005</v>
      </c>
      <c r="I831" s="13">
        <f t="shared" si="80"/>
        <v>-8.5471040780671359E-4</v>
      </c>
      <c r="J831" s="13">
        <f t="shared" si="81"/>
        <v>-3.9428420636948847E-3</v>
      </c>
      <c r="L831" s="15">
        <v>44403</v>
      </c>
      <c r="M831">
        <f t="shared" si="82"/>
        <v>278.7804976661314</v>
      </c>
      <c r="N831">
        <f t="shared" si="83"/>
        <v>168.71040679191896</v>
      </c>
    </row>
    <row r="832" spans="1:14" x14ac:dyDescent="0.45">
      <c r="A832" s="15">
        <v>44397</v>
      </c>
      <c r="B832">
        <v>226.21452300000001</v>
      </c>
      <c r="C832" t="b">
        <f t="shared" si="85"/>
        <v>0</v>
      </c>
      <c r="E832" s="15">
        <v>44404</v>
      </c>
      <c r="F832">
        <f t="shared" si="79"/>
        <v>227.51229900000001</v>
      </c>
      <c r="G832">
        <v>1902.6800539999999</v>
      </c>
      <c r="I832" s="13">
        <f t="shared" si="80"/>
        <v>-2.5235264745736119E-2</v>
      </c>
      <c r="J832" s="13">
        <f t="shared" si="81"/>
        <v>-6.371130811405612E-3</v>
      </c>
      <c r="L832" s="15">
        <v>44404</v>
      </c>
      <c r="M832">
        <f t="shared" si="82"/>
        <v>271.74539800157851</v>
      </c>
      <c r="N832">
        <f t="shared" si="83"/>
        <v>167.6355307210022</v>
      </c>
    </row>
    <row r="833" spans="1:14" x14ac:dyDescent="0.45">
      <c r="A833" s="15">
        <v>44398</v>
      </c>
      <c r="B833">
        <v>236.39717099999999</v>
      </c>
      <c r="C833" t="b">
        <f t="shared" si="85"/>
        <v>0</v>
      </c>
      <c r="E833" s="15">
        <v>44405</v>
      </c>
      <c r="F833">
        <f t="shared" si="79"/>
        <v>231.40566999999999</v>
      </c>
      <c r="G833">
        <v>1925.0600589999999</v>
      </c>
      <c r="I833" s="13">
        <f t="shared" si="80"/>
        <v>1.7112793537372495E-2</v>
      </c>
      <c r="J833" s="13">
        <f t="shared" si="81"/>
        <v>1.1762358549431751E-2</v>
      </c>
      <c r="L833" s="15">
        <v>44405</v>
      </c>
      <c r="M833">
        <f t="shared" si="82"/>
        <v>276.39572089231064</v>
      </c>
      <c r="N833">
        <f t="shared" si="83"/>
        <v>169.6073199389669</v>
      </c>
    </row>
    <row r="834" spans="1:14" x14ac:dyDescent="0.45">
      <c r="A834" s="15">
        <v>44399</v>
      </c>
      <c r="B834">
        <v>245.98081999999999</v>
      </c>
      <c r="C834" t="b">
        <f t="shared" si="85"/>
        <v>0</v>
      </c>
      <c r="E834" s="15">
        <v>44406</v>
      </c>
      <c r="F834">
        <f t="shared" si="79"/>
        <v>229.708572</v>
      </c>
      <c r="G834">
        <v>1916.0500489999999</v>
      </c>
      <c r="I834" s="13">
        <f t="shared" si="80"/>
        <v>-7.3338652419363548E-3</v>
      </c>
      <c r="J834" s="13">
        <f t="shared" si="81"/>
        <v>-4.6803786499421962E-3</v>
      </c>
      <c r="L834" s="15">
        <v>44406</v>
      </c>
      <c r="M834">
        <f t="shared" si="82"/>
        <v>274.3686719218386</v>
      </c>
      <c r="N834">
        <f t="shared" si="83"/>
        <v>168.81349345985063</v>
      </c>
    </row>
    <row r="835" spans="1:14" x14ac:dyDescent="0.45">
      <c r="A835" s="15">
        <v>44400</v>
      </c>
      <c r="B835">
        <v>233.60192900000001</v>
      </c>
      <c r="C835" t="b">
        <f t="shared" si="85"/>
        <v>0</v>
      </c>
      <c r="E835" s="15">
        <v>44407</v>
      </c>
      <c r="F835">
        <f t="shared" ref="F835:F898" si="86">VLOOKUP(E835,A835:B2074,2,0)</f>
        <v>230.80668600000001</v>
      </c>
      <c r="G835">
        <v>1925.599976</v>
      </c>
      <c r="I835" s="13">
        <f t="shared" si="80"/>
        <v>4.7804659200962885E-3</v>
      </c>
      <c r="J835" s="13">
        <f t="shared" si="81"/>
        <v>4.9841740851102045E-3</v>
      </c>
      <c r="L835" s="15">
        <v>44407</v>
      </c>
      <c r="M835">
        <f t="shared" si="82"/>
        <v>275.68028200750302</v>
      </c>
      <c r="N835">
        <f t="shared" si="83"/>
        <v>169.65488929917015</v>
      </c>
    </row>
    <row r="836" spans="1:14" x14ac:dyDescent="0.45">
      <c r="A836" s="15">
        <v>44403</v>
      </c>
      <c r="B836">
        <v>233.40226699999999</v>
      </c>
      <c r="C836" t="b">
        <f t="shared" si="85"/>
        <v>0</v>
      </c>
      <c r="E836" s="15">
        <v>44410</v>
      </c>
      <c r="F836">
        <f t="shared" si="86"/>
        <v>235.59852599999999</v>
      </c>
      <c r="G836">
        <v>1933.3199460000001</v>
      </c>
      <c r="I836" s="13">
        <f t="shared" ref="I836:I899" si="87">F836/F835-1</f>
        <v>2.0761270321259184E-2</v>
      </c>
      <c r="J836" s="13">
        <f t="shared" ref="J836:J899" si="88">G836/G835-1</f>
        <v>4.0091244787179292E-3</v>
      </c>
      <c r="L836" s="15">
        <v>44410</v>
      </c>
      <c r="M836">
        <f t="shared" ref="M836:M899" si="89">M835*(1+I836)</f>
        <v>281.40375486450176</v>
      </c>
      <c r="N836">
        <f t="shared" ref="N836:N899" si="90">N835*(1+J836)</f>
        <v>170.33505686879363</v>
      </c>
    </row>
    <row r="837" spans="1:14" x14ac:dyDescent="0.45">
      <c r="A837" s="15">
        <v>44404</v>
      </c>
      <c r="B837">
        <v>227.51229900000001</v>
      </c>
      <c r="C837" t="b">
        <f t="shared" si="85"/>
        <v>0</v>
      </c>
      <c r="E837" s="15">
        <v>44411</v>
      </c>
      <c r="F837">
        <f t="shared" si="86"/>
        <v>238.593414</v>
      </c>
      <c r="G837">
        <v>1936.219971</v>
      </c>
      <c r="I837" s="13">
        <f t="shared" si="87"/>
        <v>1.2711828256514623E-2</v>
      </c>
      <c r="J837" s="13">
        <f t="shared" si="88"/>
        <v>1.5000233179200961E-3</v>
      </c>
      <c r="L837" s="15">
        <v>44411</v>
      </c>
      <c r="M837">
        <f t="shared" si="89"/>
        <v>284.98091106707767</v>
      </c>
      <c r="N837">
        <f t="shared" si="90"/>
        <v>170.59056342595608</v>
      </c>
    </row>
    <row r="838" spans="1:14" x14ac:dyDescent="0.45">
      <c r="A838" s="15">
        <v>44405</v>
      </c>
      <c r="B838">
        <v>231.40566999999999</v>
      </c>
      <c r="C838" t="b">
        <f t="shared" si="85"/>
        <v>0</v>
      </c>
      <c r="E838" s="15">
        <v>44412</v>
      </c>
      <c r="F838">
        <f t="shared" si="86"/>
        <v>244.982529</v>
      </c>
      <c r="G838">
        <v>1965.839966</v>
      </c>
      <c r="I838" s="13">
        <f t="shared" si="87"/>
        <v>2.6778253820535003E-2</v>
      </c>
      <c r="J838" s="13">
        <f t="shared" si="88"/>
        <v>1.5297846031772089E-2</v>
      </c>
      <c r="L838" s="15">
        <v>44412</v>
      </c>
      <c r="M838">
        <f t="shared" si="89"/>
        <v>292.61220223763917</v>
      </c>
      <c r="N838">
        <f t="shared" si="90"/>
        <v>173.20023159971961</v>
      </c>
    </row>
    <row r="839" spans="1:14" x14ac:dyDescent="0.45">
      <c r="A839" s="15">
        <v>44406</v>
      </c>
      <c r="B839">
        <v>229.708572</v>
      </c>
      <c r="C839" t="b">
        <f t="shared" si="85"/>
        <v>0</v>
      </c>
      <c r="E839" s="15">
        <v>44413</v>
      </c>
      <c r="F839">
        <f t="shared" si="86"/>
        <v>245.28201300000001</v>
      </c>
      <c r="G839">
        <v>1980.2700199999999</v>
      </c>
      <c r="I839" s="13">
        <f t="shared" si="87"/>
        <v>1.2224708481149982E-3</v>
      </c>
      <c r="J839" s="13">
        <f t="shared" si="88"/>
        <v>7.3404011768880562E-3</v>
      </c>
      <c r="L839" s="15">
        <v>44413</v>
      </c>
      <c r="M839">
        <f t="shared" si="89"/>
        <v>292.96991212467742</v>
      </c>
      <c r="N839">
        <f t="shared" si="90"/>
        <v>174.47159078359149</v>
      </c>
    </row>
    <row r="840" spans="1:14" x14ac:dyDescent="0.45">
      <c r="A840" s="15">
        <v>44407</v>
      </c>
      <c r="B840">
        <v>230.80668600000001</v>
      </c>
      <c r="C840" t="b">
        <f t="shared" si="85"/>
        <v>0</v>
      </c>
      <c r="E840" s="15">
        <v>44414</v>
      </c>
      <c r="F840">
        <f t="shared" si="86"/>
        <v>248.276917</v>
      </c>
      <c r="G840">
        <v>1957.6099850000001</v>
      </c>
      <c r="I840" s="13">
        <f t="shared" si="87"/>
        <v>1.2210043302278262E-2</v>
      </c>
      <c r="J840" s="13">
        <f t="shared" si="88"/>
        <v>-1.1442901609953093E-2</v>
      </c>
      <c r="L840" s="15">
        <v>44414</v>
      </c>
      <c r="M840">
        <f t="shared" si="89"/>
        <v>296.54708743798437</v>
      </c>
      <c r="N840">
        <f t="shared" si="90"/>
        <v>172.47512953652287</v>
      </c>
    </row>
    <row r="841" spans="1:14" x14ac:dyDescent="0.45">
      <c r="A841" s="15">
        <v>44410</v>
      </c>
      <c r="B841">
        <v>235.59852599999999</v>
      </c>
      <c r="C841" t="b">
        <f t="shared" si="85"/>
        <v>0</v>
      </c>
      <c r="E841" s="15">
        <v>44417</v>
      </c>
      <c r="F841">
        <f t="shared" si="86"/>
        <v>249.77436800000001</v>
      </c>
      <c r="G841">
        <v>1976.630005</v>
      </c>
      <c r="I841" s="13">
        <f t="shared" si="87"/>
        <v>6.0313742336344234E-3</v>
      </c>
      <c r="J841" s="13">
        <f t="shared" si="88"/>
        <v>9.7159394086354656E-3</v>
      </c>
      <c r="L841" s="15">
        <v>44417</v>
      </c>
      <c r="M841">
        <f t="shared" si="89"/>
        <v>298.33567390021716</v>
      </c>
      <c r="N841">
        <f t="shared" si="90"/>
        <v>174.15088744459629</v>
      </c>
    </row>
    <row r="842" spans="1:14" x14ac:dyDescent="0.45">
      <c r="A842" s="15">
        <v>44411</v>
      </c>
      <c r="B842">
        <v>238.593414</v>
      </c>
      <c r="C842" t="b">
        <f t="shared" si="85"/>
        <v>0</v>
      </c>
      <c r="E842" s="15">
        <v>44418</v>
      </c>
      <c r="F842">
        <f t="shared" si="86"/>
        <v>246.77946499999999</v>
      </c>
      <c r="G842">
        <v>1975.5200199999999</v>
      </c>
      <c r="I842" s="13">
        <f t="shared" si="87"/>
        <v>-1.1990433702148473E-2</v>
      </c>
      <c r="J842" s="13">
        <f t="shared" si="88"/>
        <v>-5.6155426012571841E-4</v>
      </c>
      <c r="L842" s="15">
        <v>44418</v>
      </c>
      <c r="M842">
        <f t="shared" si="89"/>
        <v>294.75849978133084</v>
      </c>
      <c r="N842">
        <f t="shared" si="90"/>
        <v>174.05309227184711</v>
      </c>
    </row>
    <row r="843" spans="1:14" x14ac:dyDescent="0.45">
      <c r="A843" s="15">
        <v>44412</v>
      </c>
      <c r="B843">
        <v>244.982529</v>
      </c>
      <c r="C843" t="b">
        <f t="shared" si="85"/>
        <v>0</v>
      </c>
      <c r="E843" s="15">
        <v>44419</v>
      </c>
      <c r="F843">
        <f t="shared" si="86"/>
        <v>241.58831799999999</v>
      </c>
      <c r="G843">
        <v>1969.589966</v>
      </c>
      <c r="I843" s="13">
        <f t="shared" si="87"/>
        <v>-2.1035571172828393E-2</v>
      </c>
      <c r="J843" s="13">
        <f t="shared" si="88"/>
        <v>-3.0017686178649416E-3</v>
      </c>
      <c r="L843" s="15">
        <v>44419</v>
      </c>
      <c r="M843">
        <f t="shared" si="89"/>
        <v>288.55808638038451</v>
      </c>
      <c r="N843">
        <f t="shared" si="90"/>
        <v>173.53062516162313</v>
      </c>
    </row>
    <row r="844" spans="1:14" x14ac:dyDescent="0.45">
      <c r="A844" s="15">
        <v>44413</v>
      </c>
      <c r="B844">
        <v>245.28201300000001</v>
      </c>
      <c r="C844" t="b">
        <f t="shared" si="85"/>
        <v>0</v>
      </c>
      <c r="E844" s="15">
        <v>44420</v>
      </c>
      <c r="F844">
        <f t="shared" si="86"/>
        <v>232.603622</v>
      </c>
      <c r="G844">
        <v>1964.7299800000001</v>
      </c>
      <c r="I844" s="13">
        <f t="shared" si="87"/>
        <v>-3.7190109498589141E-2</v>
      </c>
      <c r="J844" s="13">
        <f t="shared" si="88"/>
        <v>-2.4675115551435756E-3</v>
      </c>
      <c r="L844" s="15">
        <v>44420</v>
      </c>
      <c r="M844">
        <f t="shared" si="89"/>
        <v>277.82657955119464</v>
      </c>
      <c r="N844">
        <f t="shared" si="90"/>
        <v>173.10243633886554</v>
      </c>
    </row>
    <row r="845" spans="1:14" x14ac:dyDescent="0.45">
      <c r="A845" s="15">
        <v>44414</v>
      </c>
      <c r="B845">
        <v>248.276917</v>
      </c>
      <c r="C845" t="b">
        <f t="shared" si="85"/>
        <v>0</v>
      </c>
      <c r="E845" s="15">
        <v>44421</v>
      </c>
      <c r="F845">
        <f t="shared" si="86"/>
        <v>241.18899500000001</v>
      </c>
      <c r="G845">
        <v>1980.099976</v>
      </c>
      <c r="I845" s="13">
        <f t="shared" si="87"/>
        <v>3.6909885263953557E-2</v>
      </c>
      <c r="J845" s="13">
        <f t="shared" si="88"/>
        <v>7.8229559056253173E-3</v>
      </c>
      <c r="L845" s="15">
        <v>44421</v>
      </c>
      <c r="M845">
        <f t="shared" si="89"/>
        <v>288.08112672570593</v>
      </c>
      <c r="N845">
        <f t="shared" si="90"/>
        <v>174.4566090655008</v>
      </c>
    </row>
    <row r="846" spans="1:14" x14ac:dyDescent="0.45">
      <c r="A846" s="15">
        <v>44417</v>
      </c>
      <c r="B846">
        <v>249.77436800000001</v>
      </c>
      <c r="C846" t="b">
        <f t="shared" si="85"/>
        <v>0</v>
      </c>
      <c r="E846" s="15">
        <v>44424</v>
      </c>
      <c r="F846">
        <f t="shared" si="86"/>
        <v>240.68985000000001</v>
      </c>
      <c r="G846">
        <v>1977.6999510000001</v>
      </c>
      <c r="I846" s="13">
        <f t="shared" si="87"/>
        <v>-2.0695181386696238E-3</v>
      </c>
      <c r="J846" s="13">
        <f t="shared" si="88"/>
        <v>-1.2120726372858437E-3</v>
      </c>
      <c r="L846" s="15">
        <v>44424</v>
      </c>
      <c r="M846">
        <f t="shared" si="89"/>
        <v>287.4849376085387</v>
      </c>
      <c r="N846">
        <f t="shared" si="90"/>
        <v>174.24515498325883</v>
      </c>
    </row>
    <row r="847" spans="1:14" x14ac:dyDescent="0.45">
      <c r="A847" s="15">
        <v>44418</v>
      </c>
      <c r="B847">
        <v>246.77946499999999</v>
      </c>
      <c r="C847" t="b">
        <f t="shared" si="85"/>
        <v>0</v>
      </c>
      <c r="E847" s="15">
        <v>44425</v>
      </c>
      <c r="F847">
        <f t="shared" si="86"/>
        <v>237.39546200000001</v>
      </c>
      <c r="G847">
        <v>1996.1999510000001</v>
      </c>
      <c r="I847" s="13">
        <f t="shared" si="87"/>
        <v>-1.3687274307578767E-2</v>
      </c>
      <c r="J847" s="13">
        <f t="shared" si="88"/>
        <v>9.3543006817822238E-3</v>
      </c>
      <c r="L847" s="15">
        <v>44425</v>
      </c>
      <c r="M847">
        <f t="shared" si="89"/>
        <v>283.55005240819344</v>
      </c>
      <c r="N847">
        <f t="shared" si="90"/>
        <v>175.87509655531596</v>
      </c>
    </row>
    <row r="848" spans="1:14" x14ac:dyDescent="0.45">
      <c r="A848" s="15">
        <v>44419</v>
      </c>
      <c r="B848">
        <v>241.58831799999999</v>
      </c>
      <c r="C848" t="b">
        <f t="shared" si="85"/>
        <v>0</v>
      </c>
      <c r="E848" s="15">
        <v>44426</v>
      </c>
      <c r="F848">
        <f t="shared" si="86"/>
        <v>243.98422199999999</v>
      </c>
      <c r="G848">
        <v>2009.1400149999999</v>
      </c>
      <c r="I848" s="13">
        <f t="shared" si="87"/>
        <v>2.7754363729159959E-2</v>
      </c>
      <c r="J848" s="13">
        <f t="shared" si="88"/>
        <v>6.4823486211977865E-3</v>
      </c>
      <c r="L848" s="15">
        <v>44426</v>
      </c>
      <c r="M848">
        <f t="shared" si="89"/>
        <v>291.4198036981528</v>
      </c>
      <c r="N848">
        <f t="shared" si="90"/>
        <v>177.01518024497435</v>
      </c>
    </row>
    <row r="849" spans="1:14" x14ac:dyDescent="0.45">
      <c r="A849" s="15">
        <v>44420</v>
      </c>
      <c r="B849">
        <v>232.603622</v>
      </c>
      <c r="C849" t="b">
        <f t="shared" si="85"/>
        <v>0</v>
      </c>
      <c r="E849" s="15">
        <v>44427</v>
      </c>
      <c r="F849">
        <f t="shared" si="86"/>
        <v>248.17709400000001</v>
      </c>
      <c r="G849">
        <v>1993.8599850000001</v>
      </c>
      <c r="I849" s="13">
        <f t="shared" si="87"/>
        <v>1.7185012889890938E-2</v>
      </c>
      <c r="J849" s="13">
        <f t="shared" si="88"/>
        <v>-7.6052589097429513E-3</v>
      </c>
      <c r="L849" s="15">
        <v>44427</v>
      </c>
      <c r="M849">
        <f t="shared" si="89"/>
        <v>296.42785678107504</v>
      </c>
      <c r="N849">
        <f t="shared" si="90"/>
        <v>175.66893396825651</v>
      </c>
    </row>
    <row r="850" spans="1:14" x14ac:dyDescent="0.45">
      <c r="A850" s="15">
        <v>44421</v>
      </c>
      <c r="B850">
        <v>241.18899500000001</v>
      </c>
      <c r="C850" t="b">
        <f t="shared" si="85"/>
        <v>0</v>
      </c>
      <c r="E850" s="15">
        <v>44428</v>
      </c>
      <c r="F850">
        <f t="shared" si="86"/>
        <v>251.671143</v>
      </c>
      <c r="G850">
        <v>2007.48999</v>
      </c>
      <c r="I850" s="13">
        <f t="shared" si="87"/>
        <v>1.4078853707586658E-2</v>
      </c>
      <c r="J850" s="13">
        <f t="shared" si="88"/>
        <v>6.8359890376152865E-3</v>
      </c>
      <c r="L850" s="15">
        <v>44428</v>
      </c>
      <c r="M850">
        <f t="shared" si="89"/>
        <v>300.60122121154922</v>
      </c>
      <c r="N850">
        <f t="shared" si="90"/>
        <v>176.86980487511309</v>
      </c>
    </row>
    <row r="851" spans="1:14" x14ac:dyDescent="0.45">
      <c r="A851" s="15">
        <v>44424</v>
      </c>
      <c r="B851">
        <v>240.68985000000001</v>
      </c>
      <c r="C851" t="b">
        <f t="shared" si="85"/>
        <v>0</v>
      </c>
      <c r="E851" s="15">
        <v>44431</v>
      </c>
      <c r="F851">
        <f t="shared" si="86"/>
        <v>255.16519199999999</v>
      </c>
      <c r="G851">
        <v>2018.76001</v>
      </c>
      <c r="I851" s="13">
        <f t="shared" si="87"/>
        <v>1.3883391470113748E-2</v>
      </c>
      <c r="J851" s="13">
        <f t="shared" si="88"/>
        <v>5.6139856518038211E-3</v>
      </c>
      <c r="L851" s="15">
        <v>44431</v>
      </c>
      <c r="M851">
        <f t="shared" si="89"/>
        <v>304.7745856420234</v>
      </c>
      <c r="N851">
        <f t="shared" si="90"/>
        <v>177.86274942191932</v>
      </c>
    </row>
    <row r="852" spans="1:14" x14ac:dyDescent="0.45">
      <c r="A852" s="15">
        <v>44425</v>
      </c>
      <c r="B852">
        <v>237.39546200000001</v>
      </c>
      <c r="C852" t="b">
        <f t="shared" si="85"/>
        <v>0</v>
      </c>
      <c r="E852" s="15">
        <v>44432</v>
      </c>
      <c r="F852">
        <f t="shared" si="86"/>
        <v>259.457855</v>
      </c>
      <c r="G852">
        <v>2001.26001</v>
      </c>
      <c r="I852" s="13">
        <f t="shared" si="87"/>
        <v>1.6823074363528479E-2</v>
      </c>
      <c r="J852" s="13">
        <f t="shared" si="88"/>
        <v>-8.6686876663462087E-3</v>
      </c>
      <c r="L852" s="15">
        <v>44432</v>
      </c>
      <c r="M852">
        <f t="shared" si="89"/>
        <v>309.90183116039276</v>
      </c>
      <c r="N852">
        <f t="shared" si="90"/>
        <v>176.32091279970311</v>
      </c>
    </row>
    <row r="853" spans="1:14" x14ac:dyDescent="0.45">
      <c r="A853" s="15">
        <v>44426</v>
      </c>
      <c r="B853">
        <v>243.98422199999999</v>
      </c>
      <c r="C853" t="b">
        <f t="shared" si="85"/>
        <v>0</v>
      </c>
      <c r="E853" s="15">
        <v>44433</v>
      </c>
      <c r="F853">
        <f t="shared" si="86"/>
        <v>256.06366000000003</v>
      </c>
      <c r="G853">
        <v>1987.839966</v>
      </c>
      <c r="I853" s="13">
        <f t="shared" si="87"/>
        <v>-1.3081874125568382E-2</v>
      </c>
      <c r="J853" s="13">
        <f t="shared" si="88"/>
        <v>-6.7057973141630978E-3</v>
      </c>
      <c r="L853" s="15">
        <v>44433</v>
      </c>
      <c r="M853">
        <f t="shared" si="89"/>
        <v>305.84773441386938</v>
      </c>
      <c r="N853">
        <f t="shared" si="90"/>
        <v>175.13854049622009</v>
      </c>
    </row>
    <row r="854" spans="1:14" x14ac:dyDescent="0.45">
      <c r="A854" s="15">
        <v>44427</v>
      </c>
      <c r="B854">
        <v>248.17709400000001</v>
      </c>
      <c r="C854" t="b">
        <f t="shared" si="85"/>
        <v>0</v>
      </c>
      <c r="E854" s="15">
        <v>44434</v>
      </c>
      <c r="F854">
        <f t="shared" si="86"/>
        <v>257.960419</v>
      </c>
      <c r="G854">
        <v>1988.5500489999999</v>
      </c>
      <c r="I854" s="13">
        <f t="shared" si="87"/>
        <v>7.4073728384573823E-3</v>
      </c>
      <c r="J854" s="13">
        <f t="shared" si="88"/>
        <v>3.572133633216179E-4</v>
      </c>
      <c r="L854" s="15">
        <v>44434</v>
      </c>
      <c r="M854">
        <f t="shared" si="89"/>
        <v>308.11326261447039</v>
      </c>
      <c r="N854">
        <f t="shared" si="90"/>
        <v>175.20110232331797</v>
      </c>
    </row>
    <row r="855" spans="1:14" x14ac:dyDescent="0.45">
      <c r="A855" s="15">
        <v>44428</v>
      </c>
      <c r="B855">
        <v>251.671143</v>
      </c>
      <c r="C855" t="b">
        <f t="shared" si="85"/>
        <v>0</v>
      </c>
      <c r="E855" s="15">
        <v>44435</v>
      </c>
      <c r="F855">
        <f t="shared" si="86"/>
        <v>254.366547</v>
      </c>
      <c r="G855">
        <v>1983.579956</v>
      </c>
      <c r="I855" s="13">
        <f t="shared" si="87"/>
        <v>-1.393187378874583E-2</v>
      </c>
      <c r="J855" s="13">
        <f t="shared" si="88"/>
        <v>-2.499355247558066E-3</v>
      </c>
      <c r="L855" s="15">
        <v>44435</v>
      </c>
      <c r="M855">
        <f t="shared" si="89"/>
        <v>303.82066752708687</v>
      </c>
      <c r="N855">
        <f t="shared" si="90"/>
        <v>174.76321252884821</v>
      </c>
    </row>
    <row r="856" spans="1:14" x14ac:dyDescent="0.45">
      <c r="A856" s="15">
        <v>44431</v>
      </c>
      <c r="B856">
        <v>255.16519199999999</v>
      </c>
      <c r="C856" t="b">
        <f t="shared" si="85"/>
        <v>0</v>
      </c>
      <c r="E856" s="15">
        <v>44438</v>
      </c>
      <c r="F856">
        <f t="shared" si="86"/>
        <v>254.566193</v>
      </c>
      <c r="G856">
        <v>1993.130005</v>
      </c>
      <c r="I856" s="13">
        <f t="shared" si="87"/>
        <v>7.8487522181913683E-4</v>
      </c>
      <c r="J856" s="13">
        <f t="shared" si="88"/>
        <v>4.8145520784845797E-3</v>
      </c>
      <c r="L856" s="15">
        <v>44438</v>
      </c>
      <c r="M856">
        <f t="shared" si="89"/>
        <v>304.05912884090543</v>
      </c>
      <c r="N856">
        <f t="shared" si="90"/>
        <v>175.60461911697163</v>
      </c>
    </row>
    <row r="857" spans="1:14" x14ac:dyDescent="0.45">
      <c r="A857" s="15">
        <v>44432</v>
      </c>
      <c r="B857">
        <v>259.457855</v>
      </c>
      <c r="C857" t="b">
        <f t="shared" si="85"/>
        <v>0</v>
      </c>
      <c r="E857" s="15">
        <v>44439</v>
      </c>
      <c r="F857">
        <f t="shared" si="86"/>
        <v>253.867401</v>
      </c>
      <c r="G857">
        <v>1975.23999</v>
      </c>
      <c r="I857" s="13">
        <f t="shared" si="87"/>
        <v>-2.7450306412053482E-3</v>
      </c>
      <c r="J857" s="13">
        <f t="shared" si="88"/>
        <v>-8.9758394861954027E-3</v>
      </c>
      <c r="L857" s="15">
        <v>44439</v>
      </c>
      <c r="M857">
        <f t="shared" si="89"/>
        <v>303.22447721549895</v>
      </c>
      <c r="N857">
        <f t="shared" si="90"/>
        <v>174.02842024274321</v>
      </c>
    </row>
    <row r="858" spans="1:14" x14ac:dyDescent="0.45">
      <c r="A858" s="15">
        <v>44433</v>
      </c>
      <c r="B858">
        <v>256.06366000000003</v>
      </c>
      <c r="C858" t="b">
        <f t="shared" si="85"/>
        <v>0</v>
      </c>
      <c r="E858" s="15">
        <v>44440</v>
      </c>
      <c r="F858">
        <f t="shared" si="86"/>
        <v>256.16348299999999</v>
      </c>
      <c r="G858">
        <v>1988.3100589999999</v>
      </c>
      <c r="I858" s="13">
        <f t="shared" si="87"/>
        <v>9.044414489436603E-3</v>
      </c>
      <c r="J858" s="13">
        <f t="shared" si="88"/>
        <v>6.6169524038441896E-3</v>
      </c>
      <c r="L858" s="15">
        <v>44440</v>
      </c>
      <c r="M858">
        <f t="shared" si="89"/>
        <v>305.96696507077866</v>
      </c>
      <c r="N858">
        <f t="shared" si="90"/>
        <v>175.17995801640564</v>
      </c>
    </row>
    <row r="859" spans="1:14" x14ac:dyDescent="0.45">
      <c r="A859" s="15">
        <v>44434</v>
      </c>
      <c r="B859">
        <v>257.960419</v>
      </c>
      <c r="C859" t="b">
        <f t="shared" si="85"/>
        <v>0</v>
      </c>
      <c r="E859" s="15">
        <v>44441</v>
      </c>
      <c r="F859">
        <f t="shared" si="86"/>
        <v>265.14816300000001</v>
      </c>
      <c r="G859">
        <v>2012.3599850000001</v>
      </c>
      <c r="I859" s="13">
        <f t="shared" si="87"/>
        <v>3.5074007796810136E-2</v>
      </c>
      <c r="J859" s="13">
        <f t="shared" si="88"/>
        <v>1.2095661786319045E-2</v>
      </c>
      <c r="L859" s="15">
        <v>44441</v>
      </c>
      <c r="M859">
        <f t="shared" si="89"/>
        <v>316.69845278923748</v>
      </c>
      <c r="N859">
        <f t="shared" si="90"/>
        <v>177.29887554031365</v>
      </c>
    </row>
    <row r="860" spans="1:14" x14ac:dyDescent="0.45">
      <c r="A860" s="15">
        <v>44435</v>
      </c>
      <c r="B860">
        <v>254.366547</v>
      </c>
      <c r="C860" t="b">
        <f t="shared" ref="C860:C923" si="91">E852=A860</f>
        <v>0</v>
      </c>
      <c r="E860" s="15">
        <v>44442</v>
      </c>
      <c r="F860">
        <f t="shared" si="86"/>
        <v>265.04834</v>
      </c>
      <c r="G860">
        <v>2003.869995</v>
      </c>
      <c r="I860" s="13">
        <f t="shared" si="87"/>
        <v>-3.7648007389745608E-4</v>
      </c>
      <c r="J860" s="13">
        <f t="shared" si="88"/>
        <v>-4.2189220931064808E-3</v>
      </c>
      <c r="L860" s="15">
        <v>44442</v>
      </c>
      <c r="M860">
        <f t="shared" si="89"/>
        <v>316.5792221323282</v>
      </c>
      <c r="N860">
        <f t="shared" si="90"/>
        <v>176.55086539721367</v>
      </c>
    </row>
    <row r="861" spans="1:14" x14ac:dyDescent="0.45">
      <c r="A861" s="15">
        <v>44438</v>
      </c>
      <c r="B861">
        <v>254.566193</v>
      </c>
      <c r="C861" t="b">
        <f t="shared" si="91"/>
        <v>0</v>
      </c>
      <c r="E861" s="15">
        <v>44445</v>
      </c>
      <c r="F861">
        <f t="shared" si="86"/>
        <v>263.45105000000001</v>
      </c>
      <c r="G861">
        <v>2017.119995</v>
      </c>
      <c r="I861" s="13">
        <f t="shared" si="87"/>
        <v>-6.0264101257906377E-3</v>
      </c>
      <c r="J861" s="13">
        <f t="shared" si="88"/>
        <v>6.6122053990833596E-3</v>
      </c>
      <c r="L861" s="15">
        <v>44445</v>
      </c>
      <c r="M861">
        <f t="shared" si="89"/>
        <v>314.67138590245503</v>
      </c>
      <c r="N861">
        <f t="shared" si="90"/>
        <v>177.71825598260597</v>
      </c>
    </row>
    <row r="862" spans="1:14" x14ac:dyDescent="0.45">
      <c r="A862" s="15">
        <v>44439</v>
      </c>
      <c r="B862">
        <v>253.867401</v>
      </c>
      <c r="C862" t="b">
        <f t="shared" si="91"/>
        <v>0</v>
      </c>
      <c r="E862" s="15">
        <v>44446</v>
      </c>
      <c r="F862">
        <f t="shared" si="86"/>
        <v>263.95019500000001</v>
      </c>
      <c r="G862">
        <v>2011.6099850000001</v>
      </c>
      <c r="I862" s="13">
        <f t="shared" si="87"/>
        <v>1.8946403895523378E-3</v>
      </c>
      <c r="J862" s="13">
        <f t="shared" si="88"/>
        <v>-2.7316223197717537E-3</v>
      </c>
      <c r="L862" s="15">
        <v>44446</v>
      </c>
      <c r="M862">
        <f t="shared" si="89"/>
        <v>315.26757501962226</v>
      </c>
      <c r="N862">
        <f t="shared" si="90"/>
        <v>177.23279682793296</v>
      </c>
    </row>
    <row r="863" spans="1:14" x14ac:dyDescent="0.45">
      <c r="A863" s="15">
        <v>44440</v>
      </c>
      <c r="B863">
        <v>256.16348299999999</v>
      </c>
      <c r="C863" t="b">
        <f t="shared" si="91"/>
        <v>0</v>
      </c>
      <c r="E863" s="15">
        <v>44447</v>
      </c>
      <c r="F863">
        <f t="shared" si="86"/>
        <v>252.07044999999999</v>
      </c>
      <c r="G863">
        <v>1981.589966</v>
      </c>
      <c r="I863" s="13">
        <f t="shared" si="87"/>
        <v>-4.5007524999176485E-2</v>
      </c>
      <c r="J863" s="13">
        <f t="shared" si="88"/>
        <v>-1.4923379394540026E-2</v>
      </c>
      <c r="L863" s="15">
        <v>44447</v>
      </c>
      <c r="M863">
        <f t="shared" si="89"/>
        <v>301.07816175549686</v>
      </c>
      <c r="N863">
        <f t="shared" si="90"/>
        <v>174.5878845597143</v>
      </c>
    </row>
    <row r="864" spans="1:14" x14ac:dyDescent="0.45">
      <c r="A864" s="15">
        <v>44441</v>
      </c>
      <c r="B864">
        <v>265.14816300000001</v>
      </c>
      <c r="C864" t="b">
        <f t="shared" si="91"/>
        <v>0</v>
      </c>
      <c r="E864" s="15">
        <v>44448</v>
      </c>
      <c r="F864">
        <f t="shared" si="86"/>
        <v>251.97061199999999</v>
      </c>
      <c r="G864">
        <v>1978.6800539999999</v>
      </c>
      <c r="I864" s="13">
        <f t="shared" si="87"/>
        <v>-3.9607181246359424E-4</v>
      </c>
      <c r="J864" s="13">
        <f t="shared" si="88"/>
        <v>-1.4684733218921497E-3</v>
      </c>
      <c r="L864" s="15">
        <v>44448</v>
      </c>
      <c r="M864">
        <f t="shared" si="89"/>
        <v>300.95891318227717</v>
      </c>
      <c r="N864">
        <f t="shared" si="90"/>
        <v>174.33150690891276</v>
      </c>
    </row>
    <row r="865" spans="1:14" x14ac:dyDescent="0.45">
      <c r="A865" s="15">
        <v>44442</v>
      </c>
      <c r="B865">
        <v>265.04834</v>
      </c>
      <c r="C865" t="b">
        <f t="shared" si="91"/>
        <v>0</v>
      </c>
      <c r="E865" s="15">
        <v>44449</v>
      </c>
      <c r="F865">
        <f t="shared" si="86"/>
        <v>249.57470699999999</v>
      </c>
      <c r="G865">
        <v>1960.6899410000001</v>
      </c>
      <c r="I865" s="13">
        <f t="shared" si="87"/>
        <v>-9.5086684156643342E-3</v>
      </c>
      <c r="J865" s="13">
        <f t="shared" si="88"/>
        <v>-9.0919767264201479E-3</v>
      </c>
      <c r="L865" s="15">
        <v>44449</v>
      </c>
      <c r="M865">
        <f t="shared" si="89"/>
        <v>298.09719467008819</v>
      </c>
      <c r="N865">
        <f t="shared" si="90"/>
        <v>172.74648890541516</v>
      </c>
    </row>
    <row r="866" spans="1:14" x14ac:dyDescent="0.45">
      <c r="A866" s="15">
        <v>44445</v>
      </c>
      <c r="B866">
        <v>263.45105000000001</v>
      </c>
      <c r="C866" t="b">
        <f t="shared" si="91"/>
        <v>0</v>
      </c>
      <c r="E866" s="15">
        <v>44452</v>
      </c>
      <c r="F866">
        <f t="shared" si="86"/>
        <v>260.35632299999997</v>
      </c>
      <c r="G866">
        <v>1968.4799800000001</v>
      </c>
      <c r="I866" s="13">
        <f t="shared" si="87"/>
        <v>4.3199954553087005E-2</v>
      </c>
      <c r="J866" s="13">
        <f t="shared" si="88"/>
        <v>3.9731111161955823E-3</v>
      </c>
      <c r="L866" s="15">
        <v>44452</v>
      </c>
      <c r="M866">
        <f t="shared" si="89"/>
        <v>310.97497993223874</v>
      </c>
      <c r="N866">
        <f t="shared" si="90"/>
        <v>173.43282990076904</v>
      </c>
    </row>
    <row r="867" spans="1:14" x14ac:dyDescent="0.45">
      <c r="A867" s="15">
        <v>44446</v>
      </c>
      <c r="B867">
        <v>263.95019500000001</v>
      </c>
      <c r="C867" t="b">
        <f t="shared" si="91"/>
        <v>0</v>
      </c>
      <c r="E867" s="15">
        <v>44453</v>
      </c>
      <c r="F867">
        <f t="shared" si="86"/>
        <v>259.35803199999998</v>
      </c>
      <c r="G867">
        <v>1973.780029</v>
      </c>
      <c r="I867" s="13">
        <f t="shared" si="87"/>
        <v>-3.8343259287771936E-3</v>
      </c>
      <c r="J867" s="13">
        <f t="shared" si="88"/>
        <v>2.6924576596405458E-3</v>
      </c>
      <c r="L867" s="15">
        <v>44453</v>
      </c>
      <c r="M867">
        <f t="shared" si="89"/>
        <v>309.78260050348359</v>
      </c>
      <c r="N867">
        <f t="shared" si="90"/>
        <v>173.89979045206849</v>
      </c>
    </row>
    <row r="868" spans="1:14" x14ac:dyDescent="0.45">
      <c r="A868" s="15">
        <v>44447</v>
      </c>
      <c r="B868">
        <v>252.07044999999999</v>
      </c>
      <c r="C868" t="b">
        <f t="shared" si="91"/>
        <v>0</v>
      </c>
      <c r="E868" s="15">
        <v>44454</v>
      </c>
      <c r="F868">
        <f t="shared" si="86"/>
        <v>251.97061199999999</v>
      </c>
      <c r="G868">
        <v>1952.349976</v>
      </c>
      <c r="I868" s="13">
        <f t="shared" si="87"/>
        <v>-2.8483482632224777E-2</v>
      </c>
      <c r="J868" s="13">
        <f t="shared" si="88"/>
        <v>-1.0857366416285763E-2</v>
      </c>
      <c r="L868" s="15">
        <v>44454</v>
      </c>
      <c r="M868">
        <f t="shared" si="89"/>
        <v>300.95891318227717</v>
      </c>
      <c r="N868">
        <f t="shared" si="90"/>
        <v>172.01169670741507</v>
      </c>
    </row>
    <row r="869" spans="1:14" x14ac:dyDescent="0.45">
      <c r="A869" s="15">
        <v>44448</v>
      </c>
      <c r="B869">
        <v>251.97061199999999</v>
      </c>
      <c r="C869" t="b">
        <f t="shared" si="91"/>
        <v>0</v>
      </c>
      <c r="E869" s="15">
        <v>44455</v>
      </c>
      <c r="F869">
        <f t="shared" si="86"/>
        <v>254.46637000000001</v>
      </c>
      <c r="G869">
        <v>1967.9300539999999</v>
      </c>
      <c r="I869" s="13">
        <f t="shared" si="87"/>
        <v>9.9049566939179989E-3</v>
      </c>
      <c r="J869" s="13">
        <f t="shared" si="88"/>
        <v>7.9801665641530128E-3</v>
      </c>
      <c r="L869" s="15">
        <v>44455</v>
      </c>
      <c r="M869">
        <f t="shared" si="89"/>
        <v>303.93989818399626</v>
      </c>
      <c r="N869">
        <f t="shared" si="90"/>
        <v>173.38437869812282</v>
      </c>
    </row>
    <row r="870" spans="1:14" x14ac:dyDescent="0.45">
      <c r="A870" s="15">
        <v>44449</v>
      </c>
      <c r="B870">
        <v>249.57470699999999</v>
      </c>
      <c r="C870" t="b">
        <f t="shared" si="91"/>
        <v>0</v>
      </c>
      <c r="E870" s="15">
        <v>44456</v>
      </c>
      <c r="F870">
        <f t="shared" si="86"/>
        <v>247.27860999999999</v>
      </c>
      <c r="G870">
        <v>1955.650024</v>
      </c>
      <c r="I870" s="13">
        <f t="shared" si="87"/>
        <v>-2.8246404426643945E-2</v>
      </c>
      <c r="J870" s="13">
        <f t="shared" si="88"/>
        <v>-6.2400744249215823E-3</v>
      </c>
      <c r="L870" s="15">
        <v>44456</v>
      </c>
      <c r="M870">
        <f t="shared" si="89"/>
        <v>295.35468889849813</v>
      </c>
      <c r="N870">
        <f t="shared" si="90"/>
        <v>172.30244727092773</v>
      </c>
    </row>
    <row r="871" spans="1:14" x14ac:dyDescent="0.45">
      <c r="A871" s="15">
        <v>44452</v>
      </c>
      <c r="B871">
        <v>260.35632299999997</v>
      </c>
      <c r="C871" t="b">
        <f t="shared" si="91"/>
        <v>0</v>
      </c>
      <c r="E871" s="15">
        <v>44459</v>
      </c>
      <c r="F871">
        <f t="shared" si="86"/>
        <v>246.87930299999999</v>
      </c>
      <c r="G871">
        <v>1927.6800539999999</v>
      </c>
      <c r="I871" s="13">
        <f t="shared" si="87"/>
        <v>-1.6148060683452981E-3</v>
      </c>
      <c r="J871" s="13">
        <f t="shared" si="88"/>
        <v>-1.4302134664561095E-2</v>
      </c>
      <c r="L871" s="15">
        <v>44459</v>
      </c>
      <c r="M871">
        <f t="shared" si="89"/>
        <v>294.87774835455059</v>
      </c>
      <c r="N871">
        <f t="shared" si="90"/>
        <v>169.83815446702548</v>
      </c>
    </row>
    <row r="872" spans="1:14" x14ac:dyDescent="0.45">
      <c r="A872" s="15">
        <v>44453</v>
      </c>
      <c r="B872">
        <v>259.35803199999998</v>
      </c>
      <c r="C872" t="b">
        <f t="shared" si="91"/>
        <v>0</v>
      </c>
      <c r="E872" s="15">
        <v>44460</v>
      </c>
      <c r="F872">
        <f t="shared" si="86"/>
        <v>251.072159</v>
      </c>
      <c r="G872">
        <v>1964.599976</v>
      </c>
      <c r="I872" s="13">
        <f t="shared" si="87"/>
        <v>1.6983424487390097E-2</v>
      </c>
      <c r="J872" s="13">
        <f t="shared" si="88"/>
        <v>1.9152515441237306E-2</v>
      </c>
      <c r="L872" s="15">
        <v>44460</v>
      </c>
      <c r="M872">
        <f t="shared" si="89"/>
        <v>299.88578232674172</v>
      </c>
      <c r="N872">
        <f t="shared" si="90"/>
        <v>173.09098234296644</v>
      </c>
    </row>
    <row r="873" spans="1:14" x14ac:dyDescent="0.45">
      <c r="A873" s="15">
        <v>44454</v>
      </c>
      <c r="B873">
        <v>251.97061199999999</v>
      </c>
      <c r="C873" t="b">
        <f t="shared" si="91"/>
        <v>0</v>
      </c>
      <c r="E873" s="15">
        <v>44461</v>
      </c>
      <c r="F873">
        <f t="shared" si="86"/>
        <v>255.96380600000001</v>
      </c>
      <c r="G873">
        <v>1969.0500489999999</v>
      </c>
      <c r="I873" s="13">
        <f t="shared" si="87"/>
        <v>1.9483032366006015E-2</v>
      </c>
      <c r="J873" s="13">
        <f t="shared" si="88"/>
        <v>2.2651293160760311E-3</v>
      </c>
      <c r="L873" s="15">
        <v>44461</v>
      </c>
      <c r="M873">
        <f t="shared" si="89"/>
        <v>305.72846672991864</v>
      </c>
      <c r="N873">
        <f t="shared" si="90"/>
        <v>173.48305580141988</v>
      </c>
    </row>
    <row r="874" spans="1:14" x14ac:dyDescent="0.45">
      <c r="A874" s="15">
        <v>44455</v>
      </c>
      <c r="B874">
        <v>254.46637000000001</v>
      </c>
      <c r="C874" t="b">
        <f t="shared" si="91"/>
        <v>0</v>
      </c>
      <c r="E874" s="15">
        <v>44462</v>
      </c>
      <c r="F874">
        <f t="shared" si="86"/>
        <v>266.04663099999999</v>
      </c>
      <c r="G874">
        <v>1998.0600589999999</v>
      </c>
      <c r="I874" s="13">
        <f t="shared" si="87"/>
        <v>3.9391604452076345E-2</v>
      </c>
      <c r="J874" s="13">
        <f t="shared" si="88"/>
        <v>1.4732997779682178E-2</v>
      </c>
      <c r="L874" s="15">
        <v>44462</v>
      </c>
      <c r="M874">
        <f t="shared" si="89"/>
        <v>317.7716015610834</v>
      </c>
      <c r="N874">
        <f t="shared" si="90"/>
        <v>176.03898127735468</v>
      </c>
    </row>
    <row r="875" spans="1:14" x14ac:dyDescent="0.45">
      <c r="A875" s="15">
        <v>44456</v>
      </c>
      <c r="B875">
        <v>247.27860999999999</v>
      </c>
      <c r="C875" t="b">
        <f t="shared" si="91"/>
        <v>0</v>
      </c>
      <c r="E875" s="15">
        <v>44463</v>
      </c>
      <c r="F875">
        <f t="shared" si="86"/>
        <v>259.95700099999999</v>
      </c>
      <c r="G875">
        <v>1964.459961</v>
      </c>
      <c r="I875" s="13">
        <f t="shared" si="87"/>
        <v>-2.2889333261280842E-2</v>
      </c>
      <c r="J875" s="13">
        <f t="shared" si="88"/>
        <v>-1.6816360373479555E-2</v>
      </c>
      <c r="L875" s="15">
        <v>44463</v>
      </c>
      <c r="M875">
        <f t="shared" si="89"/>
        <v>310.49802147198079</v>
      </c>
      <c r="N875">
        <f t="shared" si="90"/>
        <v>173.07864632841446</v>
      </c>
    </row>
    <row r="876" spans="1:14" x14ac:dyDescent="0.45">
      <c r="A876" s="15">
        <v>44459</v>
      </c>
      <c r="B876">
        <v>246.87930299999999</v>
      </c>
      <c r="C876" t="b">
        <f t="shared" si="91"/>
        <v>0</v>
      </c>
      <c r="E876" s="15">
        <v>44466</v>
      </c>
      <c r="F876">
        <f t="shared" si="86"/>
        <v>261.25482199999999</v>
      </c>
      <c r="G876">
        <v>1931.969971</v>
      </c>
      <c r="I876" s="13">
        <f t="shared" si="87"/>
        <v>4.992444885144609E-3</v>
      </c>
      <c r="J876" s="13">
        <f t="shared" si="88"/>
        <v>-1.6538891423096835E-2</v>
      </c>
      <c r="L876" s="15">
        <v>44466</v>
      </c>
      <c r="M876">
        <f t="shared" si="89"/>
        <v>312.04816573112612</v>
      </c>
      <c r="N876">
        <f t="shared" si="90"/>
        <v>170.21611738913225</v>
      </c>
    </row>
    <row r="877" spans="1:14" x14ac:dyDescent="0.45">
      <c r="A877" s="15">
        <v>44460</v>
      </c>
      <c r="B877">
        <v>251.072159</v>
      </c>
      <c r="C877" t="b">
        <f t="shared" si="91"/>
        <v>0</v>
      </c>
      <c r="E877" s="15">
        <v>44467</v>
      </c>
      <c r="F877">
        <f t="shared" si="86"/>
        <v>257.56109600000002</v>
      </c>
      <c r="G877">
        <v>1883.670044</v>
      </c>
      <c r="I877" s="13">
        <f t="shared" si="87"/>
        <v>-1.4138403156439994E-2</v>
      </c>
      <c r="J877" s="13">
        <f t="shared" si="88"/>
        <v>-2.5000350794789905E-2</v>
      </c>
      <c r="L877" s="15">
        <v>44467</v>
      </c>
      <c r="M877">
        <f t="shared" si="89"/>
        <v>307.63630295979186</v>
      </c>
      <c r="N877">
        <f t="shared" si="90"/>
        <v>165.96065474347679</v>
      </c>
    </row>
    <row r="878" spans="1:14" x14ac:dyDescent="0.45">
      <c r="A878" s="15">
        <v>44461</v>
      </c>
      <c r="B878">
        <v>255.96380600000001</v>
      </c>
      <c r="C878" t="b">
        <f t="shared" si="91"/>
        <v>0</v>
      </c>
      <c r="E878" s="15">
        <v>44468</v>
      </c>
      <c r="F878">
        <f t="shared" si="86"/>
        <v>265.84695399999998</v>
      </c>
      <c r="G878">
        <v>1892.920044</v>
      </c>
      <c r="I878" s="13">
        <f t="shared" si="87"/>
        <v>3.2170456364263744E-2</v>
      </c>
      <c r="J878" s="13">
        <f t="shared" si="88"/>
        <v>4.9106264812479594E-3</v>
      </c>
      <c r="L878" s="15">
        <v>44468</v>
      </c>
      <c r="M878">
        <f t="shared" si="89"/>
        <v>317.53310322022327</v>
      </c>
      <c r="N878">
        <f t="shared" si="90"/>
        <v>166.77562552950536</v>
      </c>
    </row>
    <row r="879" spans="1:14" x14ac:dyDescent="0.45">
      <c r="A879" s="15">
        <v>44462</v>
      </c>
      <c r="B879">
        <v>266.04663099999999</v>
      </c>
      <c r="C879" t="b">
        <f t="shared" si="91"/>
        <v>0</v>
      </c>
      <c r="E879" s="15">
        <v>44469</v>
      </c>
      <c r="F879">
        <f t="shared" si="86"/>
        <v>257.06195100000002</v>
      </c>
      <c r="G879">
        <v>1880.619995</v>
      </c>
      <c r="I879" s="13">
        <f t="shared" si="87"/>
        <v>-3.3045340064343787E-2</v>
      </c>
      <c r="J879" s="13">
        <f t="shared" si="88"/>
        <v>-6.4979231632036338E-3</v>
      </c>
      <c r="L879" s="15">
        <v>44469</v>
      </c>
      <c r="M879">
        <f t="shared" si="89"/>
        <v>307.04011384262463</v>
      </c>
      <c r="N879">
        <f t="shared" si="90"/>
        <v>165.6919303293194</v>
      </c>
    </row>
    <row r="880" spans="1:14" x14ac:dyDescent="0.45">
      <c r="A880" s="15">
        <v>44463</v>
      </c>
      <c r="B880">
        <v>259.95700099999999</v>
      </c>
      <c r="C880" t="b">
        <f t="shared" si="91"/>
        <v>0</v>
      </c>
      <c r="E880" s="15">
        <v>44470</v>
      </c>
      <c r="F880">
        <f t="shared" si="86"/>
        <v>247.777771</v>
      </c>
      <c r="G880">
        <v>1856.660034</v>
      </c>
      <c r="I880" s="13">
        <f t="shared" si="87"/>
        <v>-3.6116507961927113E-2</v>
      </c>
      <c r="J880" s="13">
        <f t="shared" si="88"/>
        <v>-1.2740458499698182E-2</v>
      </c>
      <c r="L880" s="15">
        <v>44470</v>
      </c>
      <c r="M880">
        <f t="shared" si="89"/>
        <v>295.95089712639646</v>
      </c>
      <c r="N880">
        <f t="shared" si="90"/>
        <v>163.58093916722382</v>
      </c>
    </row>
    <row r="881" spans="1:14" x14ac:dyDescent="0.45">
      <c r="A881" s="15">
        <v>44466</v>
      </c>
      <c r="B881">
        <v>261.25482199999999</v>
      </c>
      <c r="C881" t="b">
        <f t="shared" si="91"/>
        <v>0</v>
      </c>
      <c r="E881" s="15">
        <v>44473</v>
      </c>
      <c r="F881">
        <f t="shared" si="86"/>
        <v>229.80838</v>
      </c>
      <c r="G881">
        <v>1823.920044</v>
      </c>
      <c r="I881" s="13">
        <f t="shared" si="87"/>
        <v>-7.2522207813387807E-2</v>
      </c>
      <c r="J881" s="13">
        <f t="shared" si="88"/>
        <v>-1.7633809852342641E-2</v>
      </c>
      <c r="L881" s="15">
        <v>44473</v>
      </c>
      <c r="M881">
        <f t="shared" si="89"/>
        <v>274.48788466243735</v>
      </c>
      <c r="N881">
        <f t="shared" si="90"/>
        <v>160.69638399048137</v>
      </c>
    </row>
    <row r="882" spans="1:14" x14ac:dyDescent="0.45">
      <c r="A882" s="15">
        <v>44467</v>
      </c>
      <c r="B882">
        <v>257.56109600000002</v>
      </c>
      <c r="C882" t="b">
        <f t="shared" si="91"/>
        <v>0</v>
      </c>
      <c r="E882" s="15">
        <v>44474</v>
      </c>
      <c r="F882">
        <f t="shared" si="86"/>
        <v>229.80838</v>
      </c>
      <c r="G882">
        <v>1839.9499510000001</v>
      </c>
      <c r="I882" s="13">
        <f t="shared" si="87"/>
        <v>0</v>
      </c>
      <c r="J882" s="13">
        <f t="shared" si="88"/>
        <v>8.7887114639331188E-3</v>
      </c>
      <c r="L882" s="15">
        <v>44474</v>
      </c>
      <c r="M882">
        <f t="shared" si="89"/>
        <v>274.48788466243735</v>
      </c>
      <c r="N882">
        <f t="shared" si="90"/>
        <v>162.1086981426711</v>
      </c>
    </row>
    <row r="883" spans="1:14" x14ac:dyDescent="0.45">
      <c r="A883" s="15">
        <v>44468</v>
      </c>
      <c r="B883">
        <v>265.84695399999998</v>
      </c>
      <c r="C883" t="b">
        <f t="shared" si="91"/>
        <v>0</v>
      </c>
      <c r="E883" s="15">
        <v>44475</v>
      </c>
      <c r="F883">
        <f t="shared" si="86"/>
        <v>233.00294500000001</v>
      </c>
      <c r="G883">
        <v>1840.839966</v>
      </c>
      <c r="I883" s="13">
        <f t="shared" si="87"/>
        <v>1.3900994384974164E-2</v>
      </c>
      <c r="J883" s="13">
        <f t="shared" si="88"/>
        <v>4.8371696171201073E-4</v>
      </c>
      <c r="L883" s="15">
        <v>44475</v>
      </c>
      <c r="M883">
        <f t="shared" si="89"/>
        <v>278.30353920587334</v>
      </c>
      <c r="N883">
        <f t="shared" si="90"/>
        <v>162.18711286960377</v>
      </c>
    </row>
    <row r="884" spans="1:14" x14ac:dyDescent="0.45">
      <c r="A884" s="15">
        <v>44469</v>
      </c>
      <c r="B884">
        <v>257.06195100000002</v>
      </c>
      <c r="C884" t="b">
        <f t="shared" si="91"/>
        <v>0</v>
      </c>
      <c r="E884" s="15">
        <v>44476</v>
      </c>
      <c r="F884">
        <f t="shared" si="86"/>
        <v>229.309235</v>
      </c>
      <c r="G884">
        <v>1863.119995</v>
      </c>
      <c r="I884" s="13">
        <f t="shared" si="87"/>
        <v>-1.5852632248918641E-2</v>
      </c>
      <c r="J884" s="13">
        <f t="shared" si="88"/>
        <v>1.210318626904483E-2</v>
      </c>
      <c r="L884" s="15">
        <v>44476</v>
      </c>
      <c r="M884">
        <f t="shared" si="89"/>
        <v>273.89169554527012</v>
      </c>
      <c r="N884">
        <f t="shared" si="90"/>
        <v>164.15009370710317</v>
      </c>
    </row>
    <row r="885" spans="1:14" x14ac:dyDescent="0.45">
      <c r="A885" s="15">
        <v>44470</v>
      </c>
      <c r="B885">
        <v>247.777771</v>
      </c>
      <c r="C885" t="b">
        <f t="shared" si="91"/>
        <v>0</v>
      </c>
      <c r="E885" s="15">
        <v>44477</v>
      </c>
      <c r="F885">
        <f t="shared" si="86"/>
        <v>222.12148999999999</v>
      </c>
      <c r="G885">
        <v>1839.719971</v>
      </c>
      <c r="I885" s="13">
        <f t="shared" si="87"/>
        <v>-3.1345205089537753E-2</v>
      </c>
      <c r="J885" s="13">
        <f t="shared" si="88"/>
        <v>-1.2559590398255605E-2</v>
      </c>
      <c r="L885" s="15">
        <v>44477</v>
      </c>
      <c r="M885">
        <f t="shared" si="89"/>
        <v>265.3065041760824</v>
      </c>
      <c r="N885">
        <f t="shared" si="90"/>
        <v>162.08843576630667</v>
      </c>
    </row>
    <row r="886" spans="1:14" x14ac:dyDescent="0.45">
      <c r="A886" s="15">
        <v>44473</v>
      </c>
      <c r="B886">
        <v>229.80838</v>
      </c>
      <c r="C886" t="b">
        <f t="shared" si="91"/>
        <v>0</v>
      </c>
      <c r="E886" s="15">
        <v>44480</v>
      </c>
      <c r="F886">
        <f t="shared" si="86"/>
        <v>223.71876499999999</v>
      </c>
      <c r="G886">
        <v>1826.030029</v>
      </c>
      <c r="I886" s="13">
        <f t="shared" si="87"/>
        <v>7.1909971430499375E-3</v>
      </c>
      <c r="J886" s="13">
        <f t="shared" si="88"/>
        <v>-7.4413183613800671E-3</v>
      </c>
      <c r="L886" s="15">
        <v>44480</v>
      </c>
      <c r="M886">
        <f t="shared" si="89"/>
        <v>267.21432248964516</v>
      </c>
      <c r="N886">
        <f t="shared" si="90"/>
        <v>160.88228411307148</v>
      </c>
    </row>
    <row r="887" spans="1:14" x14ac:dyDescent="0.45">
      <c r="A887" s="15">
        <v>44474</v>
      </c>
      <c r="B887">
        <v>229.80838</v>
      </c>
      <c r="C887" t="b">
        <f t="shared" si="91"/>
        <v>0</v>
      </c>
      <c r="E887" s="15">
        <v>44481</v>
      </c>
      <c r="F887">
        <f t="shared" si="86"/>
        <v>235.398865</v>
      </c>
      <c r="G887">
        <v>1842.6999510000001</v>
      </c>
      <c r="I887" s="13">
        <f t="shared" si="87"/>
        <v>5.2208852484949109E-2</v>
      </c>
      <c r="J887" s="13">
        <f t="shared" si="88"/>
        <v>9.1290514040063275E-3</v>
      </c>
      <c r="L887" s="15">
        <v>44481</v>
      </c>
      <c r="M887">
        <f t="shared" si="89"/>
        <v>281.16527563437268</v>
      </c>
      <c r="N887">
        <f t="shared" si="90"/>
        <v>162.35098675473367</v>
      </c>
    </row>
    <row r="888" spans="1:14" x14ac:dyDescent="0.45">
      <c r="A888" s="15">
        <v>44475</v>
      </c>
      <c r="B888">
        <v>233.00294500000001</v>
      </c>
      <c r="C888" t="b">
        <f t="shared" si="91"/>
        <v>0</v>
      </c>
      <c r="E888" s="15">
        <v>44482</v>
      </c>
      <c r="F888">
        <f t="shared" si="86"/>
        <v>246.679642</v>
      </c>
      <c r="G888">
        <v>1888.6999510000001</v>
      </c>
      <c r="I888" s="13">
        <f t="shared" si="87"/>
        <v>4.7921968527758096E-2</v>
      </c>
      <c r="J888" s="13">
        <f t="shared" si="88"/>
        <v>2.4963369633258292E-2</v>
      </c>
      <c r="L888" s="15">
        <v>44482</v>
      </c>
      <c r="M888">
        <f t="shared" si="89"/>
        <v>294.6392691244215</v>
      </c>
      <c r="N888">
        <f t="shared" si="90"/>
        <v>166.40381444741629</v>
      </c>
    </row>
    <row r="889" spans="1:14" x14ac:dyDescent="0.45">
      <c r="A889" s="15">
        <v>44476</v>
      </c>
      <c r="B889">
        <v>229.309235</v>
      </c>
      <c r="C889" t="b">
        <f t="shared" si="91"/>
        <v>0</v>
      </c>
      <c r="E889" s="15">
        <v>44483</v>
      </c>
      <c r="F889">
        <f t="shared" si="86"/>
        <v>243.584915</v>
      </c>
      <c r="G889">
        <v>1873.73999</v>
      </c>
      <c r="I889" s="13">
        <f t="shared" si="87"/>
        <v>-1.2545530611723588E-2</v>
      </c>
      <c r="J889" s="13">
        <f t="shared" si="88"/>
        <v>-7.9207716355789159E-3</v>
      </c>
      <c r="L889" s="15">
        <v>44483</v>
      </c>
      <c r="M889">
        <f t="shared" si="89"/>
        <v>290.94286315420521</v>
      </c>
      <c r="N889">
        <f t="shared" si="90"/>
        <v>165.08576783388907</v>
      </c>
    </row>
    <row r="890" spans="1:14" x14ac:dyDescent="0.45">
      <c r="A890" s="15">
        <v>44477</v>
      </c>
      <c r="B890">
        <v>222.12148999999999</v>
      </c>
      <c r="C890" t="b">
        <f t="shared" si="91"/>
        <v>0</v>
      </c>
      <c r="E890" s="15">
        <v>44484</v>
      </c>
      <c r="F890">
        <f t="shared" si="86"/>
        <v>251.571304</v>
      </c>
      <c r="G890">
        <v>1898.650024</v>
      </c>
      <c r="I890" s="13">
        <f t="shared" si="87"/>
        <v>3.2786878448527901E-2</v>
      </c>
      <c r="J890" s="13">
        <f t="shared" si="88"/>
        <v>1.3294285297289266E-2</v>
      </c>
      <c r="L890" s="15">
        <v>44484</v>
      </c>
      <c r="M890">
        <f t="shared" si="89"/>
        <v>300.48197144390883</v>
      </c>
      <c r="N890">
        <f t="shared" si="90"/>
        <v>167.28046512999484</v>
      </c>
    </row>
    <row r="891" spans="1:14" x14ac:dyDescent="0.45">
      <c r="A891" s="15">
        <v>44480</v>
      </c>
      <c r="B891">
        <v>223.71876499999999</v>
      </c>
      <c r="C891" t="b">
        <f t="shared" si="91"/>
        <v>0</v>
      </c>
      <c r="E891" s="15">
        <v>44487</v>
      </c>
      <c r="F891">
        <f t="shared" si="86"/>
        <v>248.776062</v>
      </c>
      <c r="G891">
        <v>1899.0500489999999</v>
      </c>
      <c r="I891" s="13">
        <f t="shared" si="87"/>
        <v>-1.1111132134529966E-2</v>
      </c>
      <c r="J891" s="13">
        <f t="shared" si="88"/>
        <v>2.1068917122346598E-4</v>
      </c>
      <c r="L891" s="15">
        <v>44487</v>
      </c>
      <c r="M891">
        <f t="shared" si="89"/>
        <v>297.14327655515149</v>
      </c>
      <c r="N891">
        <f t="shared" si="90"/>
        <v>167.31570931255496</v>
      </c>
    </row>
    <row r="892" spans="1:14" x14ac:dyDescent="0.45">
      <c r="A892" s="15">
        <v>44481</v>
      </c>
      <c r="B892">
        <v>235.398865</v>
      </c>
      <c r="C892" t="b">
        <f t="shared" si="91"/>
        <v>0</v>
      </c>
      <c r="E892" s="15">
        <v>44488</v>
      </c>
      <c r="F892">
        <f t="shared" si="86"/>
        <v>251.671143</v>
      </c>
      <c r="G892">
        <v>1922.7700199999999</v>
      </c>
      <c r="I892" s="13">
        <f t="shared" si="87"/>
        <v>1.1637297321636986E-2</v>
      </c>
      <c r="J892" s="13">
        <f t="shared" si="88"/>
        <v>1.2490440161116556E-2</v>
      </c>
      <c r="L892" s="15">
        <v>44488</v>
      </c>
      <c r="M892">
        <f t="shared" si="89"/>
        <v>300.60122121154922</v>
      </c>
      <c r="N892">
        <f t="shared" si="90"/>
        <v>169.40555616773821</v>
      </c>
    </row>
    <row r="893" spans="1:14" x14ac:dyDescent="0.45">
      <c r="A893" s="15">
        <v>44482</v>
      </c>
      <c r="B893">
        <v>246.679642</v>
      </c>
      <c r="C893" t="b">
        <f t="shared" si="91"/>
        <v>0</v>
      </c>
      <c r="E893" s="15">
        <v>44489</v>
      </c>
      <c r="F893">
        <f t="shared" si="86"/>
        <v>266.246307</v>
      </c>
      <c r="G893">
        <v>1937.880005</v>
      </c>
      <c r="I893" s="13">
        <f t="shared" si="87"/>
        <v>5.7913528846650575E-2</v>
      </c>
      <c r="J893" s="13">
        <f t="shared" si="88"/>
        <v>7.8584463263058346E-3</v>
      </c>
      <c r="L893" s="15">
        <v>44489</v>
      </c>
      <c r="M893">
        <f t="shared" si="89"/>
        <v>318.01009870752267</v>
      </c>
      <c r="N893">
        <f t="shared" si="90"/>
        <v>170.73682063826038</v>
      </c>
    </row>
    <row r="894" spans="1:14" x14ac:dyDescent="0.45">
      <c r="A894" s="15">
        <v>44483</v>
      </c>
      <c r="B894">
        <v>243.584915</v>
      </c>
      <c r="C894" t="b">
        <f t="shared" si="91"/>
        <v>0</v>
      </c>
      <c r="E894" s="15">
        <v>44490</v>
      </c>
      <c r="F894">
        <f t="shared" si="86"/>
        <v>271.43743899999998</v>
      </c>
      <c r="G894">
        <v>1947</v>
      </c>
      <c r="I894" s="13">
        <f t="shared" si="87"/>
        <v>1.94974798279548E-2</v>
      </c>
      <c r="J894" s="13">
        <f t="shared" si="88"/>
        <v>4.7061711646072535E-3</v>
      </c>
      <c r="L894" s="15">
        <v>44490</v>
      </c>
      <c r="M894">
        <f t="shared" si="89"/>
        <v>324.21049419215854</v>
      </c>
      <c r="N894">
        <f t="shared" si="90"/>
        <v>171.54033734028488</v>
      </c>
    </row>
    <row r="895" spans="1:14" x14ac:dyDescent="0.45">
      <c r="A895" s="15">
        <v>44484</v>
      </c>
      <c r="B895">
        <v>251.571304</v>
      </c>
      <c r="C895" t="b">
        <f t="shared" si="91"/>
        <v>0</v>
      </c>
      <c r="E895" s="15">
        <v>44491</v>
      </c>
      <c r="F895">
        <f t="shared" si="86"/>
        <v>273.83334400000001</v>
      </c>
      <c r="G895">
        <v>1966.339966</v>
      </c>
      <c r="I895" s="13">
        <f t="shared" si="87"/>
        <v>8.8267300517819169E-3</v>
      </c>
      <c r="J895" s="13">
        <f t="shared" si="88"/>
        <v>9.9332131484335395E-3</v>
      </c>
      <c r="L895" s="15">
        <v>44491</v>
      </c>
      <c r="M895">
        <f t="shared" si="89"/>
        <v>327.07221270434752</v>
      </c>
      <c r="N895">
        <f t="shared" si="90"/>
        <v>173.24428407464012</v>
      </c>
    </row>
    <row r="896" spans="1:14" x14ac:dyDescent="0.45">
      <c r="A896" s="15">
        <v>44487</v>
      </c>
      <c r="B896">
        <v>248.776062</v>
      </c>
      <c r="C896" t="b">
        <f t="shared" si="91"/>
        <v>0</v>
      </c>
      <c r="E896" s="15">
        <v>44494</v>
      </c>
      <c r="F896">
        <f t="shared" si="86"/>
        <v>269.44085699999999</v>
      </c>
      <c r="G896">
        <v>1968.540039</v>
      </c>
      <c r="I896" s="13">
        <f t="shared" si="87"/>
        <v>-1.6040730963720828E-2</v>
      </c>
      <c r="J896" s="13">
        <f t="shared" si="88"/>
        <v>1.1188670514974408E-3</v>
      </c>
      <c r="L896" s="15">
        <v>44494</v>
      </c>
      <c r="M896">
        <f t="shared" si="89"/>
        <v>321.82573533464819</v>
      </c>
      <c r="N896">
        <f t="shared" si="90"/>
        <v>173.4381213959515</v>
      </c>
    </row>
    <row r="897" spans="1:14" x14ac:dyDescent="0.45">
      <c r="A897" s="15">
        <v>44488</v>
      </c>
      <c r="B897">
        <v>251.671143</v>
      </c>
      <c r="C897" t="b">
        <f t="shared" si="91"/>
        <v>0</v>
      </c>
      <c r="E897" s="15">
        <v>44495</v>
      </c>
      <c r="F897">
        <f t="shared" si="86"/>
        <v>272.53558299999997</v>
      </c>
      <c r="G897">
        <v>1972.75</v>
      </c>
      <c r="I897" s="13">
        <f t="shared" si="87"/>
        <v>1.1485733954594624E-2</v>
      </c>
      <c r="J897" s="13">
        <f t="shared" si="88"/>
        <v>2.1386209660936295E-3</v>
      </c>
      <c r="L897" s="15">
        <v>44495</v>
      </c>
      <c r="M897">
        <f t="shared" si="89"/>
        <v>325.52214011044373</v>
      </c>
      <c r="N897">
        <f t="shared" si="90"/>
        <v>173.80903979868876</v>
      </c>
    </row>
    <row r="898" spans="1:14" x14ac:dyDescent="0.45">
      <c r="A898" s="15">
        <v>44489</v>
      </c>
      <c r="B898">
        <v>266.246307</v>
      </c>
      <c r="C898" t="b">
        <f t="shared" si="91"/>
        <v>0</v>
      </c>
      <c r="E898" s="15">
        <v>44496</v>
      </c>
      <c r="F898">
        <f t="shared" si="86"/>
        <v>273.03472900000003</v>
      </c>
      <c r="G898">
        <v>1965.130005</v>
      </c>
      <c r="I898" s="13">
        <f t="shared" si="87"/>
        <v>1.8314892848323439E-3</v>
      </c>
      <c r="J898" s="13">
        <f t="shared" si="88"/>
        <v>-3.8626257762007787E-3</v>
      </c>
      <c r="L898" s="15">
        <v>44496</v>
      </c>
      <c r="M898">
        <f t="shared" si="89"/>
        <v>326.1183304220317</v>
      </c>
      <c r="N898">
        <f t="shared" si="90"/>
        <v>173.13768052142564</v>
      </c>
    </row>
    <row r="899" spans="1:14" x14ac:dyDescent="0.45">
      <c r="A899" s="15">
        <v>44490</v>
      </c>
      <c r="B899">
        <v>271.43743899999998</v>
      </c>
      <c r="C899" t="b">
        <f t="shared" si="91"/>
        <v>0</v>
      </c>
      <c r="E899" s="15">
        <v>44497</v>
      </c>
      <c r="F899">
        <f t="shared" ref="F899:F962" si="92">VLOOKUP(E899,A899:B2138,2,0)</f>
        <v>279.22418199999998</v>
      </c>
      <c r="G899">
        <v>1979.339966</v>
      </c>
      <c r="I899" s="13">
        <f t="shared" si="87"/>
        <v>2.2669105218479313E-2</v>
      </c>
      <c r="J899" s="13">
        <f t="shared" si="88"/>
        <v>7.2310539067872437E-3</v>
      </c>
      <c r="L899" s="15">
        <v>44497</v>
      </c>
      <c r="M899">
        <f t="shared" si="89"/>
        <v>333.51114116804354</v>
      </c>
      <c r="N899">
        <f t="shared" si="90"/>
        <v>174.38964842257218</v>
      </c>
    </row>
    <row r="900" spans="1:14" x14ac:dyDescent="0.45">
      <c r="A900" s="15">
        <v>44491</v>
      </c>
      <c r="B900">
        <v>273.83334400000001</v>
      </c>
      <c r="C900" t="b">
        <f t="shared" si="91"/>
        <v>0</v>
      </c>
      <c r="E900" s="15">
        <v>44498</v>
      </c>
      <c r="F900">
        <f t="shared" si="92"/>
        <v>277.82653800000003</v>
      </c>
      <c r="G900">
        <v>1971.3199460000001</v>
      </c>
      <c r="I900" s="13">
        <f t="shared" ref="I900:I963" si="93">F900/F899-1</f>
        <v>-5.0054547209666955E-3</v>
      </c>
      <c r="J900" s="13">
        <f t="shared" ref="J900:J963" si="94">G900/G899-1</f>
        <v>-4.0518658430402921E-3</v>
      </c>
      <c r="L900" s="15">
        <v>44498</v>
      </c>
      <c r="M900">
        <f t="shared" ref="M900:M963" si="95">M899*(1+I900)</f>
        <v>331.84176625198899</v>
      </c>
      <c r="N900">
        <f t="shared" ref="N900:N963" si="96">N899*(1+J900)</f>
        <v>173.68304496274897</v>
      </c>
    </row>
    <row r="901" spans="1:14" x14ac:dyDescent="0.45">
      <c r="A901" s="15">
        <v>44494</v>
      </c>
      <c r="B901">
        <v>269.44085699999999</v>
      </c>
      <c r="C901" t="b">
        <f t="shared" si="91"/>
        <v>0</v>
      </c>
      <c r="E901" s="15">
        <v>44501</v>
      </c>
      <c r="F901">
        <f t="shared" si="92"/>
        <v>278.42553700000002</v>
      </c>
      <c r="G901">
        <v>1982.8900149999999</v>
      </c>
      <c r="I901" s="13">
        <f t="shared" si="93"/>
        <v>2.1560179395101464E-3</v>
      </c>
      <c r="J901" s="13">
        <f t="shared" si="94"/>
        <v>5.8691989717227777E-3</v>
      </c>
      <c r="L901" s="15">
        <v>44501</v>
      </c>
      <c r="M901">
        <f t="shared" si="95"/>
        <v>332.55722305310701</v>
      </c>
      <c r="N901">
        <f t="shared" si="96"/>
        <v>174.70242531165002</v>
      </c>
    </row>
    <row r="902" spans="1:14" x14ac:dyDescent="0.45">
      <c r="A902" s="15">
        <v>44495</v>
      </c>
      <c r="B902">
        <v>272.53558299999997</v>
      </c>
      <c r="C902" t="b">
        <f t="shared" si="91"/>
        <v>0</v>
      </c>
      <c r="E902" s="15">
        <v>44502</v>
      </c>
      <c r="F902">
        <f t="shared" si="92"/>
        <v>266.04663099999999</v>
      </c>
      <c r="G902">
        <v>1990.650024</v>
      </c>
      <c r="I902" s="13">
        <f t="shared" si="93"/>
        <v>-4.4460382956898248E-2</v>
      </c>
      <c r="J902" s="13">
        <f t="shared" si="94"/>
        <v>3.9134843290842269E-3</v>
      </c>
      <c r="L902" s="15">
        <v>44502</v>
      </c>
      <c r="M902">
        <f t="shared" si="95"/>
        <v>317.77160156108323</v>
      </c>
      <c r="N902">
        <f t="shared" si="96"/>
        <v>175.38612051536018</v>
      </c>
    </row>
    <row r="903" spans="1:14" x14ac:dyDescent="0.45">
      <c r="A903" s="15">
        <v>44496</v>
      </c>
      <c r="B903">
        <v>273.03472900000003</v>
      </c>
      <c r="C903" t="b">
        <f t="shared" si="91"/>
        <v>0</v>
      </c>
      <c r="E903" s="15">
        <v>44503</v>
      </c>
      <c r="F903">
        <f t="shared" si="92"/>
        <v>217.62915000000001</v>
      </c>
      <c r="G903">
        <v>1976.170044</v>
      </c>
      <c r="I903" s="13">
        <f t="shared" si="93"/>
        <v>-0.18198870182272664</v>
      </c>
      <c r="J903" s="13">
        <f t="shared" si="94"/>
        <v>-7.2739958432793683E-3</v>
      </c>
      <c r="L903" s="15">
        <v>44503</v>
      </c>
      <c r="M903">
        <f t="shared" si="95"/>
        <v>259.94076031685296</v>
      </c>
      <c r="N903">
        <f t="shared" si="96"/>
        <v>174.11036260376255</v>
      </c>
    </row>
    <row r="904" spans="1:14" x14ac:dyDescent="0.45">
      <c r="A904" s="15">
        <v>44497</v>
      </c>
      <c r="B904">
        <v>279.22418199999998</v>
      </c>
      <c r="C904" t="b">
        <f t="shared" si="91"/>
        <v>0</v>
      </c>
      <c r="E904" s="15">
        <v>44504</v>
      </c>
      <c r="F904">
        <f t="shared" si="92"/>
        <v>219.725571</v>
      </c>
      <c r="G904">
        <v>1991.1800539999999</v>
      </c>
      <c r="I904" s="13">
        <f t="shared" si="93"/>
        <v>9.6329972340560843E-3</v>
      </c>
      <c r="J904" s="13">
        <f t="shared" si="94"/>
        <v>7.5955052782896715E-3</v>
      </c>
      <c r="L904" s="15">
        <v>44504</v>
      </c>
      <c r="M904">
        <f t="shared" si="95"/>
        <v>262.44476894200363</v>
      </c>
      <c r="N904">
        <f t="shared" si="96"/>
        <v>175.43281878192437</v>
      </c>
    </row>
    <row r="905" spans="1:14" x14ac:dyDescent="0.45">
      <c r="A905" s="15">
        <v>44498</v>
      </c>
      <c r="B905">
        <v>277.82653800000003</v>
      </c>
      <c r="C905" t="b">
        <f t="shared" si="91"/>
        <v>0</v>
      </c>
      <c r="E905" s="15">
        <v>44505</v>
      </c>
      <c r="F905">
        <f t="shared" si="92"/>
        <v>209.64274599999999</v>
      </c>
      <c r="G905">
        <v>1955.160034</v>
      </c>
      <c r="I905" s="13">
        <f t="shared" si="93"/>
        <v>-4.5888263956314956E-2</v>
      </c>
      <c r="J905" s="13">
        <f t="shared" si="94"/>
        <v>-1.8089785465478569E-2</v>
      </c>
      <c r="L905" s="15">
        <v>44505</v>
      </c>
      <c r="M905">
        <f t="shared" si="95"/>
        <v>250.40163411083887</v>
      </c>
      <c r="N905">
        <f t="shared" si="96"/>
        <v>172.25927672655519</v>
      </c>
    </row>
    <row r="906" spans="1:14" x14ac:dyDescent="0.45">
      <c r="A906" s="15">
        <v>44501</v>
      </c>
      <c r="B906">
        <v>278.42553700000002</v>
      </c>
      <c r="C906" t="b">
        <f t="shared" si="91"/>
        <v>0</v>
      </c>
      <c r="E906" s="15">
        <v>44508</v>
      </c>
      <c r="F906">
        <f t="shared" si="92"/>
        <v>223.618942</v>
      </c>
      <c r="G906">
        <v>1985.410034</v>
      </c>
      <c r="I906" s="13">
        <f t="shared" si="93"/>
        <v>6.6666728358919736E-2</v>
      </c>
      <c r="J906" s="13">
        <f t="shared" si="94"/>
        <v>1.5471879270216204E-2</v>
      </c>
      <c r="L906" s="15">
        <v>44508</v>
      </c>
      <c r="M906">
        <f t="shared" si="95"/>
        <v>267.09509183273576</v>
      </c>
      <c r="N906">
        <f t="shared" si="96"/>
        <v>174.92445145924322</v>
      </c>
    </row>
    <row r="907" spans="1:14" x14ac:dyDescent="0.45">
      <c r="A907" s="15">
        <v>44502</v>
      </c>
      <c r="B907">
        <v>266.04663099999999</v>
      </c>
      <c r="C907" t="b">
        <f t="shared" si="91"/>
        <v>0</v>
      </c>
      <c r="E907" s="15">
        <v>44509</v>
      </c>
      <c r="F907">
        <f t="shared" si="92"/>
        <v>222.720474</v>
      </c>
      <c r="G907">
        <v>1992.6400149999999</v>
      </c>
      <c r="I907" s="13">
        <f t="shared" si="93"/>
        <v>-4.0178528346673792E-3</v>
      </c>
      <c r="J907" s="13">
        <f t="shared" si="94"/>
        <v>3.6415555860940252E-3</v>
      </c>
      <c r="L907" s="15">
        <v>44509</v>
      </c>
      <c r="M907">
        <f t="shared" si="95"/>
        <v>266.02194306088984</v>
      </c>
      <c r="N907">
        <f t="shared" si="96"/>
        <v>175.56144857259906</v>
      </c>
    </row>
    <row r="908" spans="1:14" x14ac:dyDescent="0.45">
      <c r="A908" s="15">
        <v>44503</v>
      </c>
      <c r="B908">
        <v>217.62915000000001</v>
      </c>
      <c r="C908" t="b">
        <f t="shared" si="91"/>
        <v>0</v>
      </c>
      <c r="E908" s="15">
        <v>44510</v>
      </c>
      <c r="F908">
        <f t="shared" si="92"/>
        <v>230.10787999999999</v>
      </c>
      <c r="G908">
        <v>1975.530029</v>
      </c>
      <c r="I908" s="13">
        <f t="shared" si="93"/>
        <v>3.3168957785174147E-2</v>
      </c>
      <c r="J908" s="13">
        <f t="shared" si="94"/>
        <v>-8.5865915926615077E-3</v>
      </c>
      <c r="L908" s="15">
        <v>44510</v>
      </c>
      <c r="M908">
        <f t="shared" si="95"/>
        <v>274.84561366020648</v>
      </c>
      <c r="N908">
        <f t="shared" si="96"/>
        <v>174.0539741142901</v>
      </c>
    </row>
    <row r="909" spans="1:14" x14ac:dyDescent="0.45">
      <c r="A909" s="15">
        <v>44504</v>
      </c>
      <c r="B909">
        <v>219.725571</v>
      </c>
      <c r="C909" t="b">
        <f t="shared" si="91"/>
        <v>0</v>
      </c>
      <c r="E909" s="15">
        <v>44511</v>
      </c>
      <c r="F909">
        <f t="shared" si="92"/>
        <v>230.50718699999999</v>
      </c>
      <c r="G909">
        <v>2003.2299800000001</v>
      </c>
      <c r="I909" s="13">
        <f t="shared" si="93"/>
        <v>1.735303458534343E-3</v>
      </c>
      <c r="J909" s="13">
        <f t="shared" si="94"/>
        <v>1.4021528700336461E-2</v>
      </c>
      <c r="L909" s="15">
        <v>44511</v>
      </c>
      <c r="M909">
        <f t="shared" si="95"/>
        <v>275.32255420415402</v>
      </c>
      <c r="N909">
        <f t="shared" si="96"/>
        <v>176.49447690774124</v>
      </c>
    </row>
    <row r="910" spans="1:14" x14ac:dyDescent="0.45">
      <c r="A910" s="15">
        <v>44505</v>
      </c>
      <c r="B910">
        <v>209.64274599999999</v>
      </c>
      <c r="C910" t="b">
        <f t="shared" si="91"/>
        <v>0</v>
      </c>
      <c r="E910" s="15">
        <v>44512</v>
      </c>
      <c r="F910">
        <f t="shared" si="92"/>
        <v>237.694962</v>
      </c>
      <c r="G910">
        <v>2020.6899410000001</v>
      </c>
      <c r="I910" s="13">
        <f t="shared" si="93"/>
        <v>3.1182433370287921E-2</v>
      </c>
      <c r="J910" s="13">
        <f t="shared" si="94"/>
        <v>8.7159044015505671E-3</v>
      </c>
      <c r="L910" s="15">
        <v>44512</v>
      </c>
      <c r="M910">
        <f t="shared" si="95"/>
        <v>283.90778140596251</v>
      </c>
      <c r="N910">
        <f t="shared" si="96"/>
        <v>178.0327858958708</v>
      </c>
    </row>
    <row r="911" spans="1:14" x14ac:dyDescent="0.45">
      <c r="A911" s="15">
        <v>44508</v>
      </c>
      <c r="B911">
        <v>223.618942</v>
      </c>
      <c r="C911" t="b">
        <f t="shared" si="91"/>
        <v>0</v>
      </c>
      <c r="E911" s="15">
        <v>44515</v>
      </c>
      <c r="F911">
        <f t="shared" si="92"/>
        <v>231.60533100000001</v>
      </c>
      <c r="G911">
        <v>2009.8599850000001</v>
      </c>
      <c r="I911" s="13">
        <f t="shared" si="93"/>
        <v>-2.5619520703177523E-2</v>
      </c>
      <c r="J911" s="13">
        <f t="shared" si="94"/>
        <v>-5.359533781140402E-3</v>
      </c>
      <c r="L911" s="15">
        <v>44515</v>
      </c>
      <c r="M911">
        <f t="shared" si="95"/>
        <v>276.63420012243927</v>
      </c>
      <c r="N911">
        <f t="shared" si="96"/>
        <v>177.07861316571135</v>
      </c>
    </row>
    <row r="912" spans="1:14" x14ac:dyDescent="0.45">
      <c r="A912" s="15">
        <v>44509</v>
      </c>
      <c r="B912">
        <v>222.720474</v>
      </c>
      <c r="C912" t="b">
        <f t="shared" si="91"/>
        <v>0</v>
      </c>
      <c r="E912" s="15">
        <v>44516</v>
      </c>
      <c r="F912">
        <f t="shared" si="92"/>
        <v>230.40737899999999</v>
      </c>
      <c r="G912">
        <v>2002.380005</v>
      </c>
      <c r="I912" s="13">
        <f t="shared" si="93"/>
        <v>-5.1723852591286645E-3</v>
      </c>
      <c r="J912" s="13">
        <f t="shared" si="94"/>
        <v>-3.7216423312194102E-3</v>
      </c>
      <c r="L912" s="15">
        <v>44516</v>
      </c>
      <c r="M912">
        <f t="shared" si="95"/>
        <v>275.20334146355509</v>
      </c>
      <c r="N912">
        <f t="shared" si="96"/>
        <v>176.4195899030002</v>
      </c>
    </row>
    <row r="913" spans="1:14" x14ac:dyDescent="0.45">
      <c r="A913" s="15">
        <v>44510</v>
      </c>
      <c r="B913">
        <v>230.10787999999999</v>
      </c>
      <c r="C913" t="b">
        <f t="shared" si="91"/>
        <v>0</v>
      </c>
      <c r="E913" s="15">
        <v>44517</v>
      </c>
      <c r="F913">
        <f t="shared" si="92"/>
        <v>231.505493</v>
      </c>
      <c r="G913">
        <v>2002.4499510000001</v>
      </c>
      <c r="I913" s="13">
        <f t="shared" si="93"/>
        <v>4.7659671524669101E-3</v>
      </c>
      <c r="J913" s="13">
        <f t="shared" si="94"/>
        <v>3.4931431509122035E-5</v>
      </c>
      <c r="L913" s="15">
        <v>44517</v>
      </c>
      <c r="M913">
        <f t="shared" si="95"/>
        <v>276.51495154921952</v>
      </c>
      <c r="N913">
        <f t="shared" si="96"/>
        <v>176.42575249182175</v>
      </c>
    </row>
    <row r="914" spans="1:14" x14ac:dyDescent="0.45">
      <c r="A914" s="15">
        <v>44511</v>
      </c>
      <c r="B914">
        <v>230.50718699999999</v>
      </c>
      <c r="C914" t="b">
        <f t="shared" si="91"/>
        <v>0</v>
      </c>
      <c r="E914" s="15">
        <v>44518</v>
      </c>
      <c r="F914">
        <f t="shared" si="92"/>
        <v>232.004639</v>
      </c>
      <c r="G914">
        <v>1995.920044</v>
      </c>
      <c r="I914" s="13">
        <f t="shared" si="93"/>
        <v>2.1560870696057943E-3</v>
      </c>
      <c r="J914" s="13">
        <f t="shared" si="94"/>
        <v>-3.26095890523459E-3</v>
      </c>
      <c r="L914" s="15">
        <v>44518</v>
      </c>
      <c r="M914">
        <f t="shared" si="95"/>
        <v>277.11114186080744</v>
      </c>
      <c r="N914">
        <f t="shared" si="96"/>
        <v>175.85043536312082</v>
      </c>
    </row>
    <row r="915" spans="1:14" x14ac:dyDescent="0.45">
      <c r="A915" s="15">
        <v>44512</v>
      </c>
      <c r="B915">
        <v>237.694962</v>
      </c>
      <c r="C915" t="b">
        <f t="shared" si="91"/>
        <v>0</v>
      </c>
      <c r="E915" s="15">
        <v>44519</v>
      </c>
      <c r="F915">
        <f t="shared" si="92"/>
        <v>224.31774899999999</v>
      </c>
      <c r="G915">
        <v>1988.880005</v>
      </c>
      <c r="I915" s="13">
        <f t="shared" si="93"/>
        <v>-3.3132484044855692E-2</v>
      </c>
      <c r="J915" s="13">
        <f t="shared" si="94"/>
        <v>-3.5272149408807074E-3</v>
      </c>
      <c r="L915" s="15">
        <v>44519</v>
      </c>
      <c r="M915">
        <f t="shared" si="95"/>
        <v>267.92976137445248</v>
      </c>
      <c r="N915">
        <f t="shared" si="96"/>
        <v>175.23017308014764</v>
      </c>
    </row>
    <row r="916" spans="1:14" x14ac:dyDescent="0.45">
      <c r="A916" s="15">
        <v>44515</v>
      </c>
      <c r="B916">
        <v>231.60533100000001</v>
      </c>
      <c r="C916" t="b">
        <f t="shared" si="91"/>
        <v>0</v>
      </c>
      <c r="E916" s="15">
        <v>44522</v>
      </c>
      <c r="F916">
        <f t="shared" si="92"/>
        <v>218.627441</v>
      </c>
      <c r="G916">
        <v>1973.26001</v>
      </c>
      <c r="I916" s="13">
        <f t="shared" si="93"/>
        <v>-2.5367176807752245E-2</v>
      </c>
      <c r="J916" s="13">
        <f t="shared" si="94"/>
        <v>-7.8536638513795332E-3</v>
      </c>
      <c r="L916" s="15">
        <v>44522</v>
      </c>
      <c r="M916">
        <f t="shared" si="95"/>
        <v>261.13313974560788</v>
      </c>
      <c r="N916">
        <f t="shared" si="96"/>
        <v>173.85397420415711</v>
      </c>
    </row>
    <row r="917" spans="1:14" x14ac:dyDescent="0.45">
      <c r="A917" s="15">
        <v>44516</v>
      </c>
      <c r="B917">
        <v>230.40737899999999</v>
      </c>
      <c r="C917" t="b">
        <f t="shared" si="91"/>
        <v>0</v>
      </c>
      <c r="E917" s="15">
        <v>44523</v>
      </c>
      <c r="F917">
        <f t="shared" si="92"/>
        <v>211.93884299999999</v>
      </c>
      <c r="G917">
        <v>1909.339966</v>
      </c>
      <c r="I917" s="13">
        <f t="shared" si="93"/>
        <v>-3.0593588661178228E-2</v>
      </c>
      <c r="J917" s="13">
        <f t="shared" si="94"/>
        <v>-3.2393117823332318E-2</v>
      </c>
      <c r="L917" s="15">
        <v>44523</v>
      </c>
      <c r="M917">
        <f t="shared" si="95"/>
        <v>253.14413988242879</v>
      </c>
      <c r="N917">
        <f t="shared" si="96"/>
        <v>168.22230193370729</v>
      </c>
    </row>
    <row r="918" spans="1:14" x14ac:dyDescent="0.45">
      <c r="A918" s="15">
        <v>44517</v>
      </c>
      <c r="B918">
        <v>231.505493</v>
      </c>
      <c r="C918" t="b">
        <f t="shared" si="91"/>
        <v>0</v>
      </c>
      <c r="E918" s="15">
        <v>44524</v>
      </c>
      <c r="F918">
        <f t="shared" si="92"/>
        <v>213.336456</v>
      </c>
      <c r="G918">
        <v>1905.6899410000001</v>
      </c>
      <c r="I918" s="13">
        <f t="shared" si="93"/>
        <v>6.5944164845705977E-3</v>
      </c>
      <c r="J918" s="13">
        <f t="shared" si="94"/>
        <v>-1.9116684639700621E-3</v>
      </c>
      <c r="L918" s="15">
        <v>44524</v>
      </c>
      <c r="M918">
        <f t="shared" si="95"/>
        <v>254.81347777144191</v>
      </c>
      <c r="N918">
        <f t="shared" si="96"/>
        <v>167.90071666416418</v>
      </c>
    </row>
    <row r="919" spans="1:14" x14ac:dyDescent="0.45">
      <c r="A919" s="15">
        <v>44518</v>
      </c>
      <c r="B919">
        <v>232.004639</v>
      </c>
      <c r="C919" t="b">
        <f t="shared" si="91"/>
        <v>0</v>
      </c>
      <c r="E919" s="15">
        <v>44525</v>
      </c>
      <c r="F919">
        <f t="shared" si="92"/>
        <v>225.01655600000001</v>
      </c>
      <c r="G919">
        <v>1925.1899410000001</v>
      </c>
      <c r="I919" s="13">
        <f t="shared" si="93"/>
        <v>5.4749667351744247E-2</v>
      </c>
      <c r="J919" s="13">
        <f t="shared" si="94"/>
        <v>1.0232514524250114E-2</v>
      </c>
      <c r="L919" s="15">
        <v>44525</v>
      </c>
      <c r="M919">
        <f t="shared" si="95"/>
        <v>268.76443091616943</v>
      </c>
      <c r="N919">
        <f t="shared" si="96"/>
        <v>169.61876318606224</v>
      </c>
    </row>
    <row r="920" spans="1:14" x14ac:dyDescent="0.45">
      <c r="A920" s="15">
        <v>44519</v>
      </c>
      <c r="B920">
        <v>224.31774899999999</v>
      </c>
      <c r="C920" t="b">
        <f t="shared" si="91"/>
        <v>0</v>
      </c>
      <c r="E920" s="15">
        <v>44526</v>
      </c>
      <c r="F920">
        <f t="shared" si="92"/>
        <v>223.41928100000001</v>
      </c>
      <c r="G920">
        <v>1907.660034</v>
      </c>
      <c r="I920" s="13">
        <f t="shared" si="93"/>
        <v>-7.0984776782380132E-3</v>
      </c>
      <c r="J920" s="13">
        <f t="shared" si="94"/>
        <v>-9.1055467445952942E-3</v>
      </c>
      <c r="L920" s="15">
        <v>44526</v>
      </c>
      <c r="M920">
        <f t="shared" si="95"/>
        <v>266.85661260260667</v>
      </c>
      <c r="N920">
        <f t="shared" si="96"/>
        <v>168.0742916091111</v>
      </c>
    </row>
    <row r="921" spans="1:14" x14ac:dyDescent="0.45">
      <c r="A921" s="15">
        <v>44522</v>
      </c>
      <c r="B921">
        <v>218.627441</v>
      </c>
      <c r="C921" t="b">
        <f t="shared" si="91"/>
        <v>0</v>
      </c>
      <c r="E921" s="15">
        <v>44529</v>
      </c>
      <c r="F921">
        <f t="shared" si="92"/>
        <v>221.12318400000001</v>
      </c>
      <c r="G921">
        <v>1896.880005</v>
      </c>
      <c r="I921" s="13">
        <f t="shared" si="93"/>
        <v>-1.0277076310168609E-2</v>
      </c>
      <c r="J921" s="13">
        <f t="shared" si="94"/>
        <v>-5.6509172535298413E-3</v>
      </c>
      <c r="L921" s="15">
        <v>44529</v>
      </c>
      <c r="M921">
        <f t="shared" si="95"/>
        <v>264.11410683101656</v>
      </c>
      <c r="N921">
        <f t="shared" si="96"/>
        <v>167.12451769478236</v>
      </c>
    </row>
    <row r="922" spans="1:14" x14ac:dyDescent="0.45">
      <c r="A922" s="15">
        <v>44523</v>
      </c>
      <c r="B922">
        <v>211.93884299999999</v>
      </c>
      <c r="C922" t="b">
        <f t="shared" si="91"/>
        <v>0</v>
      </c>
      <c r="E922" s="15">
        <v>44530</v>
      </c>
      <c r="F922">
        <f t="shared" si="92"/>
        <v>219.62574799999999</v>
      </c>
      <c r="G922">
        <v>1882.5500489999999</v>
      </c>
      <c r="I922" s="13">
        <f t="shared" si="93"/>
        <v>-6.7719538626036524E-3</v>
      </c>
      <c r="J922" s="13">
        <f t="shared" si="94"/>
        <v>-7.5544873488189168E-3</v>
      </c>
      <c r="L922" s="15">
        <v>44530</v>
      </c>
      <c r="M922">
        <f t="shared" si="95"/>
        <v>262.32553828509413</v>
      </c>
      <c r="N922">
        <f t="shared" si="96"/>
        <v>165.86197764017965</v>
      </c>
    </row>
    <row r="923" spans="1:14" x14ac:dyDescent="0.45">
      <c r="A923" s="15">
        <v>44524</v>
      </c>
      <c r="B923">
        <v>213.336456</v>
      </c>
      <c r="C923" t="b">
        <f t="shared" si="91"/>
        <v>0</v>
      </c>
      <c r="E923" s="15">
        <v>44531</v>
      </c>
      <c r="F923">
        <f t="shared" si="92"/>
        <v>217.529312</v>
      </c>
      <c r="G923">
        <v>1898.9399410000001</v>
      </c>
      <c r="I923" s="13">
        <f t="shared" si="93"/>
        <v>-9.5454928171717635E-3</v>
      </c>
      <c r="J923" s="13">
        <f t="shared" si="94"/>
        <v>8.7062184661206299E-3</v>
      </c>
      <c r="L923" s="15">
        <v>44531</v>
      </c>
      <c r="M923">
        <f t="shared" si="95"/>
        <v>259.82151174363304</v>
      </c>
      <c r="N923">
        <f t="shared" si="96"/>
        <v>167.30600825273785</v>
      </c>
    </row>
    <row r="924" spans="1:14" x14ac:dyDescent="0.45">
      <c r="A924" s="15">
        <v>44525</v>
      </c>
      <c r="B924">
        <v>225.01655600000001</v>
      </c>
      <c r="C924" t="b">
        <f t="shared" ref="C924:C987" si="97">E916=A924</f>
        <v>0</v>
      </c>
      <c r="E924" s="15">
        <v>44532</v>
      </c>
      <c r="F924">
        <f t="shared" si="92"/>
        <v>207.14700300000001</v>
      </c>
      <c r="G924">
        <v>1850.469971</v>
      </c>
      <c r="I924" s="13">
        <f t="shared" si="93"/>
        <v>-4.7728321781296268E-2</v>
      </c>
      <c r="J924" s="13">
        <f t="shared" si="94"/>
        <v>-2.5524751443416038E-2</v>
      </c>
      <c r="L924" s="15">
        <v>44532</v>
      </c>
      <c r="M924">
        <f t="shared" si="95"/>
        <v>247.42066702543008</v>
      </c>
      <c r="N924">
        <f t="shared" si="96"/>
        <v>163.03556397709661</v>
      </c>
    </row>
    <row r="925" spans="1:14" x14ac:dyDescent="0.45">
      <c r="A925" s="15">
        <v>44526</v>
      </c>
      <c r="B925">
        <v>223.41928100000001</v>
      </c>
      <c r="C925" t="b">
        <f t="shared" si="97"/>
        <v>0</v>
      </c>
      <c r="E925" s="15">
        <v>44533</v>
      </c>
      <c r="F925">
        <f t="shared" si="92"/>
        <v>202.654663</v>
      </c>
      <c r="G925">
        <v>1837.6099850000001</v>
      </c>
      <c r="I925" s="13">
        <f t="shared" si="93"/>
        <v>-2.1686724572114624E-2</v>
      </c>
      <c r="J925" s="13">
        <f t="shared" si="94"/>
        <v>-6.9495783241758646E-3</v>
      </c>
      <c r="L925" s="15">
        <v>44533</v>
      </c>
      <c r="M925">
        <f t="shared" si="95"/>
        <v>242.05492316620069</v>
      </c>
      <c r="N925">
        <f t="shared" si="96"/>
        <v>161.90253555561159</v>
      </c>
    </row>
    <row r="926" spans="1:14" x14ac:dyDescent="0.45">
      <c r="A926" s="15">
        <v>44529</v>
      </c>
      <c r="B926">
        <v>221.12318400000001</v>
      </c>
      <c r="C926" t="b">
        <f t="shared" si="97"/>
        <v>0</v>
      </c>
      <c r="E926" s="15">
        <v>44536</v>
      </c>
      <c r="F926">
        <f t="shared" si="92"/>
        <v>202.355164</v>
      </c>
      <c r="G926">
        <v>1844.400024</v>
      </c>
      <c r="I926" s="13">
        <f t="shared" si="93"/>
        <v>-1.4778786511316921E-3</v>
      </c>
      <c r="J926" s="13">
        <f t="shared" si="94"/>
        <v>3.6950381503286778E-3</v>
      </c>
      <c r="L926" s="15">
        <v>44536</v>
      </c>
      <c r="M926">
        <f t="shared" si="95"/>
        <v>241.69719536285206</v>
      </c>
      <c r="N926">
        <f t="shared" si="96"/>
        <v>162.50077160112451</v>
      </c>
    </row>
    <row r="927" spans="1:14" x14ac:dyDescent="0.45">
      <c r="A927" s="15">
        <v>44530</v>
      </c>
      <c r="B927">
        <v>219.62574799999999</v>
      </c>
      <c r="C927" t="b">
        <f t="shared" si="97"/>
        <v>0</v>
      </c>
      <c r="E927" s="15">
        <v>44537</v>
      </c>
      <c r="F927">
        <f t="shared" si="92"/>
        <v>214.83390800000001</v>
      </c>
      <c r="G927">
        <v>1908.579956</v>
      </c>
      <c r="I927" s="13">
        <f t="shared" si="93"/>
        <v>6.1667534217214381E-2</v>
      </c>
      <c r="J927" s="13">
        <f t="shared" si="94"/>
        <v>3.4797186708342753E-2</v>
      </c>
      <c r="L927" s="15">
        <v>44537</v>
      </c>
      <c r="M927">
        <f t="shared" si="95"/>
        <v>256.6020654280955</v>
      </c>
      <c r="N927">
        <f t="shared" si="96"/>
        <v>168.15534129077861</v>
      </c>
    </row>
    <row r="928" spans="1:14" x14ac:dyDescent="0.45">
      <c r="A928" s="15">
        <v>44531</v>
      </c>
      <c r="B928">
        <v>217.529312</v>
      </c>
      <c r="C928" t="b">
        <f t="shared" si="97"/>
        <v>0</v>
      </c>
      <c r="E928" s="15">
        <v>44538</v>
      </c>
      <c r="F928">
        <f t="shared" si="92"/>
        <v>214.63424699999999</v>
      </c>
      <c r="G928">
        <v>1924.339966</v>
      </c>
      <c r="I928" s="13">
        <f t="shared" si="93"/>
        <v>-9.2937377464652471E-4</v>
      </c>
      <c r="J928" s="13">
        <f t="shared" si="94"/>
        <v>8.2574533754560253E-3</v>
      </c>
      <c r="L928" s="15">
        <v>44538</v>
      </c>
      <c r="M928">
        <f t="shared" si="95"/>
        <v>256.36358619796647</v>
      </c>
      <c r="N928">
        <f t="shared" si="96"/>
        <v>169.54387618132111</v>
      </c>
    </row>
    <row r="929" spans="1:14" x14ac:dyDescent="0.45">
      <c r="A929" s="15">
        <v>44532</v>
      </c>
      <c r="B929">
        <v>207.14700300000001</v>
      </c>
      <c r="C929" t="b">
        <f t="shared" si="97"/>
        <v>0</v>
      </c>
      <c r="E929" s="15">
        <v>44539</v>
      </c>
      <c r="F929">
        <f t="shared" si="92"/>
        <v>211.53952000000001</v>
      </c>
      <c r="G929">
        <v>1930.1099850000001</v>
      </c>
      <c r="I929" s="13">
        <f t="shared" si="93"/>
        <v>-1.4418607669818728E-2</v>
      </c>
      <c r="J929" s="13">
        <f t="shared" si="94"/>
        <v>2.9984405572545114E-3</v>
      </c>
      <c r="L929" s="15">
        <v>44539</v>
      </c>
      <c r="M929">
        <f t="shared" si="95"/>
        <v>252.66718022775024</v>
      </c>
      <c r="N929">
        <f t="shared" si="96"/>
        <v>170.05224341589732</v>
      </c>
    </row>
    <row r="930" spans="1:14" x14ac:dyDescent="0.45">
      <c r="A930" s="15">
        <v>44533</v>
      </c>
      <c r="B930">
        <v>202.654663</v>
      </c>
      <c r="C930" t="b">
        <f t="shared" si="97"/>
        <v>0</v>
      </c>
      <c r="E930" s="15">
        <v>44540</v>
      </c>
      <c r="F930">
        <f t="shared" si="92"/>
        <v>204.95074500000001</v>
      </c>
      <c r="G930">
        <v>1909.4399410000001</v>
      </c>
      <c r="I930" s="13">
        <f t="shared" si="93"/>
        <v>-3.1146780516472794E-2</v>
      </c>
      <c r="J930" s="13">
        <f t="shared" si="94"/>
        <v>-1.0709257068580946E-2</v>
      </c>
      <c r="L930" s="15">
        <v>44540</v>
      </c>
      <c r="M930">
        <f t="shared" si="95"/>
        <v>244.79741102148043</v>
      </c>
      <c r="N930">
        <f t="shared" si="96"/>
        <v>168.23111022606759</v>
      </c>
    </row>
    <row r="931" spans="1:14" x14ac:dyDescent="0.45">
      <c r="A931" s="15">
        <v>44536</v>
      </c>
      <c r="B931">
        <v>202.355164</v>
      </c>
      <c r="C931" t="b">
        <f t="shared" si="97"/>
        <v>0</v>
      </c>
      <c r="E931" s="15">
        <v>44543</v>
      </c>
      <c r="F931">
        <f t="shared" si="92"/>
        <v>203.752792</v>
      </c>
      <c r="G931">
        <v>1912.869995</v>
      </c>
      <c r="I931" s="13">
        <f t="shared" si="93"/>
        <v>-5.8450775575371594E-3</v>
      </c>
      <c r="J931" s="13">
        <f t="shared" si="94"/>
        <v>1.7963665294460363E-3</v>
      </c>
      <c r="L931" s="15">
        <v>44543</v>
      </c>
      <c r="M931">
        <f t="shared" si="95"/>
        <v>243.36655116817556</v>
      </c>
      <c r="N931">
        <f t="shared" si="96"/>
        <v>168.53331496168923</v>
      </c>
    </row>
    <row r="932" spans="1:14" x14ac:dyDescent="0.45">
      <c r="A932" s="15">
        <v>44537</v>
      </c>
      <c r="B932">
        <v>214.83390800000001</v>
      </c>
      <c r="C932" t="b">
        <f t="shared" si="97"/>
        <v>0</v>
      </c>
      <c r="E932" s="15">
        <v>44544</v>
      </c>
      <c r="F932">
        <f t="shared" si="92"/>
        <v>193.22073399999999</v>
      </c>
      <c r="G932">
        <v>1869.3900149999999</v>
      </c>
      <c r="I932" s="13">
        <f t="shared" si="93"/>
        <v>-5.1690373891907226E-2</v>
      </c>
      <c r="J932" s="13">
        <f t="shared" si="94"/>
        <v>-2.2730232641868575E-2</v>
      </c>
      <c r="L932" s="15">
        <v>44544</v>
      </c>
      <c r="M932">
        <f t="shared" si="95"/>
        <v>230.78684314550858</v>
      </c>
      <c r="N932">
        <f t="shared" si="96"/>
        <v>164.70251350470471</v>
      </c>
    </row>
    <row r="933" spans="1:14" x14ac:dyDescent="0.45">
      <c r="A933" s="15">
        <v>44538</v>
      </c>
      <c r="B933">
        <v>214.63424699999999</v>
      </c>
      <c r="C933" t="b">
        <f t="shared" si="97"/>
        <v>0</v>
      </c>
      <c r="E933" s="15">
        <v>44545</v>
      </c>
      <c r="F933">
        <f t="shared" si="92"/>
        <v>193.76980599999999</v>
      </c>
      <c r="G933">
        <v>1894.150024</v>
      </c>
      <c r="I933" s="13">
        <f t="shared" si="93"/>
        <v>2.8416826115564842E-3</v>
      </c>
      <c r="J933" s="13">
        <f t="shared" si="94"/>
        <v>1.3244966968543492E-2</v>
      </c>
      <c r="L933" s="15">
        <v>44545</v>
      </c>
      <c r="M933">
        <f t="shared" si="95"/>
        <v>231.44266610465118</v>
      </c>
      <c r="N933">
        <f t="shared" si="96"/>
        <v>166.8839928557106</v>
      </c>
    </row>
    <row r="934" spans="1:14" x14ac:dyDescent="0.45">
      <c r="A934" s="15">
        <v>44539</v>
      </c>
      <c r="B934">
        <v>211.53952000000001</v>
      </c>
      <c r="C934" t="b">
        <f t="shared" si="97"/>
        <v>0</v>
      </c>
      <c r="E934" s="15">
        <v>44546</v>
      </c>
      <c r="F934">
        <f t="shared" si="92"/>
        <v>197.81291200000001</v>
      </c>
      <c r="G934">
        <v>1921.4399410000001</v>
      </c>
      <c r="I934" s="13">
        <f t="shared" si="93"/>
        <v>2.0865510904211959E-2</v>
      </c>
      <c r="J934" s="13">
        <f t="shared" si="94"/>
        <v>1.4407473882332766E-2</v>
      </c>
      <c r="L934" s="15">
        <v>44546</v>
      </c>
      <c r="M934">
        <f t="shared" si="95"/>
        <v>236.27183557795766</v>
      </c>
      <c r="N934">
        <f t="shared" si="96"/>
        <v>169.28836962415866</v>
      </c>
    </row>
    <row r="935" spans="1:14" x14ac:dyDescent="0.45">
      <c r="A935" s="15">
        <v>44540</v>
      </c>
      <c r="B935">
        <v>204.95074500000001</v>
      </c>
      <c r="C935" t="b">
        <f t="shared" si="97"/>
        <v>0</v>
      </c>
      <c r="E935" s="15">
        <v>44547</v>
      </c>
      <c r="F935">
        <f t="shared" si="92"/>
        <v>193.869629</v>
      </c>
      <c r="G935">
        <v>1902.51001</v>
      </c>
      <c r="I935" s="13">
        <f t="shared" si="93"/>
        <v>-1.9934406506285085E-2</v>
      </c>
      <c r="J935" s="13">
        <f t="shared" si="94"/>
        <v>-9.851950402440468E-3</v>
      </c>
      <c r="L935" s="15">
        <v>44547</v>
      </c>
      <c r="M935">
        <f t="shared" si="95"/>
        <v>231.56189676156049</v>
      </c>
      <c r="N935">
        <f t="shared" si="96"/>
        <v>167.62054900291145</v>
      </c>
    </row>
    <row r="936" spans="1:14" x14ac:dyDescent="0.45">
      <c r="A936" s="15">
        <v>44543</v>
      </c>
      <c r="B936">
        <v>203.752792</v>
      </c>
      <c r="C936" t="b">
        <f t="shared" si="97"/>
        <v>0</v>
      </c>
      <c r="E936" s="15">
        <v>44550</v>
      </c>
      <c r="F936">
        <f t="shared" si="92"/>
        <v>189.82652300000001</v>
      </c>
      <c r="G936">
        <v>1865.540039</v>
      </c>
      <c r="I936" s="13">
        <f t="shared" si="93"/>
        <v>-2.0854767303443822E-2</v>
      </c>
      <c r="J936" s="13">
        <f t="shared" si="94"/>
        <v>-1.9432208401363393E-2</v>
      </c>
      <c r="L936" s="15">
        <v>44550</v>
      </c>
      <c r="M936">
        <f t="shared" si="95"/>
        <v>226.73272728825407</v>
      </c>
      <c r="N936">
        <f t="shared" si="96"/>
        <v>164.36331156233592</v>
      </c>
    </row>
    <row r="937" spans="1:14" x14ac:dyDescent="0.45">
      <c r="A937" s="15">
        <v>44544</v>
      </c>
      <c r="B937">
        <v>193.22073399999999</v>
      </c>
      <c r="C937" t="b">
        <f t="shared" si="97"/>
        <v>0</v>
      </c>
      <c r="E937" s="15">
        <v>44551</v>
      </c>
      <c r="F937">
        <f t="shared" si="92"/>
        <v>191.82311999999999</v>
      </c>
      <c r="G937">
        <v>1889.8199460000001</v>
      </c>
      <c r="I937" s="13">
        <f t="shared" si="93"/>
        <v>1.0518008592508288E-2</v>
      </c>
      <c r="J937" s="13">
        <f t="shared" si="94"/>
        <v>1.3014948214681521E-2</v>
      </c>
      <c r="L937" s="15">
        <v>44551</v>
      </c>
      <c r="M937">
        <f t="shared" si="95"/>
        <v>229.11750406207477</v>
      </c>
      <c r="N937">
        <f t="shared" si="96"/>
        <v>166.5024915507133</v>
      </c>
    </row>
    <row r="938" spans="1:14" x14ac:dyDescent="0.45">
      <c r="A938" s="15">
        <v>44545</v>
      </c>
      <c r="B938">
        <v>193.76980599999999</v>
      </c>
      <c r="C938" t="b">
        <f t="shared" si="97"/>
        <v>0</v>
      </c>
      <c r="E938" s="15">
        <v>44552</v>
      </c>
      <c r="F938">
        <f t="shared" si="92"/>
        <v>193.62005600000001</v>
      </c>
      <c r="G938">
        <v>1924.0200199999999</v>
      </c>
      <c r="I938" s="13">
        <f t="shared" si="93"/>
        <v>9.3676716341597466E-3</v>
      </c>
      <c r="J938" s="13">
        <f t="shared" si="94"/>
        <v>1.8097001289666625E-2</v>
      </c>
      <c r="L938" s="15">
        <v>44552</v>
      </c>
      <c r="M938">
        <f t="shared" si="95"/>
        <v>231.26380160576656</v>
      </c>
      <c r="N938">
        <f t="shared" si="96"/>
        <v>169.51568735503926</v>
      </c>
    </row>
    <row r="939" spans="1:14" x14ac:dyDescent="0.45">
      <c r="A939" s="15">
        <v>44546</v>
      </c>
      <c r="B939">
        <v>197.81291200000001</v>
      </c>
      <c r="C939" t="b">
        <f t="shared" si="97"/>
        <v>0</v>
      </c>
      <c r="E939" s="15">
        <v>44553</v>
      </c>
      <c r="F939">
        <f t="shared" si="92"/>
        <v>195.66656499999999</v>
      </c>
      <c r="G939">
        <v>1930.0500489999999</v>
      </c>
      <c r="I939" s="13">
        <f t="shared" si="93"/>
        <v>1.0569715980249361E-2</v>
      </c>
      <c r="J939" s="13">
        <f t="shared" si="94"/>
        <v>3.1340780955075864E-3</v>
      </c>
      <c r="L939" s="15">
        <v>44553</v>
      </c>
      <c r="M939">
        <f t="shared" si="95"/>
        <v>233.70819430525225</v>
      </c>
      <c r="N939">
        <f t="shared" si="96"/>
        <v>170.04696275762359</v>
      </c>
    </row>
    <row r="940" spans="1:14" x14ac:dyDescent="0.45">
      <c r="A940" s="15">
        <v>44547</v>
      </c>
      <c r="B940">
        <v>193.869629</v>
      </c>
      <c r="C940" t="b">
        <f t="shared" si="97"/>
        <v>0</v>
      </c>
      <c r="E940" s="15">
        <v>44557</v>
      </c>
      <c r="F940">
        <f t="shared" si="92"/>
        <v>197.713089</v>
      </c>
      <c r="G940">
        <v>1953.030029</v>
      </c>
      <c r="I940" s="13">
        <f t="shared" si="93"/>
        <v>1.0459242231803945E-2</v>
      </c>
      <c r="J940" s="13">
        <f t="shared" si="94"/>
        <v>1.1906416629924532E-2</v>
      </c>
      <c r="L940" s="15">
        <v>44557</v>
      </c>
      <c r="M940">
        <f t="shared" si="95"/>
        <v>236.15260492104838</v>
      </c>
      <c r="N940">
        <f t="shared" si="96"/>
        <v>172.07161274286912</v>
      </c>
    </row>
    <row r="941" spans="1:14" x14ac:dyDescent="0.45">
      <c r="A941" s="15">
        <v>44550</v>
      </c>
      <c r="B941">
        <v>189.82652300000001</v>
      </c>
      <c r="C941" t="b">
        <f t="shared" si="97"/>
        <v>0</v>
      </c>
      <c r="E941" s="15">
        <v>44558</v>
      </c>
      <c r="F941">
        <f t="shared" si="92"/>
        <v>193.57012900000001</v>
      </c>
      <c r="G941">
        <v>1955.469971</v>
      </c>
      <c r="I941" s="13">
        <f t="shared" si="93"/>
        <v>-2.0954404288327066E-2</v>
      </c>
      <c r="J941" s="13">
        <f t="shared" si="94"/>
        <v>1.2493110519398165E-3</v>
      </c>
      <c r="L941" s="15">
        <v>44558</v>
      </c>
      <c r="M941">
        <f t="shared" si="95"/>
        <v>231.20416776379116</v>
      </c>
      <c r="N941">
        <f t="shared" si="96"/>
        <v>172.2865837103939</v>
      </c>
    </row>
    <row r="942" spans="1:14" x14ac:dyDescent="0.45">
      <c r="A942" s="15">
        <v>44551</v>
      </c>
      <c r="B942">
        <v>191.82311999999999</v>
      </c>
      <c r="C942" t="b">
        <f t="shared" si="97"/>
        <v>0</v>
      </c>
      <c r="E942" s="15">
        <v>44559</v>
      </c>
      <c r="F942">
        <f t="shared" si="92"/>
        <v>195.167419</v>
      </c>
      <c r="G942">
        <v>1958.73999</v>
      </c>
      <c r="I942" s="13">
        <f t="shared" si="93"/>
        <v>8.2517380561335507E-3</v>
      </c>
      <c r="J942" s="13">
        <f t="shared" si="94"/>
        <v>1.6722419922039489E-3</v>
      </c>
      <c r="L942" s="15">
        <v>44559</v>
      </c>
      <c r="M942">
        <f t="shared" si="95"/>
        <v>233.11200399366433</v>
      </c>
      <c r="N942">
        <f t="shared" si="96"/>
        <v>172.57468857036778</v>
      </c>
    </row>
    <row r="943" spans="1:14" x14ac:dyDescent="0.45">
      <c r="A943" s="15">
        <v>44552</v>
      </c>
      <c r="B943">
        <v>193.62005600000001</v>
      </c>
      <c r="C943" t="b">
        <f t="shared" si="97"/>
        <v>0</v>
      </c>
      <c r="E943" s="15">
        <v>44560</v>
      </c>
      <c r="F943">
        <f t="shared" si="92"/>
        <v>199.65976000000001</v>
      </c>
      <c r="G943">
        <v>1965.650024</v>
      </c>
      <c r="I943" s="13">
        <f t="shared" si="93"/>
        <v>2.3017883943016182E-2</v>
      </c>
      <c r="J943" s="13">
        <f t="shared" si="94"/>
        <v>3.5277954375148024E-3</v>
      </c>
      <c r="L943" s="15">
        <v>44560</v>
      </c>
      <c r="M943">
        <f t="shared" si="95"/>
        <v>238.47774904731443</v>
      </c>
      <c r="N943">
        <f t="shared" si="96"/>
        <v>173.18349676933687</v>
      </c>
    </row>
    <row r="944" spans="1:14" x14ac:dyDescent="0.45">
      <c r="A944" s="15">
        <v>44553</v>
      </c>
      <c r="B944">
        <v>195.66656499999999</v>
      </c>
      <c r="C944" t="b">
        <f t="shared" si="97"/>
        <v>0</v>
      </c>
      <c r="E944" s="15">
        <v>44564</v>
      </c>
      <c r="F944">
        <f t="shared" si="92"/>
        <v>197.96266199999999</v>
      </c>
      <c r="G944">
        <v>1970.9499510000001</v>
      </c>
      <c r="I944" s="13">
        <f t="shared" si="93"/>
        <v>-8.4999501151359347E-3</v>
      </c>
      <c r="J944" s="13">
        <f t="shared" si="94"/>
        <v>2.6962719381831146E-3</v>
      </c>
      <c r="L944" s="15">
        <v>44564</v>
      </c>
      <c r="M944">
        <f t="shared" si="95"/>
        <v>236.45070007684237</v>
      </c>
      <c r="N944">
        <f t="shared" si="96"/>
        <v>173.65044657183245</v>
      </c>
    </row>
    <row r="945" spans="1:14" x14ac:dyDescent="0.45">
      <c r="A945" s="15">
        <v>44557</v>
      </c>
      <c r="B945">
        <v>197.713089</v>
      </c>
      <c r="C945" t="b">
        <f t="shared" si="97"/>
        <v>0</v>
      </c>
      <c r="E945" s="15">
        <v>44565</v>
      </c>
      <c r="F945">
        <f t="shared" si="92"/>
        <v>198.51173399999999</v>
      </c>
      <c r="G945">
        <v>1952.8100589999999</v>
      </c>
      <c r="I945" s="13">
        <f t="shared" si="93"/>
        <v>2.7736139454419551E-3</v>
      </c>
      <c r="J945" s="13">
        <f t="shared" si="94"/>
        <v>-9.203628935781194E-3</v>
      </c>
      <c r="L945" s="15">
        <v>44565</v>
      </c>
      <c r="M945">
        <f t="shared" si="95"/>
        <v>237.10652303598502</v>
      </c>
      <c r="N945">
        <f t="shared" si="96"/>
        <v>172.0522322970526</v>
      </c>
    </row>
    <row r="946" spans="1:14" x14ac:dyDescent="0.45">
      <c r="A946" s="15">
        <v>44558</v>
      </c>
      <c r="B946">
        <v>193.57012900000001</v>
      </c>
      <c r="C946" t="b">
        <f t="shared" si="97"/>
        <v>0</v>
      </c>
      <c r="E946" s="15">
        <v>44566</v>
      </c>
      <c r="F946">
        <f t="shared" si="92"/>
        <v>196.51513700000001</v>
      </c>
      <c r="G946">
        <v>1947.630005</v>
      </c>
      <c r="I946" s="13">
        <f t="shared" si="93"/>
        <v>-1.0057828621858556E-2</v>
      </c>
      <c r="J946" s="13">
        <f t="shared" si="94"/>
        <v>-2.6526153816784914E-3</v>
      </c>
      <c r="L946" s="15">
        <v>44566</v>
      </c>
      <c r="M946">
        <f t="shared" si="95"/>
        <v>234.72174626216432</v>
      </c>
      <c r="N946">
        <f t="shared" si="96"/>
        <v>171.59584389920931</v>
      </c>
    </row>
    <row r="947" spans="1:14" x14ac:dyDescent="0.45">
      <c r="A947" s="15">
        <v>44559</v>
      </c>
      <c r="B947">
        <v>195.167419</v>
      </c>
      <c r="C947" t="b">
        <f t="shared" si="97"/>
        <v>0</v>
      </c>
      <c r="E947" s="15">
        <v>44568</v>
      </c>
      <c r="F947">
        <f t="shared" si="92"/>
        <v>181.93995699999999</v>
      </c>
      <c r="G947">
        <v>1867.98999</v>
      </c>
      <c r="I947" s="13">
        <f t="shared" si="93"/>
        <v>-7.4168230613197106E-2</v>
      </c>
      <c r="J947" s="13">
        <f t="shared" si="94"/>
        <v>-4.0890731194090368E-2</v>
      </c>
      <c r="L947" s="15">
        <v>44568</v>
      </c>
      <c r="M947">
        <f t="shared" si="95"/>
        <v>217.31284965545979</v>
      </c>
      <c r="N947">
        <f t="shared" si="96"/>
        <v>164.57916437230367</v>
      </c>
    </row>
    <row r="948" spans="1:14" x14ac:dyDescent="0.45">
      <c r="A948" s="15">
        <v>44560</v>
      </c>
      <c r="B948">
        <v>199.65976000000001</v>
      </c>
      <c r="C948" t="b">
        <f t="shared" si="97"/>
        <v>0</v>
      </c>
      <c r="E948" s="15">
        <v>44571</v>
      </c>
      <c r="F948">
        <f t="shared" si="92"/>
        <v>179.99328600000001</v>
      </c>
      <c r="G948">
        <v>1825.51001</v>
      </c>
      <c r="I948" s="13">
        <f t="shared" si="93"/>
        <v>-1.0699524349123468E-2</v>
      </c>
      <c r="J948" s="13">
        <f t="shared" si="94"/>
        <v>-2.2741010512588478E-2</v>
      </c>
      <c r="L948" s="15">
        <v>44571</v>
      </c>
      <c r="M948">
        <f t="shared" si="95"/>
        <v>214.98770552919379</v>
      </c>
      <c r="N948">
        <f t="shared" si="96"/>
        <v>160.83646786516007</v>
      </c>
    </row>
    <row r="949" spans="1:14" x14ac:dyDescent="0.45">
      <c r="A949" s="15">
        <v>44564</v>
      </c>
      <c r="B949">
        <v>197.96266199999999</v>
      </c>
      <c r="C949" t="b">
        <f t="shared" si="97"/>
        <v>0</v>
      </c>
      <c r="E949" s="15">
        <v>44572</v>
      </c>
      <c r="F949">
        <f t="shared" si="92"/>
        <v>182.23945599999999</v>
      </c>
      <c r="G949">
        <v>1842.5500489999999</v>
      </c>
      <c r="I949" s="13">
        <f t="shared" si="93"/>
        <v>1.2479187695923155E-2</v>
      </c>
      <c r="J949" s="13">
        <f t="shared" si="94"/>
        <v>9.3343991030758744E-3</v>
      </c>
      <c r="L949" s="15">
        <v>44572</v>
      </c>
      <c r="M949">
        <f t="shared" si="95"/>
        <v>217.67057745880845</v>
      </c>
      <c r="N949">
        <f t="shared" si="96"/>
        <v>162.33777964654251</v>
      </c>
    </row>
    <row r="950" spans="1:14" x14ac:dyDescent="0.45">
      <c r="A950" s="15">
        <v>44565</v>
      </c>
      <c r="B950">
        <v>198.51173399999999</v>
      </c>
      <c r="C950" t="b">
        <f t="shared" si="97"/>
        <v>0</v>
      </c>
      <c r="E950" s="15">
        <v>44573</v>
      </c>
      <c r="F950">
        <f t="shared" si="92"/>
        <v>183.23774700000001</v>
      </c>
      <c r="G950">
        <v>1864.459961</v>
      </c>
      <c r="I950" s="13">
        <f t="shared" si="93"/>
        <v>5.4779081430094134E-3</v>
      </c>
      <c r="J950" s="13">
        <f t="shared" si="94"/>
        <v>1.1891081065554365E-2</v>
      </c>
      <c r="L950" s="15">
        <v>44573</v>
      </c>
      <c r="M950">
        <f t="shared" si="95"/>
        <v>218.86295688756363</v>
      </c>
      <c r="N950">
        <f t="shared" si="96"/>
        <v>164.26815134432167</v>
      </c>
    </row>
    <row r="951" spans="1:14" x14ac:dyDescent="0.45">
      <c r="A951" s="15">
        <v>44566</v>
      </c>
      <c r="B951">
        <v>196.51513700000001</v>
      </c>
      <c r="C951" t="b">
        <f t="shared" si="97"/>
        <v>0</v>
      </c>
      <c r="E951" s="15">
        <v>44574</v>
      </c>
      <c r="F951">
        <f t="shared" si="92"/>
        <v>187.031296</v>
      </c>
      <c r="G951">
        <v>1858.3000489999999</v>
      </c>
      <c r="I951" s="13">
        <f t="shared" si="93"/>
        <v>2.0702879521870443E-2</v>
      </c>
      <c r="J951" s="13">
        <f t="shared" si="94"/>
        <v>-3.3038585589664216E-3</v>
      </c>
      <c r="L951" s="15">
        <v>44574</v>
      </c>
      <c r="M951">
        <f t="shared" si="95"/>
        <v>223.39405031580719</v>
      </c>
      <c r="N951">
        <f t="shared" si="96"/>
        <v>163.72543260653714</v>
      </c>
    </row>
    <row r="952" spans="1:14" x14ac:dyDescent="0.45">
      <c r="A952" s="15">
        <v>44567</v>
      </c>
      <c r="B952">
        <v>187.38069200000001</v>
      </c>
      <c r="C952" t="b">
        <f t="shared" si="97"/>
        <v>0</v>
      </c>
      <c r="E952" s="15">
        <v>44575</v>
      </c>
      <c r="F952">
        <f t="shared" si="92"/>
        <v>183.28767400000001</v>
      </c>
      <c r="G952">
        <v>1814.9499510000001</v>
      </c>
      <c r="I952" s="13">
        <f t="shared" si="93"/>
        <v>-2.0016019137246377E-2</v>
      </c>
      <c r="J952" s="13">
        <f t="shared" si="94"/>
        <v>-2.3327824816733789E-2</v>
      </c>
      <c r="L952" s="15">
        <v>44575</v>
      </c>
      <c r="M952">
        <f t="shared" si="95"/>
        <v>218.92259072953902</v>
      </c>
      <c r="N952">
        <f t="shared" si="96"/>
        <v>159.90607439664788</v>
      </c>
    </row>
    <row r="953" spans="1:14" x14ac:dyDescent="0.45">
      <c r="A953" s="15">
        <v>44568</v>
      </c>
      <c r="B953">
        <v>181.93995699999999</v>
      </c>
      <c r="C953" t="b">
        <f t="shared" si="97"/>
        <v>0</v>
      </c>
      <c r="E953" s="15">
        <v>44578</v>
      </c>
      <c r="F953">
        <f t="shared" si="92"/>
        <v>184.73519899999999</v>
      </c>
      <c r="G953">
        <v>1819.650024</v>
      </c>
      <c r="I953" s="13">
        <f t="shared" si="93"/>
        <v>7.8975578030413551E-3</v>
      </c>
      <c r="J953" s="13">
        <f t="shared" si="94"/>
        <v>2.5896433107757133E-3</v>
      </c>
      <c r="L953" s="15">
        <v>44578</v>
      </c>
      <c r="M953">
        <f t="shared" si="95"/>
        <v>220.65154454421713</v>
      </c>
      <c r="N953">
        <f t="shared" si="96"/>
        <v>160.32017409256156</v>
      </c>
    </row>
    <row r="954" spans="1:14" x14ac:dyDescent="0.45">
      <c r="A954" s="15">
        <v>44571</v>
      </c>
      <c r="B954">
        <v>179.99328600000001</v>
      </c>
      <c r="C954" t="b">
        <f t="shared" si="97"/>
        <v>0</v>
      </c>
      <c r="E954" s="15">
        <v>44579</v>
      </c>
      <c r="F954">
        <f t="shared" si="92"/>
        <v>181.98988299999999</v>
      </c>
      <c r="G954">
        <v>1795.4399410000001</v>
      </c>
      <c r="I954" s="13">
        <f t="shared" si="93"/>
        <v>-1.4860817076879917E-2</v>
      </c>
      <c r="J954" s="13">
        <f t="shared" si="94"/>
        <v>-1.3304801846885206E-2</v>
      </c>
      <c r="L954" s="15">
        <v>44579</v>
      </c>
      <c r="M954">
        <f t="shared" si="95"/>
        <v>217.37248230301449</v>
      </c>
      <c r="N954">
        <f t="shared" si="96"/>
        <v>158.18714594420189</v>
      </c>
    </row>
    <row r="955" spans="1:14" x14ac:dyDescent="0.45">
      <c r="A955" s="15">
        <v>44572</v>
      </c>
      <c r="B955">
        <v>182.23945599999999</v>
      </c>
      <c r="C955" t="b">
        <f t="shared" si="97"/>
        <v>0</v>
      </c>
      <c r="E955" s="15">
        <v>44580</v>
      </c>
      <c r="F955">
        <f t="shared" si="92"/>
        <v>182.289368</v>
      </c>
      <c r="G955">
        <v>1809.099976</v>
      </c>
      <c r="I955" s="13">
        <f t="shared" si="93"/>
        <v>1.6456134542379708E-3</v>
      </c>
      <c r="J955" s="13">
        <f t="shared" si="94"/>
        <v>7.6081826454144075E-3</v>
      </c>
      <c r="L955" s="15">
        <v>44580</v>
      </c>
      <c r="M955">
        <f t="shared" si="95"/>
        <v>217.73019338447344</v>
      </c>
      <c r="N955">
        <f t="shared" si="96"/>
        <v>159.39066264270221</v>
      </c>
    </row>
    <row r="956" spans="1:14" x14ac:dyDescent="0.45">
      <c r="A956" s="15">
        <v>44573</v>
      </c>
      <c r="B956">
        <v>183.23774700000001</v>
      </c>
      <c r="C956" t="b">
        <f t="shared" si="97"/>
        <v>0</v>
      </c>
      <c r="E956" s="15">
        <v>44581</v>
      </c>
      <c r="F956">
        <f t="shared" si="92"/>
        <v>193.32055700000001</v>
      </c>
      <c r="G956">
        <v>1831.1899410000001</v>
      </c>
      <c r="I956" s="13">
        <f t="shared" si="93"/>
        <v>6.0514714165885941E-2</v>
      </c>
      <c r="J956" s="13">
        <f t="shared" si="94"/>
        <v>1.2210472219916779E-2</v>
      </c>
      <c r="L956" s="15">
        <v>44581</v>
      </c>
      <c r="M956">
        <f t="shared" si="95"/>
        <v>230.90607380241792</v>
      </c>
      <c r="N956">
        <f t="shared" si="96"/>
        <v>161.33689790101505</v>
      </c>
    </row>
    <row r="957" spans="1:14" x14ac:dyDescent="0.45">
      <c r="A957" s="15">
        <v>44574</v>
      </c>
      <c r="B957">
        <v>187.031296</v>
      </c>
      <c r="C957" t="b">
        <f t="shared" si="97"/>
        <v>0</v>
      </c>
      <c r="E957" s="15">
        <v>44582</v>
      </c>
      <c r="F957">
        <f t="shared" si="92"/>
        <v>175.85032699999999</v>
      </c>
      <c r="G957">
        <v>1780.530029</v>
      </c>
      <c r="I957" s="13">
        <f t="shared" si="93"/>
        <v>-9.0369230624552821E-2</v>
      </c>
      <c r="J957" s="13">
        <f t="shared" si="94"/>
        <v>-2.7665023090032381E-2</v>
      </c>
      <c r="L957" s="15">
        <v>44582</v>
      </c>
      <c r="M957">
        <f t="shared" si="95"/>
        <v>210.03926956635721</v>
      </c>
      <c r="N957">
        <f t="shared" si="96"/>
        <v>156.87350889530927</v>
      </c>
    </row>
    <row r="958" spans="1:14" x14ac:dyDescent="0.45">
      <c r="A958" s="15">
        <v>44575</v>
      </c>
      <c r="B958">
        <v>183.28767400000001</v>
      </c>
      <c r="C958" t="b">
        <f t="shared" si="97"/>
        <v>0</v>
      </c>
      <c r="E958" s="15">
        <v>44585</v>
      </c>
      <c r="F958">
        <f t="shared" si="92"/>
        <v>173.70399499999999</v>
      </c>
      <c r="G958">
        <v>1719.089966</v>
      </c>
      <c r="I958" s="13">
        <f t="shared" si="93"/>
        <v>-1.2205447874998887E-2</v>
      </c>
      <c r="J958" s="13">
        <f t="shared" si="94"/>
        <v>-3.4506614322313167E-2</v>
      </c>
      <c r="L958" s="15">
        <v>44585</v>
      </c>
      <c r="M958">
        <f t="shared" si="95"/>
        <v>207.47564620996218</v>
      </c>
      <c r="N958">
        <f t="shared" si="96"/>
        <v>151.46033522647087</v>
      </c>
    </row>
    <row r="959" spans="1:14" x14ac:dyDescent="0.45">
      <c r="A959" s="15">
        <v>44578</v>
      </c>
      <c r="B959">
        <v>184.73519899999999</v>
      </c>
      <c r="C959" t="b">
        <f t="shared" si="97"/>
        <v>0</v>
      </c>
      <c r="E959" s="15">
        <v>44586</v>
      </c>
      <c r="F959">
        <f t="shared" si="92"/>
        <v>165.767517</v>
      </c>
      <c r="G959">
        <v>1710.579956</v>
      </c>
      <c r="I959" s="13">
        <f t="shared" si="93"/>
        <v>-4.5689668795470095E-2</v>
      </c>
      <c r="J959" s="13">
        <f t="shared" si="94"/>
        <v>-4.9502993841568088E-3</v>
      </c>
      <c r="L959" s="15">
        <v>44586</v>
      </c>
      <c r="M959">
        <f t="shared" si="95"/>
        <v>197.99615265150288</v>
      </c>
      <c r="N959">
        <f t="shared" si="96"/>
        <v>150.71056122227509</v>
      </c>
    </row>
    <row r="960" spans="1:14" x14ac:dyDescent="0.45">
      <c r="A960" s="15">
        <v>44579</v>
      </c>
      <c r="B960">
        <v>181.98988299999999</v>
      </c>
      <c r="C960" t="b">
        <f t="shared" si="97"/>
        <v>0</v>
      </c>
      <c r="E960" s="15">
        <v>44587</v>
      </c>
      <c r="F960">
        <f t="shared" si="92"/>
        <v>175.40110799999999</v>
      </c>
      <c r="G960">
        <v>1747.160034</v>
      </c>
      <c r="I960" s="13">
        <f t="shared" si="93"/>
        <v>5.8115070879658504E-2</v>
      </c>
      <c r="J960" s="13">
        <f t="shared" si="94"/>
        <v>2.1384605771681331E-2</v>
      </c>
      <c r="L960" s="15">
        <v>44587</v>
      </c>
      <c r="M960">
        <f t="shared" si="95"/>
        <v>209.50271309674466</v>
      </c>
      <c r="N960">
        <f t="shared" si="96"/>
        <v>153.9334471596423</v>
      </c>
    </row>
    <row r="961" spans="1:14" x14ac:dyDescent="0.45">
      <c r="A961" s="15">
        <v>44580</v>
      </c>
      <c r="B961">
        <v>182.289368</v>
      </c>
      <c r="C961" t="b">
        <f t="shared" si="97"/>
        <v>0</v>
      </c>
      <c r="E961" s="15">
        <v>44588</v>
      </c>
      <c r="F961">
        <f t="shared" si="92"/>
        <v>174.70230100000001</v>
      </c>
      <c r="G961">
        <v>1759.839966</v>
      </c>
      <c r="I961" s="13">
        <f t="shared" si="93"/>
        <v>-3.9840512295965524E-3</v>
      </c>
      <c r="J961" s="13">
        <f t="shared" si="94"/>
        <v>7.257453097167188E-3</v>
      </c>
      <c r="L961" s="15">
        <v>44588</v>
      </c>
      <c r="M961">
        <f t="shared" si="95"/>
        <v>208.66804355502777</v>
      </c>
      <c r="N961">
        <f t="shared" si="96"/>
        <v>155.05061193248866</v>
      </c>
    </row>
    <row r="962" spans="1:14" x14ac:dyDescent="0.45">
      <c r="A962" s="15">
        <v>44581</v>
      </c>
      <c r="B962">
        <v>193.32055700000001</v>
      </c>
      <c r="C962" t="b">
        <f t="shared" si="97"/>
        <v>0</v>
      </c>
      <c r="E962" s="15">
        <v>44589</v>
      </c>
      <c r="F962">
        <f t="shared" si="92"/>
        <v>167.814041</v>
      </c>
      <c r="G962">
        <v>1731.369995</v>
      </c>
      <c r="I962" s="13">
        <f t="shared" si="93"/>
        <v>-3.9428559100661231E-2</v>
      </c>
      <c r="J962" s="13">
        <f t="shared" si="94"/>
        <v>-1.6177590888966087E-2</v>
      </c>
      <c r="L962" s="15">
        <v>44589</v>
      </c>
      <c r="M962">
        <f t="shared" si="95"/>
        <v>200.44056326729901</v>
      </c>
      <c r="N962">
        <f t="shared" si="96"/>
        <v>152.54226656556102</v>
      </c>
    </row>
    <row r="963" spans="1:14" x14ac:dyDescent="0.45">
      <c r="A963" s="15">
        <v>44582</v>
      </c>
      <c r="B963">
        <v>175.85032699999999</v>
      </c>
      <c r="C963" t="b">
        <f t="shared" si="97"/>
        <v>0</v>
      </c>
      <c r="E963" s="15">
        <v>44592</v>
      </c>
      <c r="F963">
        <f t="shared" ref="F963:F1026" si="98">VLOOKUP(E963,A963:B2202,2,0)</f>
        <v>176.64897199999999</v>
      </c>
      <c r="G963">
        <v>1776.2299800000001</v>
      </c>
      <c r="I963" s="13">
        <f t="shared" si="93"/>
        <v>5.2647150067734794E-2</v>
      </c>
      <c r="J963" s="13">
        <f t="shared" si="94"/>
        <v>2.5910108832629897E-2</v>
      </c>
      <c r="L963" s="15">
        <v>44592</v>
      </c>
      <c r="M963">
        <f t="shared" si="95"/>
        <v>210.99318768129379</v>
      </c>
      <c r="N963">
        <f t="shared" si="96"/>
        <v>156.49465329385075</v>
      </c>
    </row>
    <row r="964" spans="1:14" x14ac:dyDescent="0.45">
      <c r="A964" s="15">
        <v>44585</v>
      </c>
      <c r="B964">
        <v>173.70399499999999</v>
      </c>
      <c r="C964" t="b">
        <f t="shared" si="97"/>
        <v>0</v>
      </c>
      <c r="E964" s="15">
        <v>44593</v>
      </c>
      <c r="F964">
        <f t="shared" si="98"/>
        <v>169.71080000000001</v>
      </c>
      <c r="G964">
        <v>1779.910034</v>
      </c>
      <c r="I964" s="13">
        <f t="shared" ref="I964:I1027" si="99">F964/F963-1</f>
        <v>-3.9276605583642876E-2</v>
      </c>
      <c r="J964" s="13">
        <f t="shared" ref="J964:J1027" si="100">G964/G963-1</f>
        <v>2.0718341889487402E-3</v>
      </c>
      <c r="L964" s="15">
        <v>44593</v>
      </c>
      <c r="M964">
        <f t="shared" ref="M964:M1027" si="101">M963*(1+I964)</f>
        <v>202.70609146790008</v>
      </c>
      <c r="N964">
        <f t="shared" ref="N964:N1027" si="102">N963*(1+J964)</f>
        <v>156.81888426693263</v>
      </c>
    </row>
    <row r="965" spans="1:14" x14ac:dyDescent="0.45">
      <c r="A965" s="15">
        <v>44586</v>
      </c>
      <c r="B965">
        <v>165.767517</v>
      </c>
      <c r="C965" t="b">
        <f t="shared" si="97"/>
        <v>0</v>
      </c>
      <c r="E965" s="15">
        <v>44594</v>
      </c>
      <c r="F965">
        <f t="shared" si="98"/>
        <v>173.803833</v>
      </c>
      <c r="G965">
        <v>1818.660034</v>
      </c>
      <c r="I965" s="13">
        <f t="shared" si="99"/>
        <v>2.4117693158007603E-2</v>
      </c>
      <c r="J965" s="13">
        <f t="shared" si="100"/>
        <v>2.1770763274431948E-2</v>
      </c>
      <c r="L965" s="15">
        <v>44594</v>
      </c>
      <c r="M965">
        <f t="shared" si="101"/>
        <v>207.59489478318193</v>
      </c>
      <c r="N965">
        <f t="shared" si="102"/>
        <v>160.23295107326857</v>
      </c>
    </row>
    <row r="966" spans="1:14" x14ac:dyDescent="0.45">
      <c r="A966" s="15">
        <v>44587</v>
      </c>
      <c r="B966">
        <v>175.40110799999999</v>
      </c>
      <c r="C966" t="b">
        <f t="shared" si="97"/>
        <v>0</v>
      </c>
      <c r="E966" s="15">
        <v>44595</v>
      </c>
      <c r="F966">
        <f t="shared" si="98"/>
        <v>168.46292099999999</v>
      </c>
      <c r="G966">
        <v>1768.459961</v>
      </c>
      <c r="I966" s="13">
        <f t="shared" si="99"/>
        <v>-3.0729540930204968E-2</v>
      </c>
      <c r="J966" s="13">
        <f t="shared" si="100"/>
        <v>-2.760278010266104E-2</v>
      </c>
      <c r="L966" s="15">
        <v>44595</v>
      </c>
      <c r="M966">
        <f t="shared" si="101"/>
        <v>201.21559896704053</v>
      </c>
      <c r="N966">
        <f t="shared" si="102"/>
        <v>155.81007615959268</v>
      </c>
    </row>
    <row r="967" spans="1:14" x14ac:dyDescent="0.45">
      <c r="A967" s="15">
        <v>44588</v>
      </c>
      <c r="B967">
        <v>174.70230100000001</v>
      </c>
      <c r="C967" t="b">
        <f t="shared" si="97"/>
        <v>0</v>
      </c>
      <c r="E967" s="15">
        <v>44596</v>
      </c>
      <c r="F967">
        <f t="shared" si="98"/>
        <v>166.01709</v>
      </c>
      <c r="G967">
        <v>1723.25</v>
      </c>
      <c r="I967" s="13">
        <f t="shared" si="99"/>
        <v>-1.4518512355606084E-2</v>
      </c>
      <c r="J967" s="13">
        <f t="shared" si="100"/>
        <v>-2.5564594051897815E-2</v>
      </c>
      <c r="L967" s="15">
        <v>44596</v>
      </c>
      <c r="M967">
        <f t="shared" si="101"/>
        <v>198.29424780729687</v>
      </c>
      <c r="N967">
        <f t="shared" si="102"/>
        <v>151.82685481337742</v>
      </c>
    </row>
    <row r="968" spans="1:14" x14ac:dyDescent="0.45">
      <c r="A968" s="15">
        <v>44589</v>
      </c>
      <c r="B968">
        <v>167.814041</v>
      </c>
      <c r="C968" t="b">
        <f t="shared" si="97"/>
        <v>0</v>
      </c>
      <c r="E968" s="15">
        <v>44599</v>
      </c>
      <c r="F968">
        <f t="shared" si="98"/>
        <v>165.71760599999999</v>
      </c>
      <c r="G968">
        <v>1735.719971</v>
      </c>
      <c r="I968" s="13">
        <f t="shared" si="99"/>
        <v>-1.8039347635837588E-3</v>
      </c>
      <c r="J968" s="13">
        <f t="shared" si="100"/>
        <v>7.2363098795880099E-3</v>
      </c>
      <c r="L968" s="15">
        <v>44599</v>
      </c>
      <c r="M968">
        <f t="shared" si="101"/>
        <v>197.93653792025859</v>
      </c>
      <c r="N968">
        <f t="shared" si="102"/>
        <v>152.92552098285023</v>
      </c>
    </row>
    <row r="969" spans="1:14" x14ac:dyDescent="0.45">
      <c r="A969" s="15">
        <v>44592</v>
      </c>
      <c r="B969">
        <v>176.64897199999999</v>
      </c>
      <c r="C969" t="b">
        <f t="shared" si="97"/>
        <v>0</v>
      </c>
      <c r="E969" s="15">
        <v>44600</v>
      </c>
      <c r="F969">
        <f t="shared" si="98"/>
        <v>160.67619300000001</v>
      </c>
      <c r="G969">
        <v>1698.8599850000001</v>
      </c>
      <c r="I969" s="13">
        <f t="shared" si="99"/>
        <v>-3.0421710291904547E-2</v>
      </c>
      <c r="J969" s="13">
        <f t="shared" si="100"/>
        <v>-2.1236136367529301E-2</v>
      </c>
      <c r="L969" s="15">
        <v>44600</v>
      </c>
      <c r="M969">
        <f t="shared" si="101"/>
        <v>191.91496990746589</v>
      </c>
      <c r="N969">
        <f t="shared" si="102"/>
        <v>149.67797376518297</v>
      </c>
    </row>
    <row r="970" spans="1:14" x14ac:dyDescent="0.45">
      <c r="A970" s="15">
        <v>44593</v>
      </c>
      <c r="B970">
        <v>169.71080000000001</v>
      </c>
      <c r="C970" t="b">
        <f t="shared" si="97"/>
        <v>0</v>
      </c>
      <c r="E970" s="15">
        <v>44601</v>
      </c>
      <c r="F970">
        <f t="shared" si="98"/>
        <v>168.213348</v>
      </c>
      <c r="G970">
        <v>1765.0500489999999</v>
      </c>
      <c r="I970" s="13">
        <f t="shared" si="99"/>
        <v>4.6908971760365237E-2</v>
      </c>
      <c r="J970" s="13">
        <f t="shared" si="100"/>
        <v>3.8961459204655879E-2</v>
      </c>
      <c r="L970" s="15">
        <v>44601</v>
      </c>
      <c r="M970">
        <f t="shared" si="101"/>
        <v>200.91750381124655</v>
      </c>
      <c r="N970">
        <f t="shared" si="102"/>
        <v>155.50964603387069</v>
      </c>
    </row>
    <row r="971" spans="1:14" x14ac:dyDescent="0.45">
      <c r="A971" s="15">
        <v>44594</v>
      </c>
      <c r="B971">
        <v>173.803833</v>
      </c>
      <c r="C971" t="b">
        <f t="shared" si="97"/>
        <v>0</v>
      </c>
      <c r="E971" s="15">
        <v>44602</v>
      </c>
      <c r="F971">
        <f t="shared" si="98"/>
        <v>163.97058100000001</v>
      </c>
      <c r="G971">
        <v>1755.0600589999999</v>
      </c>
      <c r="I971" s="13">
        <f t="shared" si="99"/>
        <v>-2.5222534658783324E-2</v>
      </c>
      <c r="J971" s="13">
        <f t="shared" si="100"/>
        <v>-5.6598904975300179E-3</v>
      </c>
      <c r="L971" s="15">
        <v>44602</v>
      </c>
      <c r="M971">
        <f t="shared" si="101"/>
        <v>195.84985510781115</v>
      </c>
      <c r="N971">
        <f t="shared" si="102"/>
        <v>154.62947846600935</v>
      </c>
    </row>
    <row r="972" spans="1:14" x14ac:dyDescent="0.45">
      <c r="A972" s="15">
        <v>44595</v>
      </c>
      <c r="B972">
        <v>168.46292099999999</v>
      </c>
      <c r="C972" t="b">
        <f t="shared" si="97"/>
        <v>0</v>
      </c>
      <c r="E972" s="15">
        <v>44603</v>
      </c>
      <c r="F972">
        <f t="shared" si="98"/>
        <v>166.56616199999999</v>
      </c>
      <c r="G972">
        <v>1733.73999</v>
      </c>
      <c r="I972" s="13">
        <f t="shared" si="99"/>
        <v>1.5829552985483275E-2</v>
      </c>
      <c r="J972" s="13">
        <f t="shared" si="100"/>
        <v>-1.2147771747564984E-2</v>
      </c>
      <c r="L972" s="15">
        <v>44603</v>
      </c>
      <c r="M972">
        <f t="shared" si="101"/>
        <v>198.95007076643947</v>
      </c>
      <c r="N972">
        <f t="shared" si="102"/>
        <v>152.75107485615925</v>
      </c>
    </row>
    <row r="973" spans="1:14" x14ac:dyDescent="0.45">
      <c r="A973" s="15">
        <v>44596</v>
      </c>
      <c r="B973">
        <v>166.01709</v>
      </c>
      <c r="C973" t="b">
        <f t="shared" si="97"/>
        <v>0</v>
      </c>
      <c r="E973" s="15">
        <v>44606</v>
      </c>
      <c r="F973">
        <f t="shared" si="98"/>
        <v>162.523056</v>
      </c>
      <c r="G973">
        <v>1692.869995</v>
      </c>
      <c r="I973" s="13">
        <f t="shared" si="99"/>
        <v>-2.4273273463550127E-2</v>
      </c>
      <c r="J973" s="13">
        <f t="shared" si="100"/>
        <v>-2.3573312743394692E-2</v>
      </c>
      <c r="L973" s="15">
        <v>44606</v>
      </c>
      <c r="M973">
        <f t="shared" si="101"/>
        <v>194.12090129313304</v>
      </c>
      <c r="N973">
        <f t="shared" si="102"/>
        <v>149.15022599668532</v>
      </c>
    </row>
    <row r="974" spans="1:14" x14ac:dyDescent="0.45">
      <c r="A974" s="15">
        <v>44599</v>
      </c>
      <c r="B974">
        <v>165.71760599999999</v>
      </c>
      <c r="C974" t="b">
        <f t="shared" si="97"/>
        <v>0</v>
      </c>
      <c r="E974" s="15">
        <v>44607</v>
      </c>
      <c r="F974">
        <f t="shared" si="98"/>
        <v>174.70230100000001</v>
      </c>
      <c r="G974">
        <v>1742.1400149999999</v>
      </c>
      <c r="I974" s="13">
        <f t="shared" si="99"/>
        <v>7.4938567485465013E-2</v>
      </c>
      <c r="J974" s="13">
        <f t="shared" si="100"/>
        <v>2.9104432204198893E-2</v>
      </c>
      <c r="L974" s="15">
        <v>44607</v>
      </c>
      <c r="M974">
        <f t="shared" si="101"/>
        <v>208.66804355502779</v>
      </c>
      <c r="N974">
        <f t="shared" si="102"/>
        <v>153.4911586374468</v>
      </c>
    </row>
    <row r="975" spans="1:14" x14ac:dyDescent="0.45">
      <c r="A975" s="15">
        <v>44600</v>
      </c>
      <c r="B975">
        <v>160.67619300000001</v>
      </c>
      <c r="C975" t="b">
        <f t="shared" si="97"/>
        <v>0</v>
      </c>
      <c r="E975" s="15">
        <v>44608</v>
      </c>
      <c r="F975">
        <f t="shared" si="98"/>
        <v>172.10670500000001</v>
      </c>
      <c r="G975">
        <v>1738.1899410000001</v>
      </c>
      <c r="I975" s="13">
        <f t="shared" si="99"/>
        <v>-1.4857251364994939E-2</v>
      </c>
      <c r="J975" s="13">
        <f t="shared" si="100"/>
        <v>-2.2673688486513077E-3</v>
      </c>
      <c r="L975" s="15">
        <v>44608</v>
      </c>
      <c r="M975">
        <f t="shared" si="101"/>
        <v>205.56780998008904</v>
      </c>
      <c r="N975">
        <f t="shared" si="102"/>
        <v>153.14313756580887</v>
      </c>
    </row>
    <row r="976" spans="1:14" x14ac:dyDescent="0.45">
      <c r="A976" s="15">
        <v>44601</v>
      </c>
      <c r="B976">
        <v>168.213348</v>
      </c>
      <c r="C976" t="b">
        <f t="shared" si="97"/>
        <v>0</v>
      </c>
      <c r="E976" s="15">
        <v>44609</v>
      </c>
      <c r="F976">
        <f t="shared" si="98"/>
        <v>170.65917999999999</v>
      </c>
      <c r="G976">
        <v>1719.4300539999999</v>
      </c>
      <c r="I976" s="13">
        <f t="shared" si="99"/>
        <v>-8.4106252571625184E-3</v>
      </c>
      <c r="J976" s="13">
        <f t="shared" si="100"/>
        <v>-1.0792771582378013E-2</v>
      </c>
      <c r="L976" s="15">
        <v>44609</v>
      </c>
      <c r="M976">
        <f t="shared" si="101"/>
        <v>203.8388561654109</v>
      </c>
      <c r="N976">
        <f t="shared" si="102"/>
        <v>151.49029866265241</v>
      </c>
    </row>
    <row r="977" spans="1:14" x14ac:dyDescent="0.45">
      <c r="A977" s="15">
        <v>44602</v>
      </c>
      <c r="B977">
        <v>163.97058100000001</v>
      </c>
      <c r="C977" t="b">
        <f t="shared" si="97"/>
        <v>0</v>
      </c>
      <c r="E977" s="15">
        <v>44610</v>
      </c>
      <c r="F977">
        <f t="shared" si="98"/>
        <v>164.07041899999999</v>
      </c>
      <c r="G977">
        <v>1684.910034</v>
      </c>
      <c r="I977" s="13">
        <f t="shared" si="99"/>
        <v>-3.860771509625216E-2</v>
      </c>
      <c r="J977" s="13">
        <f t="shared" si="100"/>
        <v>-2.0076431675539297E-2</v>
      </c>
      <c r="L977" s="15">
        <v>44610</v>
      </c>
      <c r="M977">
        <f t="shared" si="101"/>
        <v>195.96910368103079</v>
      </c>
      <c r="N977">
        <f t="shared" si="102"/>
        <v>148.44891403204463</v>
      </c>
    </row>
    <row r="978" spans="1:14" x14ac:dyDescent="0.45">
      <c r="A978" s="15">
        <v>44603</v>
      </c>
      <c r="B978">
        <v>166.56616199999999</v>
      </c>
      <c r="C978" t="b">
        <f t="shared" si="97"/>
        <v>0</v>
      </c>
      <c r="E978" s="15">
        <v>44613</v>
      </c>
      <c r="F978">
        <f t="shared" si="98"/>
        <v>162.273483</v>
      </c>
      <c r="G978">
        <v>1659.369995</v>
      </c>
      <c r="I978" s="13">
        <f t="shared" si="99"/>
        <v>-1.0952224117864784E-2</v>
      </c>
      <c r="J978" s="13">
        <f t="shared" si="100"/>
        <v>-1.5158102500800963E-2</v>
      </c>
      <c r="L978" s="15">
        <v>44613</v>
      </c>
      <c r="M978">
        <f t="shared" si="101"/>
        <v>193.82280613733906</v>
      </c>
      <c r="N978">
        <f t="shared" si="102"/>
        <v>146.19871017701431</v>
      </c>
    </row>
    <row r="979" spans="1:14" x14ac:dyDescent="0.45">
      <c r="A979" s="15">
        <v>44606</v>
      </c>
      <c r="B979">
        <v>162.523056</v>
      </c>
      <c r="C979" t="b">
        <f t="shared" si="97"/>
        <v>0</v>
      </c>
      <c r="E979" s="15">
        <v>44614</v>
      </c>
      <c r="F979">
        <f t="shared" si="98"/>
        <v>162.323395</v>
      </c>
      <c r="G979">
        <v>1661.3100589999999</v>
      </c>
      <c r="I979" s="13">
        <f t="shared" si="99"/>
        <v>3.0757951993920507E-4</v>
      </c>
      <c r="J979" s="13">
        <f t="shared" si="100"/>
        <v>1.16915697273412E-3</v>
      </c>
      <c r="L979" s="15">
        <v>44614</v>
      </c>
      <c r="M979">
        <f t="shared" si="101"/>
        <v>193.88242206300404</v>
      </c>
      <c r="N979">
        <f t="shared" si="102"/>
        <v>146.36963941842251</v>
      </c>
    </row>
    <row r="980" spans="1:14" x14ac:dyDescent="0.45">
      <c r="A980" s="15">
        <v>44607</v>
      </c>
      <c r="B980">
        <v>174.70230100000001</v>
      </c>
      <c r="C980" t="b">
        <f t="shared" si="97"/>
        <v>0</v>
      </c>
      <c r="E980" s="15">
        <v>44615</v>
      </c>
      <c r="F980">
        <f t="shared" si="98"/>
        <v>161.47483800000001</v>
      </c>
      <c r="G980">
        <v>1651.420044</v>
      </c>
      <c r="I980" s="13">
        <f t="shared" si="99"/>
        <v>-5.2275705544477802E-3</v>
      </c>
      <c r="J980" s="13">
        <f t="shared" si="100"/>
        <v>-5.9531421882518254E-3</v>
      </c>
      <c r="L980" s="15">
        <v>44615</v>
      </c>
      <c r="M980">
        <f t="shared" si="101"/>
        <v>192.86888802240247</v>
      </c>
      <c r="N980">
        <f t="shared" si="102"/>
        <v>145.49828014292149</v>
      </c>
    </row>
    <row r="981" spans="1:14" x14ac:dyDescent="0.45">
      <c r="A981" s="15">
        <v>44608</v>
      </c>
      <c r="B981">
        <v>172.10670500000001</v>
      </c>
      <c r="C981" t="b">
        <f t="shared" si="97"/>
        <v>0</v>
      </c>
      <c r="E981" s="15">
        <v>44616</v>
      </c>
      <c r="F981">
        <f t="shared" si="98"/>
        <v>179.99328600000001</v>
      </c>
      <c r="G981">
        <v>1657.3000489999999</v>
      </c>
      <c r="I981" s="13">
        <f t="shared" si="99"/>
        <v>0.1146831805460613</v>
      </c>
      <c r="J981" s="13">
        <f t="shared" si="100"/>
        <v>3.5605750465264041E-3</v>
      </c>
      <c r="L981" s="15">
        <v>44616</v>
      </c>
      <c r="M981">
        <f t="shared" si="101"/>
        <v>214.98770552919373</v>
      </c>
      <c r="N981">
        <f t="shared" si="102"/>
        <v>146.01633768851087</v>
      </c>
    </row>
    <row r="982" spans="1:14" x14ac:dyDescent="0.45">
      <c r="A982" s="15">
        <v>44609</v>
      </c>
      <c r="B982">
        <v>170.65917999999999</v>
      </c>
      <c r="C982" t="b">
        <f t="shared" si="97"/>
        <v>0</v>
      </c>
      <c r="E982" s="15">
        <v>44617</v>
      </c>
      <c r="F982">
        <f t="shared" si="98"/>
        <v>188.62855500000001</v>
      </c>
      <c r="G982">
        <v>1713.150024</v>
      </c>
      <c r="I982" s="13">
        <f t="shared" si="99"/>
        <v>4.7975506153046243E-2</v>
      </c>
      <c r="J982" s="13">
        <f t="shared" si="100"/>
        <v>3.3699374493894041E-2</v>
      </c>
      <c r="L982" s="15">
        <v>44617</v>
      </c>
      <c r="M982">
        <f t="shared" si="101"/>
        <v>225.30184951863885</v>
      </c>
      <c r="N982">
        <f t="shared" si="102"/>
        <v>150.9369969345029</v>
      </c>
    </row>
    <row r="983" spans="1:14" x14ac:dyDescent="0.45">
      <c r="A983" s="15">
        <v>44610</v>
      </c>
      <c r="B983">
        <v>164.07041899999999</v>
      </c>
      <c r="C983" t="b">
        <f t="shared" si="97"/>
        <v>0</v>
      </c>
      <c r="E983" s="15">
        <v>44620</v>
      </c>
      <c r="F983">
        <f t="shared" si="98"/>
        <v>217.12998999999999</v>
      </c>
      <c r="G983">
        <v>1764.8100589999999</v>
      </c>
      <c r="I983" s="13">
        <f t="shared" si="99"/>
        <v>0.15109819931558066</v>
      </c>
      <c r="J983" s="13">
        <f t="shared" si="100"/>
        <v>3.0154997680460038E-2</v>
      </c>
      <c r="L983" s="15">
        <v>44620</v>
      </c>
      <c r="M983">
        <f t="shared" si="101"/>
        <v>259.34455328337509</v>
      </c>
      <c r="N983">
        <f t="shared" si="102"/>
        <v>155.48850172695845</v>
      </c>
    </row>
    <row r="984" spans="1:14" x14ac:dyDescent="0.45">
      <c r="A984" s="15">
        <v>44613</v>
      </c>
      <c r="B984">
        <v>162.273483</v>
      </c>
      <c r="C984" t="b">
        <f t="shared" si="97"/>
        <v>0</v>
      </c>
      <c r="E984" s="15">
        <v>44621</v>
      </c>
      <c r="F984">
        <f t="shared" si="98"/>
        <v>214.03526299999999</v>
      </c>
      <c r="G984">
        <v>1752.0200199999999</v>
      </c>
      <c r="I984" s="13">
        <f t="shared" si="99"/>
        <v>-1.4252876813562243E-2</v>
      </c>
      <c r="J984" s="13">
        <f t="shared" si="100"/>
        <v>-7.2472609359713891E-3</v>
      </c>
      <c r="L984" s="15">
        <v>44621</v>
      </c>
      <c r="M984">
        <f t="shared" si="101"/>
        <v>255.64814731315883</v>
      </c>
      <c r="N984">
        <f t="shared" si="102"/>
        <v>154.36163598239995</v>
      </c>
    </row>
    <row r="985" spans="1:14" x14ac:dyDescent="0.45">
      <c r="A985" s="15">
        <v>44614</v>
      </c>
      <c r="B985">
        <v>162.323395</v>
      </c>
      <c r="C985" t="b">
        <f t="shared" si="97"/>
        <v>0</v>
      </c>
      <c r="E985" s="15">
        <v>44622</v>
      </c>
      <c r="F985">
        <f t="shared" si="98"/>
        <v>201.35687300000001</v>
      </c>
      <c r="G985">
        <v>1721.6899410000001</v>
      </c>
      <c r="I985" s="13">
        <f t="shared" si="99"/>
        <v>-5.9235052310048442E-2</v>
      </c>
      <c r="J985" s="13">
        <f t="shared" si="100"/>
        <v>-1.7311491109559318E-2</v>
      </c>
      <c r="L985" s="15">
        <v>44622</v>
      </c>
      <c r="M985">
        <f t="shared" si="101"/>
        <v>240.50481593409691</v>
      </c>
      <c r="N985">
        <f t="shared" si="102"/>
        <v>151.68940589343359</v>
      </c>
    </row>
    <row r="986" spans="1:14" x14ac:dyDescent="0.45">
      <c r="A986" s="15">
        <v>44615</v>
      </c>
      <c r="B986">
        <v>161.47483800000001</v>
      </c>
      <c r="C986" t="b">
        <f t="shared" si="97"/>
        <v>0</v>
      </c>
      <c r="E986" s="15">
        <v>44623</v>
      </c>
      <c r="F986">
        <f t="shared" si="98"/>
        <v>195.267258</v>
      </c>
      <c r="G986">
        <v>1714.670044</v>
      </c>
      <c r="I986" s="13">
        <f t="shared" si="99"/>
        <v>-3.0242896153835352E-2</v>
      </c>
      <c r="J986" s="13">
        <f t="shared" si="100"/>
        <v>-4.0773293917967246E-3</v>
      </c>
      <c r="L986" s="15">
        <v>44623</v>
      </c>
      <c r="M986">
        <f t="shared" si="101"/>
        <v>233.23125376130474</v>
      </c>
      <c r="N986">
        <f t="shared" si="102"/>
        <v>151.07091822036011</v>
      </c>
    </row>
    <row r="987" spans="1:14" x14ac:dyDescent="0.45">
      <c r="A987" s="15">
        <v>44616</v>
      </c>
      <c r="B987">
        <v>179.99328600000001</v>
      </c>
      <c r="C987" t="b">
        <f t="shared" si="97"/>
        <v>0</v>
      </c>
      <c r="E987" s="15">
        <v>44624</v>
      </c>
      <c r="F987">
        <f t="shared" si="98"/>
        <v>195.31715399999999</v>
      </c>
      <c r="G987">
        <v>1683.0500489999999</v>
      </c>
      <c r="I987" s="13">
        <f t="shared" si="99"/>
        <v>2.5552670996176197E-4</v>
      </c>
      <c r="J987" s="13">
        <f t="shared" si="100"/>
        <v>-1.8440862783277279E-2</v>
      </c>
      <c r="L987" s="15">
        <v>44624</v>
      </c>
      <c r="M987">
        <f t="shared" si="101"/>
        <v>233.29085057623863</v>
      </c>
      <c r="N987">
        <f t="shared" si="102"/>
        <v>148.28504014691475</v>
      </c>
    </row>
    <row r="988" spans="1:14" x14ac:dyDescent="0.45">
      <c r="A988" s="15">
        <v>44617</v>
      </c>
      <c r="B988">
        <v>188.62855500000001</v>
      </c>
      <c r="C988" t="b">
        <f t="shared" ref="C988:C1023" si="103">E980=A988</f>
        <v>0</v>
      </c>
      <c r="E988" s="15">
        <v>44627</v>
      </c>
      <c r="F988">
        <f t="shared" si="98"/>
        <v>212.63765000000001</v>
      </c>
      <c r="G988">
        <v>1696.459961</v>
      </c>
      <c r="I988" s="13">
        <f t="shared" si="99"/>
        <v>8.8678826438358005E-2</v>
      </c>
      <c r="J988" s="13">
        <f t="shared" si="100"/>
        <v>7.9676252099381006E-3</v>
      </c>
      <c r="L988" s="15">
        <v>44627</v>
      </c>
      <c r="M988">
        <f t="shared" si="101"/>
        <v>253.97880942414579</v>
      </c>
      <c r="N988">
        <f t="shared" si="102"/>
        <v>149.46651977104599</v>
      </c>
    </row>
    <row r="989" spans="1:14" x14ac:dyDescent="0.45">
      <c r="A989" s="15">
        <v>44620</v>
      </c>
      <c r="B989">
        <v>217.12998999999999</v>
      </c>
      <c r="C989" t="b">
        <f t="shared" si="103"/>
        <v>0</v>
      </c>
      <c r="E989" s="15">
        <v>44628</v>
      </c>
      <c r="F989">
        <f t="shared" si="98"/>
        <v>234.99954199999999</v>
      </c>
      <c r="G989">
        <v>1693.030029</v>
      </c>
      <c r="I989" s="13">
        <f t="shared" si="99"/>
        <v>0.10516431121205483</v>
      </c>
      <c r="J989" s="13">
        <f t="shared" si="100"/>
        <v>-2.0218172422874492E-3</v>
      </c>
      <c r="L989" s="15">
        <v>44628</v>
      </c>
      <c r="M989">
        <f t="shared" si="101"/>
        <v>280.68831597969381</v>
      </c>
      <c r="N989">
        <f t="shared" si="102"/>
        <v>149.1643257842282</v>
      </c>
    </row>
    <row r="990" spans="1:14" x14ac:dyDescent="0.45">
      <c r="A990" s="15">
        <v>44621</v>
      </c>
      <c r="B990">
        <v>214.03526299999999</v>
      </c>
      <c r="C990" t="b">
        <f t="shared" si="103"/>
        <v>0</v>
      </c>
      <c r="E990" s="15">
        <v>44629</v>
      </c>
      <c r="F990">
        <f t="shared" si="98"/>
        <v>220.12489299999999</v>
      </c>
      <c r="G990">
        <v>1716.8000489999999</v>
      </c>
      <c r="I990" s="13">
        <f t="shared" si="99"/>
        <v>-6.3296502084246642E-2</v>
      </c>
      <c r="J990" s="13">
        <f t="shared" si="100"/>
        <v>1.4039928171882377E-2</v>
      </c>
      <c r="L990" s="15">
        <v>44629</v>
      </c>
      <c r="M990">
        <f t="shared" si="101"/>
        <v>262.92172740226147</v>
      </c>
      <c r="N990">
        <f t="shared" si="102"/>
        <v>151.25858220404604</v>
      </c>
    </row>
    <row r="991" spans="1:14" x14ac:dyDescent="0.45">
      <c r="A991" s="15">
        <v>44622</v>
      </c>
      <c r="B991">
        <v>201.35687300000001</v>
      </c>
      <c r="C991" t="b">
        <f t="shared" si="103"/>
        <v>0</v>
      </c>
      <c r="E991" s="15">
        <v>44630</v>
      </c>
      <c r="F991">
        <f t="shared" si="98"/>
        <v>208.84411600000001</v>
      </c>
      <c r="G991">
        <v>1690.5</v>
      </c>
      <c r="I991" s="13">
        <f t="shared" si="99"/>
        <v>-5.1247166307537895E-2</v>
      </c>
      <c r="J991" s="13">
        <f t="shared" si="100"/>
        <v>-1.5319226613092818E-2</v>
      </c>
      <c r="L991" s="15">
        <v>44630</v>
      </c>
      <c r="M991">
        <f t="shared" si="101"/>
        <v>249.44773391221264</v>
      </c>
      <c r="N991">
        <f t="shared" si="102"/>
        <v>148.94141770608712</v>
      </c>
    </row>
    <row r="992" spans="1:14" x14ac:dyDescent="0.45">
      <c r="A992" s="15">
        <v>44623</v>
      </c>
      <c r="B992">
        <v>195.267258</v>
      </c>
      <c r="C992" t="b">
        <f t="shared" si="103"/>
        <v>0</v>
      </c>
      <c r="E992" s="15">
        <v>44631</v>
      </c>
      <c r="F992">
        <f t="shared" si="98"/>
        <v>213.83560199999999</v>
      </c>
      <c r="G992">
        <v>1704.2299800000001</v>
      </c>
      <c r="I992" s="13">
        <f t="shared" si="99"/>
        <v>2.3900534502010906E-2</v>
      </c>
      <c r="J992" s="13">
        <f t="shared" si="100"/>
        <v>8.1218456078084866E-3</v>
      </c>
      <c r="L992" s="15">
        <v>44631</v>
      </c>
      <c r="M992">
        <f t="shared" si="101"/>
        <v>255.40966808302991</v>
      </c>
      <c r="N992">
        <f t="shared" si="102"/>
        <v>150.15109690530409</v>
      </c>
    </row>
    <row r="993" spans="1:14" x14ac:dyDescent="0.45">
      <c r="A993" s="15">
        <v>44624</v>
      </c>
      <c r="B993">
        <v>195.31715399999999</v>
      </c>
      <c r="C993" t="b">
        <f t="shared" si="103"/>
        <v>0</v>
      </c>
      <c r="E993" s="15">
        <v>44634</v>
      </c>
      <c r="F993">
        <f t="shared" si="98"/>
        <v>203.65295399999999</v>
      </c>
      <c r="G993">
        <v>1718.4399410000001</v>
      </c>
      <c r="I993" s="13">
        <f t="shared" si="99"/>
        <v>-4.7619048955187537E-2</v>
      </c>
      <c r="J993" s="13">
        <f t="shared" si="100"/>
        <v>8.3380536469614963E-3</v>
      </c>
      <c r="L993" s="15">
        <v>44634</v>
      </c>
      <c r="M993">
        <f t="shared" si="101"/>
        <v>243.24730259495593</v>
      </c>
      <c r="N993">
        <f t="shared" si="102"/>
        <v>151.40306480645063</v>
      </c>
    </row>
    <row r="994" spans="1:14" x14ac:dyDescent="0.45">
      <c r="A994" s="15">
        <v>44627</v>
      </c>
      <c r="B994">
        <v>212.63765000000001</v>
      </c>
      <c r="C994" t="b">
        <f t="shared" si="103"/>
        <v>0</v>
      </c>
      <c r="E994" s="15">
        <v>44635</v>
      </c>
      <c r="F994">
        <f t="shared" si="98"/>
        <v>197.21392800000001</v>
      </c>
      <c r="G994">
        <v>1713.380005</v>
      </c>
      <c r="I994" s="13">
        <f t="shared" si="99"/>
        <v>-3.1617641058130586E-2</v>
      </c>
      <c r="J994" s="13">
        <f t="shared" si="100"/>
        <v>-2.9444939443479257E-3</v>
      </c>
      <c r="L994" s="15">
        <v>44635</v>
      </c>
      <c r="M994">
        <f t="shared" si="101"/>
        <v>235.55639669315013</v>
      </c>
      <c r="N994">
        <f t="shared" si="102"/>
        <v>150.95725939897233</v>
      </c>
    </row>
    <row r="995" spans="1:14" x14ac:dyDescent="0.45">
      <c r="A995" s="15">
        <v>44628</v>
      </c>
      <c r="B995">
        <v>234.99954199999999</v>
      </c>
      <c r="C995" t="b">
        <f t="shared" si="103"/>
        <v>0</v>
      </c>
      <c r="E995" s="15">
        <v>44636</v>
      </c>
      <c r="F995">
        <f t="shared" si="98"/>
        <v>203.752792</v>
      </c>
      <c r="G995">
        <v>1756.660034</v>
      </c>
      <c r="I995" s="13">
        <f t="shared" si="99"/>
        <v>3.3156197771183837E-2</v>
      </c>
      <c r="J995" s="13">
        <f t="shared" si="100"/>
        <v>2.5260029225098846E-2</v>
      </c>
      <c r="L995" s="15">
        <v>44636</v>
      </c>
      <c r="M995">
        <f t="shared" si="101"/>
        <v>243.36655116817565</v>
      </c>
      <c r="N995">
        <f t="shared" si="102"/>
        <v>154.77044418313119</v>
      </c>
    </row>
    <row r="996" spans="1:14" x14ac:dyDescent="0.45">
      <c r="A996" s="15">
        <v>44629</v>
      </c>
      <c r="B996">
        <v>220.12489299999999</v>
      </c>
      <c r="C996" t="b">
        <f t="shared" si="103"/>
        <v>0</v>
      </c>
      <c r="E996" s="15">
        <v>44637</v>
      </c>
      <c r="F996">
        <f t="shared" si="98"/>
        <v>209.44309999999999</v>
      </c>
      <c r="G996">
        <v>1792.75</v>
      </c>
      <c r="I996" s="13">
        <f t="shared" si="99"/>
        <v>2.7927509331994838E-2</v>
      </c>
      <c r="J996" s="13">
        <f t="shared" si="100"/>
        <v>2.0544650246195673E-2</v>
      </c>
      <c r="L996" s="15">
        <v>44637</v>
      </c>
      <c r="M996">
        <f t="shared" si="101"/>
        <v>250.16317279702028</v>
      </c>
      <c r="N996">
        <f t="shared" si="102"/>
        <v>157.95014882732198</v>
      </c>
    </row>
    <row r="997" spans="1:14" x14ac:dyDescent="0.45">
      <c r="A997" s="15">
        <v>44630</v>
      </c>
      <c r="B997">
        <v>208.84411600000001</v>
      </c>
      <c r="C997" t="b">
        <f t="shared" si="103"/>
        <v>0</v>
      </c>
      <c r="E997" s="15">
        <v>44638</v>
      </c>
      <c r="F997">
        <f t="shared" si="98"/>
        <v>208.04547099999999</v>
      </c>
      <c r="G997">
        <v>1805.959961</v>
      </c>
      <c r="I997" s="13">
        <f t="shared" si="99"/>
        <v>-6.6730725433303828E-3</v>
      </c>
      <c r="J997" s="13">
        <f t="shared" si="100"/>
        <v>7.3685460884116427E-3</v>
      </c>
      <c r="L997" s="15">
        <v>44638</v>
      </c>
      <c r="M997">
        <f t="shared" si="101"/>
        <v>248.49381579727606</v>
      </c>
      <c r="N997">
        <f t="shared" si="102"/>
        <v>159.11401177862757</v>
      </c>
    </row>
    <row r="998" spans="1:14" x14ac:dyDescent="0.45">
      <c r="A998" s="15">
        <v>44631</v>
      </c>
      <c r="B998">
        <v>213.83560199999999</v>
      </c>
      <c r="C998" t="b">
        <f t="shared" si="103"/>
        <v>0</v>
      </c>
      <c r="E998" s="15">
        <v>44641</v>
      </c>
      <c r="F998">
        <f t="shared" si="98"/>
        <v>203.752792</v>
      </c>
      <c r="G998">
        <v>1803</v>
      </c>
      <c r="I998" s="13">
        <f t="shared" si="99"/>
        <v>-2.0633369134961832E-2</v>
      </c>
      <c r="J998" s="13">
        <f t="shared" si="100"/>
        <v>-1.6389959157018241E-3</v>
      </c>
      <c r="L998" s="15">
        <v>44641</v>
      </c>
      <c r="M998">
        <f t="shared" si="101"/>
        <v>243.36655116817565</v>
      </c>
      <c r="N998">
        <f t="shared" si="102"/>
        <v>158.85322456319147</v>
      </c>
    </row>
    <row r="999" spans="1:14" x14ac:dyDescent="0.45">
      <c r="A999" s="15">
        <v>44634</v>
      </c>
      <c r="B999">
        <v>203.65295399999999</v>
      </c>
      <c r="C999" t="b">
        <f t="shared" si="103"/>
        <v>0</v>
      </c>
      <c r="E999" s="15">
        <v>44642</v>
      </c>
      <c r="F999">
        <f t="shared" si="98"/>
        <v>201.65635700000001</v>
      </c>
      <c r="G999">
        <v>1789.9300539999999</v>
      </c>
      <c r="I999" s="13">
        <f t="shared" si="99"/>
        <v>-1.0289110541366164E-2</v>
      </c>
      <c r="J999" s="13">
        <f t="shared" si="100"/>
        <v>-7.2489994453688311E-3</v>
      </c>
      <c r="L999" s="15">
        <v>44642</v>
      </c>
      <c r="M999">
        <f t="shared" si="101"/>
        <v>240.86252582113525</v>
      </c>
      <c r="N999">
        <f t="shared" si="102"/>
        <v>157.70169762643786</v>
      </c>
    </row>
    <row r="1000" spans="1:14" x14ac:dyDescent="0.45">
      <c r="A1000" s="15">
        <v>44635</v>
      </c>
      <c r="B1000">
        <v>197.21392800000001</v>
      </c>
      <c r="C1000" t="b">
        <f t="shared" si="103"/>
        <v>0</v>
      </c>
      <c r="E1000" s="15">
        <v>44643</v>
      </c>
      <c r="F1000">
        <f t="shared" si="98"/>
        <v>194.81800799999999</v>
      </c>
      <c r="G1000">
        <v>1766.4300539999999</v>
      </c>
      <c r="I1000" s="13">
        <f t="shared" si="99"/>
        <v>-3.3910902198833304E-2</v>
      </c>
      <c r="J1000" s="13">
        <f t="shared" si="100"/>
        <v>-1.3129004648803955E-2</v>
      </c>
      <c r="L1000" s="15">
        <v>44643</v>
      </c>
      <c r="M1000">
        <f t="shared" si="101"/>
        <v>232.69466026465076</v>
      </c>
      <c r="N1000">
        <f t="shared" si="102"/>
        <v>155.63123130517607</v>
      </c>
    </row>
    <row r="1001" spans="1:14" x14ac:dyDescent="0.45">
      <c r="A1001" s="15">
        <v>44636</v>
      </c>
      <c r="B1001">
        <v>203.752792</v>
      </c>
      <c r="C1001" t="b">
        <f t="shared" si="103"/>
        <v>0</v>
      </c>
      <c r="E1001" s="15">
        <v>44644</v>
      </c>
      <c r="F1001">
        <f t="shared" si="98"/>
        <v>191.573532</v>
      </c>
      <c r="G1001">
        <v>1737.6999510000001</v>
      </c>
      <c r="I1001" s="13">
        <f t="shared" si="99"/>
        <v>-1.6653881400943149E-2</v>
      </c>
      <c r="J1001" s="13">
        <f t="shared" si="100"/>
        <v>-1.6264500785039271E-2</v>
      </c>
      <c r="L1001" s="15">
        <v>44644</v>
      </c>
      <c r="M1001">
        <f t="shared" si="101"/>
        <v>228.81939098997051</v>
      </c>
      <c r="N1001">
        <f t="shared" si="102"/>
        <v>153.09996702143641</v>
      </c>
    </row>
    <row r="1002" spans="1:14" x14ac:dyDescent="0.45">
      <c r="A1002" s="15">
        <v>44637</v>
      </c>
      <c r="B1002">
        <v>209.44309999999999</v>
      </c>
      <c r="C1002" t="b">
        <f t="shared" si="103"/>
        <v>0</v>
      </c>
      <c r="E1002" s="15">
        <v>44645</v>
      </c>
      <c r="F1002">
        <f t="shared" si="98"/>
        <v>190.17591899999999</v>
      </c>
      <c r="G1002">
        <v>1725.23999</v>
      </c>
      <c r="I1002" s="13">
        <f t="shared" si="99"/>
        <v>-7.2954389127199981E-3</v>
      </c>
      <c r="J1002" s="13">
        <f t="shared" si="100"/>
        <v>-7.1703754108006779E-3</v>
      </c>
      <c r="L1002" s="15">
        <v>44645</v>
      </c>
      <c r="M1002">
        <f t="shared" si="101"/>
        <v>227.15005310095739</v>
      </c>
      <c r="N1002">
        <f t="shared" si="102"/>
        <v>152.00218278251151</v>
      </c>
    </row>
    <row r="1003" spans="1:14" x14ac:dyDescent="0.45">
      <c r="A1003" s="15">
        <v>44638</v>
      </c>
      <c r="B1003">
        <v>208.04547099999999</v>
      </c>
      <c r="C1003" t="b">
        <f t="shared" si="103"/>
        <v>0</v>
      </c>
      <c r="E1003" s="15">
        <v>44648</v>
      </c>
      <c r="F1003">
        <f t="shared" si="98"/>
        <v>187.280869</v>
      </c>
      <c r="G1003">
        <v>1756.829956</v>
      </c>
      <c r="I1003" s="13">
        <f t="shared" si="99"/>
        <v>-1.5223010438035534E-2</v>
      </c>
      <c r="J1003" s="13">
        <f t="shared" si="100"/>
        <v>1.8310476329730818E-2</v>
      </c>
      <c r="L1003" s="15">
        <v>44648</v>
      </c>
      <c r="M1003">
        <f t="shared" si="101"/>
        <v>223.69214547160118</v>
      </c>
      <c r="N1003">
        <f t="shared" si="102"/>
        <v>154.7854151524181</v>
      </c>
    </row>
    <row r="1004" spans="1:14" x14ac:dyDescent="0.45">
      <c r="A1004" s="15">
        <v>44641</v>
      </c>
      <c r="B1004">
        <v>203.752792</v>
      </c>
      <c r="C1004" t="b">
        <f t="shared" si="103"/>
        <v>0</v>
      </c>
      <c r="E1004" s="15">
        <v>44649</v>
      </c>
      <c r="F1004">
        <f t="shared" si="98"/>
        <v>189.776611</v>
      </c>
      <c r="G1004">
        <v>1771.530029</v>
      </c>
      <c r="I1004" s="13">
        <f t="shared" si="99"/>
        <v>1.332619831019688E-2</v>
      </c>
      <c r="J1004" s="13">
        <f t="shared" si="100"/>
        <v>8.3673852155101702E-3</v>
      </c>
      <c r="L1004" s="15">
        <v>44649</v>
      </c>
      <c r="M1004">
        <f t="shared" si="101"/>
        <v>226.67311136258914</v>
      </c>
      <c r="N1004">
        <f t="shared" si="102"/>
        <v>156.08056434674106</v>
      </c>
    </row>
    <row r="1005" spans="1:14" x14ac:dyDescent="0.45">
      <c r="A1005" s="15">
        <v>44642</v>
      </c>
      <c r="B1005">
        <v>201.65635700000001</v>
      </c>
      <c r="C1005" t="b">
        <f t="shared" si="103"/>
        <v>0</v>
      </c>
      <c r="E1005" s="15">
        <v>44650</v>
      </c>
      <c r="F1005">
        <f t="shared" si="98"/>
        <v>200.55822800000001</v>
      </c>
      <c r="G1005">
        <v>1795.099976</v>
      </c>
      <c r="I1005" s="13">
        <f t="shared" si="99"/>
        <v>5.6812148468601498E-2</v>
      </c>
      <c r="J1005" s="13">
        <f t="shared" si="100"/>
        <v>1.330485321397834E-2</v>
      </c>
      <c r="L1005" s="15">
        <v>44650</v>
      </c>
      <c r="M1005">
        <f t="shared" si="101"/>
        <v>239.55089781916038</v>
      </c>
      <c r="N1005">
        <f t="shared" si="102"/>
        <v>158.15719334492934</v>
      </c>
    </row>
    <row r="1006" spans="1:14" x14ac:dyDescent="0.45">
      <c r="A1006" s="15">
        <v>44643</v>
      </c>
      <c r="B1006">
        <v>194.81800799999999</v>
      </c>
      <c r="C1006" t="b">
        <f t="shared" si="103"/>
        <v>0</v>
      </c>
      <c r="E1006" s="15">
        <v>44651</v>
      </c>
      <c r="F1006">
        <f t="shared" si="98"/>
        <v>199.41018700000001</v>
      </c>
      <c r="G1006">
        <v>1786.1099850000001</v>
      </c>
      <c r="I1006" s="13">
        <f t="shared" si="99"/>
        <v>-5.724227878598942E-3</v>
      </c>
      <c r="J1006" s="13">
        <f t="shared" si="100"/>
        <v>-5.0080725977347251E-3</v>
      </c>
      <c r="L1006" s="15">
        <v>44651</v>
      </c>
      <c r="M1006">
        <f t="shared" si="101"/>
        <v>238.17965389152053</v>
      </c>
      <c r="N1006">
        <f t="shared" si="102"/>
        <v>157.36513063880398</v>
      </c>
    </row>
    <row r="1007" spans="1:14" x14ac:dyDescent="0.45">
      <c r="A1007" s="15">
        <v>44644</v>
      </c>
      <c r="B1007">
        <v>191.573532</v>
      </c>
      <c r="C1007" t="b">
        <f t="shared" si="103"/>
        <v>0</v>
      </c>
      <c r="E1007" s="15">
        <v>44652</v>
      </c>
      <c r="F1007">
        <f t="shared" si="98"/>
        <v>209.69267300000001</v>
      </c>
      <c r="G1007">
        <v>1802.8100589999999</v>
      </c>
      <c r="I1007" s="13">
        <f t="shared" si="99"/>
        <v>5.1564497053503189E-2</v>
      </c>
      <c r="J1007" s="13">
        <f t="shared" si="100"/>
        <v>9.3499695652838888E-3</v>
      </c>
      <c r="L1007" s="15">
        <v>44652</v>
      </c>
      <c r="M1007">
        <f t="shared" si="101"/>
        <v>250.46126795281424</v>
      </c>
      <c r="N1007">
        <f t="shared" si="102"/>
        <v>158.83648982091373</v>
      </c>
    </row>
    <row r="1008" spans="1:14" x14ac:dyDescent="0.45">
      <c r="A1008" s="15">
        <v>44645</v>
      </c>
      <c r="B1008">
        <v>190.17591899999999</v>
      </c>
      <c r="C1008" t="b">
        <f t="shared" si="103"/>
        <v>0</v>
      </c>
      <c r="E1008" s="15">
        <v>44655</v>
      </c>
      <c r="F1008">
        <f t="shared" si="98"/>
        <v>199.959259</v>
      </c>
      <c r="G1008">
        <v>1789.219971</v>
      </c>
      <c r="I1008" s="13">
        <f t="shared" si="99"/>
        <v>-4.6417520749520991E-2</v>
      </c>
      <c r="J1008" s="13">
        <f t="shared" si="100"/>
        <v>-7.5382805482782089E-3</v>
      </c>
      <c r="L1008" s="15">
        <v>44655</v>
      </c>
      <c r="M1008">
        <f t="shared" si="101"/>
        <v>238.83547685066316</v>
      </c>
      <c r="N1008">
        <f t="shared" si="102"/>
        <v>157.63913579933995</v>
      </c>
    </row>
    <row r="1009" spans="1:14" x14ac:dyDescent="0.45">
      <c r="A1009" s="15">
        <v>44648</v>
      </c>
      <c r="B1009">
        <v>187.280869</v>
      </c>
      <c r="C1009" t="b">
        <f t="shared" si="103"/>
        <v>0</v>
      </c>
      <c r="E1009" s="15">
        <v>44656</v>
      </c>
      <c r="F1009">
        <f t="shared" si="98"/>
        <v>217.12998999999999</v>
      </c>
      <c r="G1009">
        <v>1818.0200199999999</v>
      </c>
      <c r="I1009" s="13">
        <f t="shared" si="99"/>
        <v>8.5871147382077462E-2</v>
      </c>
      <c r="J1009" s="13">
        <f t="shared" si="100"/>
        <v>1.6096427195535723E-2</v>
      </c>
      <c r="L1009" s="15">
        <v>44656</v>
      </c>
      <c r="M1009">
        <f t="shared" si="101"/>
        <v>259.34455328337521</v>
      </c>
      <c r="N1009">
        <f t="shared" si="102"/>
        <v>160.17656267190119</v>
      </c>
    </row>
    <row r="1010" spans="1:14" x14ac:dyDescent="0.45">
      <c r="A1010" s="15">
        <v>44649</v>
      </c>
      <c r="B1010">
        <v>189.776611</v>
      </c>
      <c r="C1010" t="b">
        <f t="shared" si="103"/>
        <v>0</v>
      </c>
      <c r="E1010" s="15">
        <v>44657</v>
      </c>
      <c r="F1010">
        <f t="shared" si="98"/>
        <v>210.550003</v>
      </c>
      <c r="G1010">
        <v>1781.589966</v>
      </c>
      <c r="I1010" s="13">
        <f t="shared" si="99"/>
        <v>-3.0304367443668156E-2</v>
      </c>
      <c r="J1010" s="13">
        <f t="shared" si="100"/>
        <v>-2.0038312889425702E-2</v>
      </c>
      <c r="L1010" s="15">
        <v>44657</v>
      </c>
      <c r="M1010">
        <f t="shared" si="101"/>
        <v>251.48528064616184</v>
      </c>
      <c r="N1010">
        <f t="shared" si="102"/>
        <v>156.96689459152893</v>
      </c>
    </row>
    <row r="1011" spans="1:14" x14ac:dyDescent="0.45">
      <c r="A1011" s="15">
        <v>44650</v>
      </c>
      <c r="B1011">
        <v>200.55822800000001</v>
      </c>
      <c r="C1011" t="b">
        <f t="shared" si="103"/>
        <v>0</v>
      </c>
      <c r="E1011" s="15">
        <v>44658</v>
      </c>
      <c r="F1011">
        <f t="shared" si="98"/>
        <v>208.75</v>
      </c>
      <c r="G1011">
        <v>1801.75</v>
      </c>
      <c r="I1011" s="13">
        <f t="shared" si="99"/>
        <v>-8.5490523597855361E-3</v>
      </c>
      <c r="J1011" s="13">
        <f t="shared" si="100"/>
        <v>1.1315754121170141E-2</v>
      </c>
      <c r="L1011" s="15">
        <v>44658</v>
      </c>
      <c r="M1011">
        <f t="shared" si="101"/>
        <v>249.33531981420245</v>
      </c>
      <c r="N1011">
        <f t="shared" si="102"/>
        <v>158.74309337589031</v>
      </c>
    </row>
    <row r="1012" spans="1:14" x14ac:dyDescent="0.45">
      <c r="A1012" s="15">
        <v>44651</v>
      </c>
      <c r="B1012">
        <v>199.41018700000001</v>
      </c>
      <c r="C1012" t="b">
        <f t="shared" si="103"/>
        <v>0</v>
      </c>
      <c r="E1012" s="15">
        <v>44659</v>
      </c>
      <c r="F1012">
        <f t="shared" si="98"/>
        <v>213.85000600000001</v>
      </c>
      <c r="G1012">
        <v>1805.369995</v>
      </c>
      <c r="I1012" s="13">
        <f t="shared" si="99"/>
        <v>2.4431166467066001E-2</v>
      </c>
      <c r="J1012" s="13">
        <f t="shared" si="100"/>
        <v>2.0091549882059745E-3</v>
      </c>
      <c r="L1012" s="15">
        <v>44659</v>
      </c>
      <c r="M1012">
        <f t="shared" si="101"/>
        <v>255.42687251870237</v>
      </c>
      <c r="N1012">
        <f t="shared" si="102"/>
        <v>159.06203285378973</v>
      </c>
    </row>
    <row r="1013" spans="1:14" x14ac:dyDescent="0.45">
      <c r="A1013" s="15">
        <v>44652</v>
      </c>
      <c r="B1013">
        <v>209.69267300000001</v>
      </c>
      <c r="C1013" t="b">
        <f t="shared" si="103"/>
        <v>0</v>
      </c>
      <c r="E1013" s="15">
        <v>44662</v>
      </c>
      <c r="F1013">
        <f t="shared" si="98"/>
        <v>210.39999399999999</v>
      </c>
      <c r="G1013">
        <v>1770.709961</v>
      </c>
      <c r="I1013" s="13">
        <f t="shared" si="99"/>
        <v>-1.6132859028304192E-2</v>
      </c>
      <c r="J1013" s="13">
        <f t="shared" si="100"/>
        <v>-1.919829957072039E-2</v>
      </c>
      <c r="L1013" s="15">
        <v>44662</v>
      </c>
      <c r="M1013">
        <f t="shared" si="101"/>
        <v>251.30610679231751</v>
      </c>
      <c r="N1013">
        <f t="shared" si="102"/>
        <v>156.00831229673491</v>
      </c>
    </row>
    <row r="1014" spans="1:14" x14ac:dyDescent="0.45">
      <c r="A1014" s="15">
        <v>44655</v>
      </c>
      <c r="B1014">
        <v>199.959259</v>
      </c>
      <c r="C1014" t="b">
        <f t="shared" si="103"/>
        <v>0</v>
      </c>
      <c r="E1014" s="15">
        <v>44663</v>
      </c>
      <c r="F1014">
        <f t="shared" si="98"/>
        <v>202.39999399999999</v>
      </c>
      <c r="G1014">
        <v>1752.719971</v>
      </c>
      <c r="I1014" s="13">
        <f t="shared" si="99"/>
        <v>-3.802281477251368E-2</v>
      </c>
      <c r="J1014" s="13">
        <f t="shared" si="100"/>
        <v>-1.0159760997696221E-2</v>
      </c>
      <c r="L1014" s="15">
        <v>44663</v>
      </c>
      <c r="M1014">
        <f t="shared" si="101"/>
        <v>241.75074124255167</v>
      </c>
      <c r="N1014">
        <f t="shared" si="102"/>
        <v>154.42330513014613</v>
      </c>
    </row>
    <row r="1015" spans="1:14" x14ac:dyDescent="0.45">
      <c r="A1015" s="15">
        <v>44656</v>
      </c>
      <c r="B1015">
        <v>217.12998999999999</v>
      </c>
      <c r="C1015" t="b">
        <f t="shared" si="103"/>
        <v>0</v>
      </c>
      <c r="E1015" s="15">
        <v>44664</v>
      </c>
      <c r="F1015">
        <f t="shared" si="98"/>
        <v>200.35000600000001</v>
      </c>
      <c r="G1015">
        <v>1752.079956</v>
      </c>
      <c r="I1015" s="13">
        <f t="shared" si="99"/>
        <v>-1.0128399509735098E-2</v>
      </c>
      <c r="J1015" s="13">
        <f t="shared" si="100"/>
        <v>-3.6515530751601855E-4</v>
      </c>
      <c r="L1015" s="15">
        <v>44664</v>
      </c>
      <c r="M1015">
        <f t="shared" si="101"/>
        <v>239.3021931534725</v>
      </c>
      <c r="N1015">
        <f t="shared" si="102"/>
        <v>154.36691664067371</v>
      </c>
    </row>
    <row r="1016" spans="1:14" x14ac:dyDescent="0.45">
      <c r="A1016" s="15">
        <v>44657</v>
      </c>
      <c r="B1016">
        <v>210.550003</v>
      </c>
      <c r="C1016" t="b">
        <f t="shared" si="103"/>
        <v>0</v>
      </c>
      <c r="E1016" s="15">
        <v>44670</v>
      </c>
      <c r="F1016">
        <f t="shared" si="98"/>
        <v>203.300003</v>
      </c>
      <c r="G1016">
        <v>1772.9399410000001</v>
      </c>
      <c r="I1016" s="13">
        <f t="shared" si="99"/>
        <v>1.4724217178211596E-2</v>
      </c>
      <c r="J1016" s="13">
        <f t="shared" si="100"/>
        <v>1.1905840785727317E-2</v>
      </c>
      <c r="L1016" s="15">
        <v>44670</v>
      </c>
      <c r="M1016">
        <f t="shared" si="101"/>
        <v>242.82573061668657</v>
      </c>
      <c r="N1016">
        <f t="shared" si="102"/>
        <v>156.20478457278122</v>
      </c>
    </row>
    <row r="1017" spans="1:14" x14ac:dyDescent="0.45">
      <c r="A1017" s="15">
        <v>44658</v>
      </c>
      <c r="B1017">
        <v>208.75</v>
      </c>
      <c r="C1017" t="b">
        <f t="shared" si="103"/>
        <v>0</v>
      </c>
      <c r="E1017" s="15">
        <v>44671</v>
      </c>
      <c r="F1017">
        <f t="shared" si="98"/>
        <v>208.550003</v>
      </c>
      <c r="G1017">
        <v>1797.9300539999999</v>
      </c>
      <c r="I1017" s="13">
        <f t="shared" si="99"/>
        <v>2.5823905177217332E-2</v>
      </c>
      <c r="J1017" s="13">
        <f t="shared" si="100"/>
        <v>1.4095295854130496E-2</v>
      </c>
      <c r="L1017" s="15">
        <v>44671</v>
      </c>
      <c r="M1017">
        <f t="shared" si="101"/>
        <v>249.09643925872041</v>
      </c>
      <c r="N1017">
        <f t="shared" si="102"/>
        <v>158.40653722516529</v>
      </c>
    </row>
    <row r="1018" spans="1:14" x14ac:dyDescent="0.45">
      <c r="A1018" s="15">
        <v>44659</v>
      </c>
      <c r="B1018">
        <v>213.85000600000001</v>
      </c>
      <c r="C1018" t="b">
        <f t="shared" si="103"/>
        <v>0</v>
      </c>
      <c r="E1018" s="15">
        <v>44672</v>
      </c>
      <c r="F1018">
        <f t="shared" si="98"/>
        <v>201.39999399999999</v>
      </c>
      <c r="G1018">
        <v>1782.51001</v>
      </c>
      <c r="I1018" s="13">
        <f t="shared" si="99"/>
        <v>-3.4284386943883249E-2</v>
      </c>
      <c r="J1018" s="13">
        <f t="shared" si="100"/>
        <v>-8.5765538907889294E-3</v>
      </c>
      <c r="L1018" s="15">
        <v>44672</v>
      </c>
      <c r="M1018">
        <f t="shared" si="101"/>
        <v>240.55632054883094</v>
      </c>
      <c r="N1018">
        <f t="shared" si="102"/>
        <v>157.04795502200039</v>
      </c>
    </row>
    <row r="1019" spans="1:14" x14ac:dyDescent="0.45">
      <c r="A1019" s="15">
        <v>44662</v>
      </c>
      <c r="B1019">
        <v>210.39999399999999</v>
      </c>
      <c r="C1019" t="b">
        <f t="shared" si="103"/>
        <v>0</v>
      </c>
      <c r="E1019" s="15">
        <v>44673</v>
      </c>
      <c r="F1019">
        <f t="shared" si="98"/>
        <v>193.88000500000001</v>
      </c>
      <c r="G1019">
        <v>1753.6999510000001</v>
      </c>
      <c r="I1019" s="13">
        <f t="shared" si="99"/>
        <v>-3.7338576087544428E-2</v>
      </c>
      <c r="J1019" s="13">
        <f t="shared" si="100"/>
        <v>-1.6162635182059848E-2</v>
      </c>
      <c r="L1019" s="15">
        <v>44673</v>
      </c>
      <c r="M1019">
        <f t="shared" si="101"/>
        <v>231.5742900706787</v>
      </c>
      <c r="N1019">
        <f t="shared" si="102"/>
        <v>154.50964621889125</v>
      </c>
    </row>
    <row r="1020" spans="1:14" x14ac:dyDescent="0.45">
      <c r="A1020" s="15">
        <v>44663</v>
      </c>
      <c r="B1020">
        <v>202.39999399999999</v>
      </c>
      <c r="C1020" t="b">
        <f t="shared" si="103"/>
        <v>0</v>
      </c>
      <c r="E1020" s="15">
        <v>44676</v>
      </c>
      <c r="F1020">
        <f t="shared" si="98"/>
        <v>189.679993</v>
      </c>
      <c r="G1020">
        <v>1739.6400149999999</v>
      </c>
      <c r="I1020" s="13">
        <f t="shared" si="99"/>
        <v>-2.1662945593590277E-2</v>
      </c>
      <c r="J1020" s="13">
        <f t="shared" si="100"/>
        <v>-8.0172985076396586E-3</v>
      </c>
      <c r="L1020" s="15">
        <v>44676</v>
      </c>
      <c r="M1020">
        <f t="shared" si="101"/>
        <v>226.5577088240033</v>
      </c>
      <c r="N1020">
        <f t="shared" si="102"/>
        <v>153.27089626284459</v>
      </c>
    </row>
    <row r="1021" spans="1:14" x14ac:dyDescent="0.45">
      <c r="A1021" s="15">
        <v>44664</v>
      </c>
      <c r="B1021">
        <v>200.35000600000001</v>
      </c>
      <c r="C1021" t="b">
        <f t="shared" si="103"/>
        <v>0</v>
      </c>
      <c r="E1021" s="15">
        <v>44677</v>
      </c>
      <c r="F1021">
        <f t="shared" si="98"/>
        <v>177.88000500000001</v>
      </c>
      <c r="G1021">
        <v>1715</v>
      </c>
      <c r="I1021" s="13">
        <f t="shared" si="99"/>
        <v>-6.2209976990034943E-2</v>
      </c>
      <c r="J1021" s="13">
        <f t="shared" si="100"/>
        <v>-1.4163858492298398E-2</v>
      </c>
      <c r="L1021" s="15">
        <v>44677</v>
      </c>
      <c r="M1021">
        <f t="shared" si="101"/>
        <v>212.46355897114702</v>
      </c>
      <c r="N1021">
        <f t="shared" si="102"/>
        <v>151.09998897718992</v>
      </c>
    </row>
    <row r="1022" spans="1:14" x14ac:dyDescent="0.45">
      <c r="A1022" s="15">
        <v>44670</v>
      </c>
      <c r="B1022">
        <v>203.300003</v>
      </c>
      <c r="C1022" t="b">
        <f t="shared" si="103"/>
        <v>0</v>
      </c>
      <c r="E1022" s="15">
        <v>44678</v>
      </c>
      <c r="F1022">
        <f t="shared" si="98"/>
        <v>179.55999800000001</v>
      </c>
      <c r="G1022">
        <v>1730.790039</v>
      </c>
      <c r="I1022" s="13">
        <f t="shared" si="99"/>
        <v>9.4445297547636198E-3</v>
      </c>
      <c r="J1022" s="13">
        <f t="shared" si="100"/>
        <v>9.2070198250728819E-3</v>
      </c>
      <c r="L1022" s="15">
        <v>44678</v>
      </c>
      <c r="M1022">
        <f t="shared" si="101"/>
        <v>214.47017737565301</v>
      </c>
      <c r="N1022">
        <f t="shared" si="102"/>
        <v>152.4911695712712</v>
      </c>
    </row>
    <row r="1023" spans="1:14" x14ac:dyDescent="0.45">
      <c r="A1023" s="15">
        <v>44671</v>
      </c>
      <c r="B1023">
        <v>208.550003</v>
      </c>
      <c r="C1023" t="b">
        <f t="shared" si="103"/>
        <v>0</v>
      </c>
      <c r="E1023" s="15">
        <v>44679</v>
      </c>
      <c r="F1023">
        <f t="shared" si="98"/>
        <v>177.199997</v>
      </c>
      <c r="G1023">
        <v>1729.910034</v>
      </c>
      <c r="I1023" s="13">
        <f t="shared" si="99"/>
        <v>-1.3143244744299953E-2</v>
      </c>
      <c r="J1023" s="13">
        <f t="shared" si="100"/>
        <v>-5.0844122058180119E-4</v>
      </c>
      <c r="L1023" s="15">
        <v>44679</v>
      </c>
      <c r="M1023">
        <f t="shared" si="101"/>
        <v>211.65134334405138</v>
      </c>
      <c r="N1023">
        <f t="shared" si="102"/>
        <v>152.41363677488644</v>
      </c>
    </row>
    <row r="1024" spans="1:14" x14ac:dyDescent="0.45">
      <c r="A1024" s="15">
        <v>44672</v>
      </c>
      <c r="B1024">
        <v>201.39999399999999</v>
      </c>
      <c r="C1024" t="e">
        <f>#REF!=A1024</f>
        <v>#REF!</v>
      </c>
      <c r="E1024" s="15">
        <v>44680</v>
      </c>
      <c r="F1024">
        <f t="shared" si="98"/>
        <v>182.820007</v>
      </c>
      <c r="G1024">
        <v>1764.6400149999999</v>
      </c>
      <c r="I1024" s="13">
        <f t="shared" si="99"/>
        <v>3.1715632591122533E-2</v>
      </c>
      <c r="J1024" s="13">
        <f t="shared" si="100"/>
        <v>2.0076177556872743E-2</v>
      </c>
      <c r="L1024" s="15">
        <v>44680</v>
      </c>
      <c r="M1024">
        <f t="shared" si="101"/>
        <v>218.36399958696884</v>
      </c>
      <c r="N1024">
        <f t="shared" si="102"/>
        <v>155.47352000886778</v>
      </c>
    </row>
    <row r="1025" spans="1:14" x14ac:dyDescent="0.45">
      <c r="A1025" s="15">
        <v>44673</v>
      </c>
      <c r="B1025">
        <v>193.88000500000001</v>
      </c>
      <c r="C1025" t="b">
        <f t="shared" ref="C1025:C1042" si="104">E1016=A1025</f>
        <v>0</v>
      </c>
      <c r="E1025" s="15">
        <v>44683</v>
      </c>
      <c r="F1025">
        <f t="shared" si="98"/>
        <v>168.46000699999999</v>
      </c>
      <c r="G1025">
        <v>1729.959961</v>
      </c>
      <c r="I1025" s="13">
        <f t="shared" si="99"/>
        <v>-7.8547201893499619E-2</v>
      </c>
      <c r="J1025" s="13">
        <f t="shared" si="100"/>
        <v>-1.9652764136145917E-2</v>
      </c>
      <c r="L1025" s="15">
        <v>44683</v>
      </c>
      <c r="M1025">
        <f t="shared" si="101"/>
        <v>201.21211842513912</v>
      </c>
      <c r="N1025">
        <f t="shared" si="102"/>
        <v>152.41803559071712</v>
      </c>
    </row>
    <row r="1026" spans="1:14" x14ac:dyDescent="0.45">
      <c r="A1026" s="15">
        <v>44676</v>
      </c>
      <c r="B1026">
        <v>189.679993</v>
      </c>
      <c r="C1026" t="b">
        <f t="shared" si="104"/>
        <v>0</v>
      </c>
      <c r="E1026" s="15">
        <v>44684</v>
      </c>
      <c r="F1026">
        <f t="shared" si="98"/>
        <v>174.33999600000001</v>
      </c>
      <c r="G1026">
        <v>1732.0200199999999</v>
      </c>
      <c r="I1026" s="13">
        <f t="shared" si="99"/>
        <v>3.4904361603166789E-2</v>
      </c>
      <c r="J1026" s="13">
        <f t="shared" si="100"/>
        <v>1.190813109228861E-3</v>
      </c>
      <c r="L1026" s="15">
        <v>44684</v>
      </c>
      <c r="M1026">
        <f t="shared" si="101"/>
        <v>208.23529896558941</v>
      </c>
      <c r="N1026">
        <f t="shared" si="102"/>
        <v>152.59953698558147</v>
      </c>
    </row>
    <row r="1027" spans="1:14" x14ac:dyDescent="0.45">
      <c r="A1027" s="15">
        <v>44677</v>
      </c>
      <c r="B1027">
        <v>177.88000500000001</v>
      </c>
      <c r="C1027" t="b">
        <f t="shared" si="104"/>
        <v>0</v>
      </c>
      <c r="E1027" s="15">
        <v>44685</v>
      </c>
      <c r="F1027">
        <f t="shared" ref="F1027:F1090" si="105">VLOOKUP(E1027,A1027:B2266,2,0)</f>
        <v>173.91999799999999</v>
      </c>
      <c r="G1027">
        <v>1730.369995</v>
      </c>
      <c r="I1027" s="13">
        <f t="shared" si="99"/>
        <v>-2.4090742780562557E-3</v>
      </c>
      <c r="J1027" s="13">
        <f t="shared" si="100"/>
        <v>-9.5265931164001394E-4</v>
      </c>
      <c r="L1027" s="15">
        <v>44685</v>
      </c>
      <c r="M1027">
        <f t="shared" si="101"/>
        <v>207.73364466306805</v>
      </c>
      <c r="N1027">
        <f t="shared" si="102"/>
        <v>152.45416161572021</v>
      </c>
    </row>
    <row r="1028" spans="1:14" x14ac:dyDescent="0.45">
      <c r="A1028" s="15">
        <v>44678</v>
      </c>
      <c r="B1028">
        <v>179.55999800000001</v>
      </c>
      <c r="C1028" t="b">
        <f t="shared" si="104"/>
        <v>0</v>
      </c>
      <c r="E1028" s="15">
        <v>44686</v>
      </c>
      <c r="F1028">
        <f t="shared" si="105"/>
        <v>173.179993</v>
      </c>
      <c r="G1028">
        <v>1720.900024</v>
      </c>
      <c r="I1028" s="13">
        <f t="shared" ref="I1028:I1091" si="106">F1028/F1027-1</f>
        <v>-4.254858604586631E-3</v>
      </c>
      <c r="J1028" s="13">
        <f t="shared" ref="J1028:J1091" si="107">G1028/G1027-1</f>
        <v>-5.4728012086224798E-3</v>
      </c>
      <c r="L1028" s="15">
        <v>44686</v>
      </c>
      <c r="M1028">
        <f t="shared" ref="M1028:M1091" si="108">M1027*(1+I1028)</f>
        <v>206.84976737761124</v>
      </c>
      <c r="N1028">
        <f t="shared" ref="N1028:N1091" si="109">N1027*(1+J1028)</f>
        <v>151.61981029577018</v>
      </c>
    </row>
    <row r="1029" spans="1:14" x14ac:dyDescent="0.45">
      <c r="A1029" s="15">
        <v>44679</v>
      </c>
      <c r="B1029">
        <v>177.199997</v>
      </c>
      <c r="C1029" t="b">
        <f t="shared" si="104"/>
        <v>0</v>
      </c>
      <c r="E1029" s="15">
        <v>44687</v>
      </c>
      <c r="F1029">
        <f t="shared" si="105"/>
        <v>164.61999499999999</v>
      </c>
      <c r="G1029">
        <v>1662.530029</v>
      </c>
      <c r="I1029" s="13">
        <f t="shared" si="106"/>
        <v>-4.9428330904251805E-2</v>
      </c>
      <c r="J1029" s="13">
        <f t="shared" si="107"/>
        <v>-3.3918295186217029E-2</v>
      </c>
      <c r="L1029" s="15">
        <v>44687</v>
      </c>
      <c r="M1029">
        <f t="shared" si="108"/>
        <v>196.62552862820317</v>
      </c>
      <c r="N1029">
        <f t="shared" si="109"/>
        <v>146.47712481408001</v>
      </c>
    </row>
    <row r="1030" spans="1:14" x14ac:dyDescent="0.45">
      <c r="A1030" s="15">
        <v>44680</v>
      </c>
      <c r="B1030">
        <v>182.820007</v>
      </c>
      <c r="C1030" t="b">
        <f t="shared" si="104"/>
        <v>0</v>
      </c>
      <c r="E1030" s="15">
        <v>44690</v>
      </c>
      <c r="F1030">
        <f t="shared" si="105"/>
        <v>153.679993</v>
      </c>
      <c r="G1030">
        <v>1579.150024</v>
      </c>
      <c r="I1030" s="13">
        <f t="shared" si="106"/>
        <v>-6.6456094838297064E-2</v>
      </c>
      <c r="J1030" s="13">
        <f t="shared" si="107"/>
        <v>-5.0152480584156667E-2</v>
      </c>
      <c r="L1030" s="15">
        <v>44690</v>
      </c>
      <c r="M1030">
        <f t="shared" si="108"/>
        <v>183.558563850057</v>
      </c>
      <c r="N1030">
        <f t="shared" si="109"/>
        <v>139.13093365581878</v>
      </c>
    </row>
    <row r="1031" spans="1:14" x14ac:dyDescent="0.45">
      <c r="A1031" s="15">
        <v>44683</v>
      </c>
      <c r="B1031">
        <v>168.46000699999999</v>
      </c>
      <c r="C1031" t="b">
        <f t="shared" si="104"/>
        <v>0</v>
      </c>
      <c r="E1031" s="15">
        <v>44691</v>
      </c>
      <c r="F1031">
        <f t="shared" si="105"/>
        <v>151.699997</v>
      </c>
      <c r="G1031">
        <v>1591.4300539999999</v>
      </c>
      <c r="I1031" s="13">
        <f t="shared" si="106"/>
        <v>-1.2883889186538378E-2</v>
      </c>
      <c r="J1031" s="13">
        <f t="shared" si="107"/>
        <v>7.7763542496707139E-3</v>
      </c>
      <c r="L1031" s="15">
        <v>44691</v>
      </c>
      <c r="M1031">
        <f t="shared" si="108"/>
        <v>181.19361565417273</v>
      </c>
      <c r="N1031">
        <f t="shared" si="109"/>
        <v>140.21286508301387</v>
      </c>
    </row>
    <row r="1032" spans="1:14" x14ac:dyDescent="0.45">
      <c r="A1032" s="15">
        <v>44684</v>
      </c>
      <c r="B1032">
        <v>174.33999600000001</v>
      </c>
      <c r="C1032" t="b">
        <f t="shared" si="104"/>
        <v>0</v>
      </c>
      <c r="E1032" s="15">
        <v>44692</v>
      </c>
      <c r="F1032">
        <f t="shared" si="105"/>
        <v>154.96000699999999</v>
      </c>
      <c r="G1032">
        <v>1591.410034</v>
      </c>
      <c r="I1032" s="13">
        <f t="shared" si="106"/>
        <v>2.1489848809950862E-2</v>
      </c>
      <c r="J1032" s="13">
        <f t="shared" si="107"/>
        <v>-1.257988056069248E-5</v>
      </c>
      <c r="L1032" s="15">
        <v>44692</v>
      </c>
      <c r="M1032">
        <f t="shared" si="108"/>
        <v>185.08743905990926</v>
      </c>
      <c r="N1032">
        <f t="shared" si="109"/>
        <v>140.21110122191806</v>
      </c>
    </row>
    <row r="1033" spans="1:14" x14ac:dyDescent="0.45">
      <c r="A1033" s="15">
        <v>44685</v>
      </c>
      <c r="B1033">
        <v>173.91999799999999</v>
      </c>
      <c r="C1033" t="b">
        <f t="shared" si="104"/>
        <v>0</v>
      </c>
      <c r="E1033" s="15">
        <v>44693</v>
      </c>
      <c r="F1033">
        <f t="shared" si="105"/>
        <v>148.13999899999999</v>
      </c>
      <c r="G1033">
        <v>1584.8599850000001</v>
      </c>
      <c r="I1033" s="13">
        <f t="shared" si="106"/>
        <v>-4.4011407407848147E-2</v>
      </c>
      <c r="J1033" s="13">
        <f t="shared" si="107"/>
        <v>-4.1158776557016497E-3</v>
      </c>
      <c r="L1033" s="15">
        <v>44693</v>
      </c>
      <c r="M1033">
        <f t="shared" si="108"/>
        <v>176.94148037336834</v>
      </c>
      <c r="N1033">
        <f t="shared" si="109"/>
        <v>139.63400948331744</v>
      </c>
    </row>
    <row r="1034" spans="1:14" x14ac:dyDescent="0.45">
      <c r="A1034" s="15">
        <v>44686</v>
      </c>
      <c r="B1034">
        <v>173.179993</v>
      </c>
      <c r="C1034" t="b">
        <f t="shared" si="104"/>
        <v>0</v>
      </c>
      <c r="E1034" s="15">
        <v>44697</v>
      </c>
      <c r="F1034">
        <f t="shared" si="105"/>
        <v>149.58000200000001</v>
      </c>
      <c r="G1034">
        <v>1609.7700199999999</v>
      </c>
      <c r="I1034" s="13">
        <f t="shared" si="106"/>
        <v>9.7205549461358842E-3</v>
      </c>
      <c r="J1034" s="13">
        <f t="shared" si="107"/>
        <v>1.5717498855269518E-2</v>
      </c>
      <c r="L1034" s="15">
        <v>44697</v>
      </c>
      <c r="M1034">
        <f t="shared" si="108"/>
        <v>178.66144975558828</v>
      </c>
      <c r="N1034">
        <f t="shared" si="109"/>
        <v>141.82870686752818</v>
      </c>
    </row>
    <row r="1035" spans="1:14" x14ac:dyDescent="0.45">
      <c r="A1035" s="15">
        <v>44687</v>
      </c>
      <c r="B1035">
        <v>164.61999499999999</v>
      </c>
      <c r="C1035" t="b">
        <f t="shared" si="104"/>
        <v>0</v>
      </c>
      <c r="E1035" s="15">
        <v>44698</v>
      </c>
      <c r="F1035">
        <f t="shared" si="105"/>
        <v>152.66000399999999</v>
      </c>
      <c r="G1035">
        <v>1637.6099850000001</v>
      </c>
      <c r="I1035" s="13">
        <f t="shared" si="106"/>
        <v>2.0591001195467085E-2</v>
      </c>
      <c r="J1035" s="13">
        <f t="shared" si="107"/>
        <v>1.7294374136747948E-2</v>
      </c>
      <c r="L1035" s="15">
        <v>44698</v>
      </c>
      <c r="M1035">
        <f t="shared" si="108"/>
        <v>182.34026788108949</v>
      </c>
      <c r="N1035">
        <f t="shared" si="109"/>
        <v>144.28154558742636</v>
      </c>
    </row>
    <row r="1036" spans="1:14" x14ac:dyDescent="0.45">
      <c r="A1036" s="15">
        <v>44690</v>
      </c>
      <c r="B1036">
        <v>153.679993</v>
      </c>
      <c r="C1036" t="b">
        <f t="shared" si="104"/>
        <v>0</v>
      </c>
      <c r="E1036" s="15">
        <v>44699</v>
      </c>
      <c r="F1036">
        <f t="shared" si="105"/>
        <v>156.779999</v>
      </c>
      <c r="G1036">
        <v>1628.51001</v>
      </c>
      <c r="I1036" s="13">
        <f t="shared" si="106"/>
        <v>2.6988044622349161E-2</v>
      </c>
      <c r="J1036" s="13">
        <f t="shared" si="107"/>
        <v>-5.5568634066431866E-3</v>
      </c>
      <c r="L1036" s="15">
        <v>44699</v>
      </c>
      <c r="M1036">
        <f t="shared" si="108"/>
        <v>187.26127516711543</v>
      </c>
      <c r="N1036">
        <f t="shared" si="109"/>
        <v>143.47979274649768</v>
      </c>
    </row>
    <row r="1037" spans="1:14" x14ac:dyDescent="0.45">
      <c r="A1037" s="15">
        <v>44691</v>
      </c>
      <c r="B1037">
        <v>151.699997</v>
      </c>
      <c r="C1037" t="b">
        <f t="shared" si="104"/>
        <v>0</v>
      </c>
      <c r="E1037" s="15">
        <v>44700</v>
      </c>
      <c r="F1037">
        <f t="shared" si="105"/>
        <v>157.36000100000001</v>
      </c>
      <c r="G1037">
        <v>1609.0699460000001</v>
      </c>
      <c r="I1037" s="13">
        <f t="shared" si="106"/>
        <v>3.6994642409713396E-3</v>
      </c>
      <c r="J1037" s="13">
        <f t="shared" si="107"/>
        <v>-1.193733159798005E-2</v>
      </c>
      <c r="L1037" s="15">
        <v>44700</v>
      </c>
      <c r="M1037">
        <f t="shared" si="108"/>
        <v>187.95404155831486</v>
      </c>
      <c r="N1037">
        <f t="shared" si="109"/>
        <v>141.7670268828733</v>
      </c>
    </row>
    <row r="1038" spans="1:14" x14ac:dyDescent="0.45">
      <c r="A1038" s="15">
        <v>44692</v>
      </c>
      <c r="B1038">
        <v>154.96000699999999</v>
      </c>
      <c r="C1038" t="b">
        <f t="shared" si="104"/>
        <v>0</v>
      </c>
      <c r="E1038" s="15">
        <v>44701</v>
      </c>
      <c r="F1038">
        <f t="shared" si="105"/>
        <v>156.679993</v>
      </c>
      <c r="G1038">
        <v>1653.959961</v>
      </c>
      <c r="I1038" s="13">
        <f t="shared" si="106"/>
        <v>-4.3213522857057374E-3</v>
      </c>
      <c r="J1038" s="13">
        <f t="shared" si="107"/>
        <v>2.7898112889121141E-2</v>
      </c>
      <c r="L1038" s="15">
        <v>44701</v>
      </c>
      <c r="M1038">
        <f t="shared" si="108"/>
        <v>187.14182593121919</v>
      </c>
      <c r="N1038">
        <f t="shared" si="109"/>
        <v>145.72205940280676</v>
      </c>
    </row>
    <row r="1039" spans="1:14" x14ac:dyDescent="0.45">
      <c r="A1039" s="15">
        <v>44693</v>
      </c>
      <c r="B1039">
        <v>148.13999899999999</v>
      </c>
      <c r="C1039" t="b">
        <f t="shared" si="104"/>
        <v>0</v>
      </c>
      <c r="E1039" s="15">
        <v>44704</v>
      </c>
      <c r="F1039">
        <f t="shared" si="105"/>
        <v>164.08000200000001</v>
      </c>
      <c r="G1039">
        <v>1648.73999</v>
      </c>
      <c r="I1039" s="13">
        <f t="shared" si="106"/>
        <v>4.7230082528788575E-2</v>
      </c>
      <c r="J1039" s="13">
        <f t="shared" si="107"/>
        <v>-3.1560443560217921E-3</v>
      </c>
      <c r="L1039" s="15">
        <v>44704</v>
      </c>
      <c r="M1039">
        <f t="shared" si="108"/>
        <v>195.98054981453885</v>
      </c>
      <c r="N1039">
        <f t="shared" si="109"/>
        <v>145.26215411968067</v>
      </c>
    </row>
    <row r="1040" spans="1:14" x14ac:dyDescent="0.45">
      <c r="A1040" s="15">
        <v>44697</v>
      </c>
      <c r="B1040">
        <v>149.58000200000001</v>
      </c>
      <c r="C1040" t="b">
        <f t="shared" si="104"/>
        <v>0</v>
      </c>
      <c r="E1040" s="15">
        <v>44705</v>
      </c>
      <c r="F1040">
        <f t="shared" si="105"/>
        <v>170.16000399999999</v>
      </c>
      <c r="G1040">
        <v>1632.959961</v>
      </c>
      <c r="I1040" s="13">
        <f t="shared" si="106"/>
        <v>3.7055106813077554E-2</v>
      </c>
      <c r="J1040" s="13">
        <f t="shared" si="107"/>
        <v>-9.5709627325774038E-3</v>
      </c>
      <c r="L1040" s="15">
        <v>44705</v>
      </c>
      <c r="M1040">
        <f t="shared" si="108"/>
        <v>203.24263002120225</v>
      </c>
      <c r="N1040">
        <f t="shared" si="109"/>
        <v>143.8718554561473</v>
      </c>
    </row>
    <row r="1041" spans="1:14" x14ac:dyDescent="0.45">
      <c r="A1041" s="15">
        <v>44698</v>
      </c>
      <c r="B1041">
        <v>152.66000399999999</v>
      </c>
      <c r="C1041" t="b">
        <f t="shared" si="104"/>
        <v>0</v>
      </c>
      <c r="E1041" s="15">
        <v>44706</v>
      </c>
      <c r="F1041">
        <f t="shared" si="105"/>
        <v>168.05999800000001</v>
      </c>
      <c r="G1041">
        <v>1636.280029</v>
      </c>
      <c r="I1041" s="13">
        <f t="shared" si="106"/>
        <v>-1.2341360781820243E-2</v>
      </c>
      <c r="J1041" s="13">
        <f t="shared" si="107"/>
        <v>2.0331594645877082E-3</v>
      </c>
      <c r="L1041" s="15">
        <v>44706</v>
      </c>
      <c r="M1041">
        <f t="shared" si="108"/>
        <v>200.73433939786457</v>
      </c>
      <c r="N1041">
        <f t="shared" si="109"/>
        <v>144.16436988075577</v>
      </c>
    </row>
    <row r="1042" spans="1:14" x14ac:dyDescent="0.45">
      <c r="A1042" s="15">
        <v>44699</v>
      </c>
      <c r="B1042">
        <v>156.779999</v>
      </c>
      <c r="C1042" t="b">
        <f t="shared" si="104"/>
        <v>0</v>
      </c>
      <c r="E1042" s="15">
        <v>44711</v>
      </c>
      <c r="F1042">
        <f t="shared" si="105"/>
        <v>179.63999899999999</v>
      </c>
      <c r="G1042">
        <v>1702.5500489999999</v>
      </c>
      <c r="I1042" s="13">
        <f t="shared" si="106"/>
        <v>6.8903969640651708E-2</v>
      </c>
      <c r="J1042" s="13">
        <f t="shared" si="107"/>
        <v>4.0500414859002021E-2</v>
      </c>
      <c r="L1042" s="15">
        <v>44711</v>
      </c>
      <c r="M1042">
        <f t="shared" si="108"/>
        <v>214.56573222557131</v>
      </c>
      <c r="N1042">
        <f t="shared" si="109"/>
        <v>150.00308666881298</v>
      </c>
    </row>
    <row r="1043" spans="1:14" x14ac:dyDescent="0.45">
      <c r="A1043" s="15">
        <v>44700</v>
      </c>
      <c r="B1043">
        <v>157.36000100000001</v>
      </c>
      <c r="C1043" t="e">
        <f>#REF!=A1043</f>
        <v>#REF!</v>
      </c>
      <c r="E1043" s="15">
        <v>44712</v>
      </c>
      <c r="F1043">
        <f t="shared" si="105"/>
        <v>177.05999800000001</v>
      </c>
      <c r="G1043">
        <v>1682.1899410000001</v>
      </c>
      <c r="I1043" s="13">
        <f t="shared" si="106"/>
        <v>-1.4362063094867761E-2</v>
      </c>
      <c r="J1043" s="13">
        <f t="shared" si="107"/>
        <v>-1.1958595879139278E-2</v>
      </c>
      <c r="L1043" s="15">
        <v>44712</v>
      </c>
      <c r="M1043">
        <f t="shared" si="108"/>
        <v>211.48412564135114</v>
      </c>
      <c r="N1043">
        <f t="shared" si="109"/>
        <v>148.20926037471713</v>
      </c>
    </row>
    <row r="1044" spans="1:14" x14ac:dyDescent="0.45">
      <c r="A1044" s="15">
        <v>44701</v>
      </c>
      <c r="B1044">
        <v>156.679993</v>
      </c>
      <c r="C1044" t="b">
        <f t="shared" ref="C1044:C1051" si="110">E1034=A1044</f>
        <v>0</v>
      </c>
      <c r="E1044" s="15">
        <v>44713</v>
      </c>
      <c r="F1044">
        <f t="shared" si="105"/>
        <v>176.179993</v>
      </c>
      <c r="G1044">
        <v>1664.709961</v>
      </c>
      <c r="I1044" s="13">
        <f t="shared" si="106"/>
        <v>-4.9700949392307292E-3</v>
      </c>
      <c r="J1044" s="13">
        <f t="shared" si="107"/>
        <v>-1.0391204687390299E-2</v>
      </c>
      <c r="L1044" s="15">
        <v>44713</v>
      </c>
      <c r="M1044">
        <f t="shared" si="108"/>
        <v>210.43302945877343</v>
      </c>
      <c r="N1044">
        <f t="shared" si="109"/>
        <v>146.66918761359673</v>
      </c>
    </row>
    <row r="1045" spans="1:14" x14ac:dyDescent="0.45">
      <c r="A1045" s="15">
        <v>44704</v>
      </c>
      <c r="B1045">
        <v>164.08000200000001</v>
      </c>
      <c r="C1045" t="b">
        <f t="shared" si="110"/>
        <v>0</v>
      </c>
      <c r="E1045" s="15">
        <v>44714</v>
      </c>
      <c r="F1045">
        <f t="shared" si="105"/>
        <v>175.38000500000001</v>
      </c>
      <c r="G1045">
        <v>1669.040039</v>
      </c>
      <c r="I1045" s="13">
        <f t="shared" si="106"/>
        <v>-4.5407426029355769E-3</v>
      </c>
      <c r="J1045" s="13">
        <f t="shared" si="107"/>
        <v>2.6011005529149589E-3</v>
      </c>
      <c r="L1045" s="15">
        <v>44714</v>
      </c>
      <c r="M1045">
        <f t="shared" si="108"/>
        <v>209.47750723684518</v>
      </c>
      <c r="N1045">
        <f t="shared" si="109"/>
        <v>147.05068891859403</v>
      </c>
    </row>
    <row r="1046" spans="1:14" x14ac:dyDescent="0.45">
      <c r="A1046" s="15">
        <v>44705</v>
      </c>
      <c r="B1046">
        <v>170.16000399999999</v>
      </c>
      <c r="C1046" t="b">
        <f t="shared" si="110"/>
        <v>0</v>
      </c>
      <c r="E1046" s="15">
        <v>44715</v>
      </c>
      <c r="F1046">
        <f t="shared" si="105"/>
        <v>174.5</v>
      </c>
      <c r="G1046">
        <v>1676.48999</v>
      </c>
      <c r="I1046" s="13">
        <f t="shared" si="106"/>
        <v>-5.0177042702217456E-3</v>
      </c>
      <c r="J1046" s="13">
        <f t="shared" si="107"/>
        <v>4.4636143087757318E-3</v>
      </c>
      <c r="L1046" s="15">
        <v>44715</v>
      </c>
      <c r="M1046">
        <f t="shared" si="108"/>
        <v>208.42641105426745</v>
      </c>
      <c r="N1046">
        <f t="shared" si="109"/>
        <v>147.7070664777664</v>
      </c>
    </row>
    <row r="1047" spans="1:14" x14ac:dyDescent="0.45">
      <c r="A1047" s="15">
        <v>44706</v>
      </c>
      <c r="B1047">
        <v>168.05999800000001</v>
      </c>
      <c r="C1047" t="b">
        <f t="shared" si="110"/>
        <v>0</v>
      </c>
      <c r="E1047" s="15">
        <v>44719</v>
      </c>
      <c r="F1047">
        <f t="shared" si="105"/>
        <v>181.740005</v>
      </c>
      <c r="G1047">
        <v>1697.8199460000001</v>
      </c>
      <c r="I1047" s="13">
        <f t="shared" si="106"/>
        <v>4.1490000000000027E-2</v>
      </c>
      <c r="J1047" s="13">
        <f t="shared" si="107"/>
        <v>1.2722984406247528E-2</v>
      </c>
      <c r="L1047" s="15">
        <v>44719</v>
      </c>
      <c r="M1047">
        <f t="shared" si="108"/>
        <v>217.07402284890901</v>
      </c>
      <c r="N1047">
        <f t="shared" si="109"/>
        <v>149.58634118125559</v>
      </c>
    </row>
    <row r="1048" spans="1:14" x14ac:dyDescent="0.45">
      <c r="A1048" s="15">
        <v>44711</v>
      </c>
      <c r="B1048">
        <v>179.63999899999999</v>
      </c>
      <c r="C1048" t="b">
        <f t="shared" si="110"/>
        <v>0</v>
      </c>
      <c r="E1048" s="15">
        <v>44720</v>
      </c>
      <c r="F1048">
        <f t="shared" si="105"/>
        <v>182.63999899999999</v>
      </c>
      <c r="G1048">
        <v>1682.4300539999999</v>
      </c>
      <c r="I1048" s="13">
        <f t="shared" si="106"/>
        <v>4.9520962652114253E-3</v>
      </c>
      <c r="J1048" s="13">
        <f t="shared" si="107"/>
        <v>-9.0645018255665066E-3</v>
      </c>
      <c r="L1048" s="15">
        <v>44720</v>
      </c>
      <c r="M1048">
        <f t="shared" si="108"/>
        <v>218.1489943067335</v>
      </c>
      <c r="N1048">
        <f t="shared" si="109"/>
        <v>148.23041551853828</v>
      </c>
    </row>
    <row r="1049" spans="1:14" x14ac:dyDescent="0.45">
      <c r="A1049" s="15">
        <v>44712</v>
      </c>
      <c r="B1049">
        <v>177.05999800000001</v>
      </c>
      <c r="C1049" t="b">
        <f t="shared" si="110"/>
        <v>0</v>
      </c>
      <c r="E1049" s="15">
        <v>44721</v>
      </c>
      <c r="F1049">
        <f t="shared" si="105"/>
        <v>179.759995</v>
      </c>
      <c r="G1049">
        <v>1651.1400149999999</v>
      </c>
      <c r="I1049" s="13">
        <f t="shared" si="106"/>
        <v>-1.5768747348711809E-2</v>
      </c>
      <c r="J1049" s="13">
        <f t="shared" si="107"/>
        <v>-1.8598121761797759E-2</v>
      </c>
      <c r="L1049" s="15">
        <v>44721</v>
      </c>
      <c r="M1049">
        <f t="shared" si="108"/>
        <v>214.70905793113505</v>
      </c>
      <c r="N1049">
        <f t="shared" si="109"/>
        <v>145.47360820192262</v>
      </c>
    </row>
    <row r="1050" spans="1:14" x14ac:dyDescent="0.45">
      <c r="A1050" s="15">
        <v>44713</v>
      </c>
      <c r="B1050">
        <v>176.179993</v>
      </c>
      <c r="C1050" t="b">
        <f t="shared" si="110"/>
        <v>0</v>
      </c>
      <c r="E1050" s="15">
        <v>44722</v>
      </c>
      <c r="F1050">
        <f t="shared" si="105"/>
        <v>175.5</v>
      </c>
      <c r="G1050">
        <v>1619.1400149999999</v>
      </c>
      <c r="I1050" s="13">
        <f t="shared" si="106"/>
        <v>-2.3698237196769001E-2</v>
      </c>
      <c r="J1050" s="13">
        <f t="shared" si="107"/>
        <v>-1.9380549020247662E-2</v>
      </c>
      <c r="L1050" s="15">
        <v>44722</v>
      </c>
      <c r="M1050">
        <f t="shared" si="108"/>
        <v>209.62083174798821</v>
      </c>
      <c r="N1050">
        <f t="shared" si="109"/>
        <v>142.65424980701295</v>
      </c>
    </row>
    <row r="1051" spans="1:14" x14ac:dyDescent="0.45">
      <c r="A1051" s="15">
        <v>44714</v>
      </c>
      <c r="B1051">
        <v>175.38000500000001</v>
      </c>
      <c r="C1051" t="b">
        <f t="shared" si="110"/>
        <v>0</v>
      </c>
      <c r="E1051" s="15">
        <v>44725</v>
      </c>
      <c r="F1051">
        <f t="shared" si="105"/>
        <v>163.240005</v>
      </c>
      <c r="G1051">
        <v>1579.709961</v>
      </c>
      <c r="I1051" s="13">
        <f t="shared" si="106"/>
        <v>-6.9857521367521436E-2</v>
      </c>
      <c r="J1051" s="13">
        <f t="shared" si="107"/>
        <v>-2.4352467133609723E-2</v>
      </c>
      <c r="L1051" s="15">
        <v>44725</v>
      </c>
      <c r="M1051">
        <f t="shared" si="108"/>
        <v>194.97724001507549</v>
      </c>
      <c r="N1051">
        <f t="shared" si="109"/>
        <v>139.1802668771179</v>
      </c>
    </row>
    <row r="1052" spans="1:14" x14ac:dyDescent="0.45">
      <c r="A1052" s="15">
        <v>44715</v>
      </c>
      <c r="B1052">
        <v>174.5</v>
      </c>
      <c r="C1052" t="e">
        <f>#REF!=A1052</f>
        <v>#REF!</v>
      </c>
      <c r="E1052" s="15">
        <v>44726</v>
      </c>
      <c r="F1052">
        <f t="shared" si="105"/>
        <v>160.279999</v>
      </c>
      <c r="G1052">
        <v>1550.26001</v>
      </c>
      <c r="I1052" s="13">
        <f t="shared" si="106"/>
        <v>-1.8132846785933299E-2</v>
      </c>
      <c r="J1052" s="13">
        <f t="shared" si="107"/>
        <v>-1.8642631702693979E-2</v>
      </c>
      <c r="L1052" s="15">
        <v>44726</v>
      </c>
      <c r="M1052">
        <f t="shared" si="108"/>
        <v>191.441747595138</v>
      </c>
      <c r="N1052">
        <f t="shared" si="109"/>
        <v>136.58558042144514</v>
      </c>
    </row>
    <row r="1053" spans="1:14" x14ac:dyDescent="0.45">
      <c r="A1053" s="15">
        <v>44719</v>
      </c>
      <c r="B1053">
        <v>181.740005</v>
      </c>
      <c r="C1053" t="b">
        <f t="shared" ref="C1053:C1084" si="111">E1042=A1053</f>
        <v>0</v>
      </c>
      <c r="E1053" s="15">
        <v>44727</v>
      </c>
      <c r="F1053">
        <f t="shared" si="105"/>
        <v>162.11999499999999</v>
      </c>
      <c r="G1053">
        <v>1569.099976</v>
      </c>
      <c r="I1053" s="13">
        <f t="shared" si="106"/>
        <v>1.1479885272522194E-2</v>
      </c>
      <c r="J1053" s="13">
        <f t="shared" si="107"/>
        <v>1.2152778165257505E-2</v>
      </c>
      <c r="L1053" s="15">
        <v>44727</v>
      </c>
      <c r="M1053">
        <f t="shared" si="108"/>
        <v>193.63947689390133</v>
      </c>
      <c r="N1053">
        <f t="shared" si="109"/>
        <v>138.24547468087991</v>
      </c>
    </row>
    <row r="1054" spans="1:14" x14ac:dyDescent="0.45">
      <c r="A1054" s="15">
        <v>44720</v>
      </c>
      <c r="B1054">
        <v>182.63999899999999</v>
      </c>
      <c r="C1054" t="b">
        <f t="shared" si="111"/>
        <v>0</v>
      </c>
      <c r="E1054" s="15">
        <v>44728</v>
      </c>
      <c r="F1054">
        <f t="shared" si="105"/>
        <v>161.520004</v>
      </c>
      <c r="G1054">
        <v>1514.329956</v>
      </c>
      <c r="I1054" s="13">
        <f t="shared" si="106"/>
        <v>-3.700906849892216E-3</v>
      </c>
      <c r="J1054" s="13">
        <f t="shared" si="107"/>
        <v>-3.4905373040423737E-2</v>
      </c>
      <c r="L1054" s="15">
        <v>44728</v>
      </c>
      <c r="M1054">
        <f t="shared" si="108"/>
        <v>192.92283522745515</v>
      </c>
      <c r="N1054">
        <f t="shared" si="109"/>
        <v>133.41996481599335</v>
      </c>
    </row>
    <row r="1055" spans="1:14" x14ac:dyDescent="0.45">
      <c r="A1055" s="15">
        <v>44721</v>
      </c>
      <c r="B1055">
        <v>179.759995</v>
      </c>
      <c r="C1055" t="b">
        <f t="shared" si="111"/>
        <v>0</v>
      </c>
      <c r="E1055" s="15">
        <v>44729</v>
      </c>
      <c r="F1055">
        <f t="shared" si="105"/>
        <v>162.320007</v>
      </c>
      <c r="G1055">
        <v>1524.6999510000001</v>
      </c>
      <c r="I1055" s="13">
        <f t="shared" si="106"/>
        <v>4.9529654543594148E-3</v>
      </c>
      <c r="J1055" s="13">
        <f t="shared" si="107"/>
        <v>6.8479098355762602E-3</v>
      </c>
      <c r="L1055" s="15">
        <v>44729</v>
      </c>
      <c r="M1055">
        <f t="shared" si="108"/>
        <v>193.87837536569381</v>
      </c>
      <c r="N1055">
        <f t="shared" si="109"/>
        <v>134.33361270531904</v>
      </c>
    </row>
    <row r="1056" spans="1:14" x14ac:dyDescent="0.45">
      <c r="A1056" s="15">
        <v>44722</v>
      </c>
      <c r="B1056">
        <v>175.5</v>
      </c>
      <c r="C1056" t="b">
        <f t="shared" si="111"/>
        <v>0</v>
      </c>
      <c r="E1056" s="15">
        <v>44732</v>
      </c>
      <c r="F1056">
        <f t="shared" si="105"/>
        <v>171.60000600000001</v>
      </c>
      <c r="G1056">
        <v>1563.150024</v>
      </c>
      <c r="I1056" s="13">
        <f t="shared" si="106"/>
        <v>5.7171011580845921E-2</v>
      </c>
      <c r="J1056" s="13">
        <f t="shared" si="107"/>
        <v>2.5218124375738116E-2</v>
      </c>
      <c r="L1056" s="15">
        <v>44732</v>
      </c>
      <c r="M1056">
        <f t="shared" si="108"/>
        <v>204.9625982090015</v>
      </c>
      <c r="N1056">
        <f t="shared" si="109"/>
        <v>137.721254458364</v>
      </c>
    </row>
    <row r="1057" spans="1:14" x14ac:dyDescent="0.45">
      <c r="A1057" s="15">
        <v>44725</v>
      </c>
      <c r="B1057">
        <v>163.240005</v>
      </c>
      <c r="C1057" t="b">
        <f t="shared" si="111"/>
        <v>0</v>
      </c>
      <c r="E1057" s="15">
        <v>44733</v>
      </c>
      <c r="F1057">
        <f t="shared" si="105"/>
        <v>174.240005</v>
      </c>
      <c r="G1057">
        <v>1582.5</v>
      </c>
      <c r="I1057" s="13">
        <f t="shared" si="106"/>
        <v>1.5384609019186035E-2</v>
      </c>
      <c r="J1057" s="13">
        <f t="shared" si="107"/>
        <v>1.2378834854561482E-2</v>
      </c>
      <c r="L1057" s="15">
        <v>44733</v>
      </c>
      <c r="M1057">
        <f t="shared" si="108"/>
        <v>208.11586764600349</v>
      </c>
      <c r="N1057">
        <f t="shared" si="109"/>
        <v>139.42608312326712</v>
      </c>
    </row>
    <row r="1058" spans="1:14" x14ac:dyDescent="0.45">
      <c r="A1058" s="15">
        <v>44726</v>
      </c>
      <c r="B1058">
        <v>160.279999</v>
      </c>
      <c r="C1058" t="b">
        <f t="shared" si="111"/>
        <v>0</v>
      </c>
      <c r="E1058" s="15">
        <v>44734</v>
      </c>
      <c r="F1058">
        <f t="shared" si="105"/>
        <v>174.60000600000001</v>
      </c>
      <c r="G1058">
        <v>1565.410034</v>
      </c>
      <c r="I1058" s="13">
        <f t="shared" si="106"/>
        <v>2.0661213824002544E-3</v>
      </c>
      <c r="J1058" s="13">
        <f t="shared" si="107"/>
        <v>-1.0799346603475479E-2</v>
      </c>
      <c r="L1058" s="15">
        <v>44734</v>
      </c>
      <c r="M1058">
        <f t="shared" si="108"/>
        <v>208.54586029016369</v>
      </c>
      <c r="N1058">
        <f t="shared" si="109"/>
        <v>137.92037252605397</v>
      </c>
    </row>
    <row r="1059" spans="1:14" x14ac:dyDescent="0.45">
      <c r="A1059" s="15">
        <v>44727</v>
      </c>
      <c r="B1059">
        <v>162.11999499999999</v>
      </c>
      <c r="C1059" t="b">
        <f t="shared" si="111"/>
        <v>0</v>
      </c>
      <c r="E1059" s="15">
        <v>44735</v>
      </c>
      <c r="F1059">
        <f t="shared" si="105"/>
        <v>168.13999899999999</v>
      </c>
      <c r="G1059">
        <v>1554.959961</v>
      </c>
      <c r="I1059" s="13">
        <f t="shared" si="106"/>
        <v>-3.69988933448262E-2</v>
      </c>
      <c r="J1059" s="13">
        <f t="shared" si="107"/>
        <v>-6.6756139113900437E-3</v>
      </c>
      <c r="L1059" s="15">
        <v>44735</v>
      </c>
      <c r="M1059">
        <f t="shared" si="108"/>
        <v>200.8298942477829</v>
      </c>
      <c r="N1059">
        <f t="shared" si="109"/>
        <v>136.99966936855495</v>
      </c>
    </row>
    <row r="1060" spans="1:14" x14ac:dyDescent="0.45">
      <c r="A1060" s="15">
        <v>44728</v>
      </c>
      <c r="B1060">
        <v>161.520004</v>
      </c>
      <c r="C1060" t="b">
        <f t="shared" si="111"/>
        <v>0</v>
      </c>
      <c r="E1060" s="15">
        <v>44739</v>
      </c>
      <c r="F1060">
        <f t="shared" si="105"/>
        <v>168.08000200000001</v>
      </c>
      <c r="G1060">
        <v>1627.5699460000001</v>
      </c>
      <c r="I1060" s="13">
        <f t="shared" si="106"/>
        <v>-3.568276457524E-4</v>
      </c>
      <c r="J1060" s="13">
        <f t="shared" si="107"/>
        <v>4.6695726463146014E-2</v>
      </c>
      <c r="L1060" s="15">
        <v>44739</v>
      </c>
      <c r="M1060">
        <f t="shared" si="108"/>
        <v>200.75823258942177</v>
      </c>
      <c r="N1060">
        <f t="shared" si="109"/>
        <v>143.39696845493043</v>
      </c>
    </row>
    <row r="1061" spans="1:14" x14ac:dyDescent="0.45">
      <c r="A1061" s="15">
        <v>44729</v>
      </c>
      <c r="B1061">
        <v>162.320007</v>
      </c>
      <c r="C1061" t="b">
        <f t="shared" si="111"/>
        <v>0</v>
      </c>
      <c r="E1061" s="15">
        <v>44740</v>
      </c>
      <c r="F1061">
        <f t="shared" si="105"/>
        <v>167.38000500000001</v>
      </c>
      <c r="G1061">
        <v>1609.079956</v>
      </c>
      <c r="I1061" s="13">
        <f t="shared" si="106"/>
        <v>-4.1646655858559312E-3</v>
      </c>
      <c r="J1061" s="13">
        <f t="shared" si="107"/>
        <v>-1.1360488712292782E-2</v>
      </c>
      <c r="L1061" s="15">
        <v>44740</v>
      </c>
      <c r="M1061">
        <f t="shared" si="108"/>
        <v>199.92214168707935</v>
      </c>
      <c r="N1061">
        <f t="shared" si="109"/>
        <v>141.7679088134212</v>
      </c>
    </row>
    <row r="1062" spans="1:14" x14ac:dyDescent="0.45">
      <c r="A1062" s="15">
        <v>44732</v>
      </c>
      <c r="B1062">
        <v>171.60000600000001</v>
      </c>
      <c r="C1062" t="b">
        <f t="shared" si="111"/>
        <v>0</v>
      </c>
      <c r="E1062" s="15">
        <v>44741</v>
      </c>
      <c r="F1062">
        <f t="shared" si="105"/>
        <v>158.63999899999999</v>
      </c>
      <c r="G1062">
        <v>1595.1400149999999</v>
      </c>
      <c r="I1062" s="13">
        <f t="shared" si="106"/>
        <v>-5.2216547609734043E-2</v>
      </c>
      <c r="J1062" s="13">
        <f t="shared" si="107"/>
        <v>-8.6632991406178084E-3</v>
      </c>
      <c r="L1062" s="15">
        <v>44741</v>
      </c>
      <c r="M1062">
        <f t="shared" si="108"/>
        <v>189.48289765743598</v>
      </c>
      <c r="N1062">
        <f t="shared" si="109"/>
        <v>140.53973101083071</v>
      </c>
    </row>
    <row r="1063" spans="1:14" x14ac:dyDescent="0.45">
      <c r="A1063" s="15">
        <v>44733</v>
      </c>
      <c r="B1063">
        <v>174.240005</v>
      </c>
      <c r="C1063" t="b">
        <f t="shared" si="111"/>
        <v>0</v>
      </c>
      <c r="E1063" s="15">
        <v>44742</v>
      </c>
      <c r="F1063">
        <f t="shared" si="105"/>
        <v>149.89999399999999</v>
      </c>
      <c r="G1063">
        <v>1574.670044</v>
      </c>
      <c r="I1063" s="13">
        <f t="shared" si="106"/>
        <v>-5.5093324855605919E-2</v>
      </c>
      <c r="J1063" s="13">
        <f t="shared" si="107"/>
        <v>-1.2832711114704187E-2</v>
      </c>
      <c r="L1063" s="15">
        <v>44742</v>
      </c>
      <c r="M1063">
        <f t="shared" si="108"/>
        <v>179.04365482221334</v>
      </c>
      <c r="N1063">
        <f t="shared" si="109"/>
        <v>138.7362252426305</v>
      </c>
    </row>
    <row r="1064" spans="1:14" x14ac:dyDescent="0.45">
      <c r="A1064" s="15">
        <v>44734</v>
      </c>
      <c r="B1064">
        <v>174.60000600000001</v>
      </c>
      <c r="C1064" t="b">
        <f t="shared" si="111"/>
        <v>0</v>
      </c>
      <c r="E1064" s="15">
        <v>44743</v>
      </c>
      <c r="F1064">
        <f t="shared" si="105"/>
        <v>153.979996</v>
      </c>
      <c r="G1064">
        <v>1600.579956</v>
      </c>
      <c r="I1064" s="13">
        <f t="shared" si="106"/>
        <v>2.721815986196785E-2</v>
      </c>
      <c r="J1064" s="13">
        <f t="shared" si="107"/>
        <v>1.6454184861600218E-2</v>
      </c>
      <c r="L1064" s="15">
        <v>44743</v>
      </c>
      <c r="M1064">
        <f t="shared" si="108"/>
        <v>183.91689364143534</v>
      </c>
      <c r="N1064">
        <f t="shared" si="109"/>
        <v>141.01901673977335</v>
      </c>
    </row>
    <row r="1065" spans="1:14" x14ac:dyDescent="0.45">
      <c r="A1065" s="15">
        <v>44735</v>
      </c>
      <c r="B1065">
        <v>168.13999899999999</v>
      </c>
      <c r="C1065" t="b">
        <f t="shared" si="111"/>
        <v>0</v>
      </c>
      <c r="E1065" s="15">
        <v>44746</v>
      </c>
      <c r="F1065">
        <f t="shared" si="105"/>
        <v>154.88000500000001</v>
      </c>
      <c r="G1065">
        <v>1599.3900149999999</v>
      </c>
      <c r="I1065" s="13">
        <f t="shared" si="106"/>
        <v>5.8449735250025725E-3</v>
      </c>
      <c r="J1065" s="13">
        <f t="shared" si="107"/>
        <v>-7.4344364712264355E-4</v>
      </c>
      <c r="L1065" s="15">
        <v>44746</v>
      </c>
      <c r="M1065">
        <f t="shared" si="108"/>
        <v>184.99188301557024</v>
      </c>
      <c r="N1065">
        <f t="shared" si="109"/>
        <v>140.91417704765468</v>
      </c>
    </row>
    <row r="1066" spans="1:14" x14ac:dyDescent="0.45">
      <c r="A1066" s="15">
        <v>44736</v>
      </c>
      <c r="B1066">
        <v>164.5</v>
      </c>
      <c r="C1066" t="b">
        <f t="shared" si="111"/>
        <v>0</v>
      </c>
      <c r="E1066" s="15">
        <v>44747</v>
      </c>
      <c r="F1066">
        <f t="shared" si="105"/>
        <v>156.979996</v>
      </c>
      <c r="G1066">
        <v>1596.030029</v>
      </c>
      <c r="I1066" s="13">
        <f t="shared" si="106"/>
        <v>1.35588257502961E-2</v>
      </c>
      <c r="J1066" s="13">
        <f t="shared" si="107"/>
        <v>-2.1007921573149568E-3</v>
      </c>
      <c r="L1066" s="15">
        <v>44747</v>
      </c>
      <c r="M1066">
        <f t="shared" si="108"/>
        <v>187.50015572259753</v>
      </c>
      <c r="N1066">
        <f t="shared" si="109"/>
        <v>140.61814564965846</v>
      </c>
    </row>
    <row r="1067" spans="1:14" x14ac:dyDescent="0.45">
      <c r="A1067" s="15">
        <v>44739</v>
      </c>
      <c r="B1067">
        <v>168.08000200000001</v>
      </c>
      <c r="C1067" t="b">
        <f t="shared" si="111"/>
        <v>0</v>
      </c>
      <c r="E1067" s="15">
        <v>44748</v>
      </c>
      <c r="F1067">
        <f t="shared" si="105"/>
        <v>159.83999600000001</v>
      </c>
      <c r="G1067">
        <v>1609.219971</v>
      </c>
      <c r="I1067" s="13">
        <f t="shared" si="106"/>
        <v>1.8218881850398327E-2</v>
      </c>
      <c r="J1067" s="13">
        <f t="shared" si="107"/>
        <v>8.2642191940862642E-3</v>
      </c>
      <c r="L1067" s="15">
        <v>44748</v>
      </c>
      <c r="M1067">
        <f t="shared" si="108"/>
        <v>190.91619890663881</v>
      </c>
      <c r="N1067">
        <f t="shared" si="109"/>
        <v>141.78024482797318</v>
      </c>
    </row>
    <row r="1068" spans="1:14" x14ac:dyDescent="0.45">
      <c r="A1068" s="15">
        <v>44740</v>
      </c>
      <c r="B1068">
        <v>167.38000500000001</v>
      </c>
      <c r="C1068" t="b">
        <f t="shared" si="111"/>
        <v>0</v>
      </c>
      <c r="E1068" s="15">
        <v>44749</v>
      </c>
      <c r="F1068">
        <f t="shared" si="105"/>
        <v>166.720001</v>
      </c>
      <c r="G1068">
        <v>1635.869995</v>
      </c>
      <c r="I1068" s="13">
        <f t="shared" si="106"/>
        <v>4.3043075401478337E-2</v>
      </c>
      <c r="J1068" s="13">
        <f t="shared" si="107"/>
        <v>1.6560833497137883E-2</v>
      </c>
      <c r="L1068" s="15">
        <v>44749</v>
      </c>
      <c r="M1068">
        <f t="shared" si="108"/>
        <v>199.1338192515409</v>
      </c>
      <c r="N1068">
        <f t="shared" si="109"/>
        <v>144.12824385575269</v>
      </c>
    </row>
    <row r="1069" spans="1:14" x14ac:dyDescent="0.45">
      <c r="A1069" s="15">
        <v>44741</v>
      </c>
      <c r="B1069">
        <v>158.63999899999999</v>
      </c>
      <c r="C1069" t="b">
        <f t="shared" si="111"/>
        <v>0</v>
      </c>
      <c r="E1069" s="15">
        <v>44750</v>
      </c>
      <c r="F1069">
        <f t="shared" si="105"/>
        <v>170.86000100000001</v>
      </c>
      <c r="G1069">
        <v>1653.349976</v>
      </c>
      <c r="I1069" s="13">
        <f t="shared" si="106"/>
        <v>2.4832053593857761E-2</v>
      </c>
      <c r="J1069" s="13">
        <f t="shared" si="107"/>
        <v>1.0685434083042677E-2</v>
      </c>
      <c r="L1069" s="15">
        <v>44750</v>
      </c>
      <c r="M1069">
        <f t="shared" si="108"/>
        <v>204.07872092354475</v>
      </c>
      <c r="N1069">
        <f t="shared" si="109"/>
        <v>145.66831670497803</v>
      </c>
    </row>
    <row r="1070" spans="1:14" x14ac:dyDescent="0.45">
      <c r="A1070" s="15">
        <v>44742</v>
      </c>
      <c r="B1070">
        <v>149.89999399999999</v>
      </c>
      <c r="C1070" t="b">
        <f t="shared" si="111"/>
        <v>0</v>
      </c>
      <c r="E1070" s="15">
        <v>44753</v>
      </c>
      <c r="F1070">
        <f t="shared" si="105"/>
        <v>171.89999399999999</v>
      </c>
      <c r="G1070">
        <v>1650.880005</v>
      </c>
      <c r="I1070" s="13">
        <f t="shared" si="106"/>
        <v>6.0868137300313929E-3</v>
      </c>
      <c r="J1070" s="13">
        <f t="shared" si="107"/>
        <v>-1.493919034598834E-3</v>
      </c>
      <c r="L1070" s="15">
        <v>44753</v>
      </c>
      <c r="M1070">
        <f t="shared" si="108"/>
        <v>205.32091008406942</v>
      </c>
      <c r="N1070">
        <f t="shared" si="109"/>
        <v>145.4507000339145</v>
      </c>
    </row>
    <row r="1071" spans="1:14" x14ac:dyDescent="0.45">
      <c r="A1071" s="15">
        <v>44743</v>
      </c>
      <c r="B1071">
        <v>153.979996</v>
      </c>
      <c r="C1071" t="b">
        <f t="shared" si="111"/>
        <v>0</v>
      </c>
      <c r="E1071" s="15">
        <v>44754</v>
      </c>
      <c r="F1071">
        <f t="shared" si="105"/>
        <v>175.61999499999999</v>
      </c>
      <c r="G1071">
        <v>1650.8599850000001</v>
      </c>
      <c r="I1071" s="13">
        <f t="shared" si="106"/>
        <v>2.1640495228871348E-2</v>
      </c>
      <c r="J1071" s="13">
        <f t="shared" si="107"/>
        <v>-1.2126865634898287E-5</v>
      </c>
      <c r="L1071" s="15">
        <v>44754</v>
      </c>
      <c r="M1071">
        <f t="shared" si="108"/>
        <v>209.76415625913125</v>
      </c>
      <c r="N1071">
        <f t="shared" si="109"/>
        <v>145.44893617281869</v>
      </c>
    </row>
    <row r="1072" spans="1:14" x14ac:dyDescent="0.45">
      <c r="A1072" s="15">
        <v>44746</v>
      </c>
      <c r="B1072">
        <v>154.88000500000001</v>
      </c>
      <c r="C1072" t="b">
        <f t="shared" si="111"/>
        <v>0</v>
      </c>
      <c r="E1072" s="15">
        <v>44755</v>
      </c>
      <c r="F1072">
        <f t="shared" si="105"/>
        <v>172</v>
      </c>
      <c r="G1072">
        <v>1643.8900149999999</v>
      </c>
      <c r="I1072" s="13">
        <f t="shared" si="106"/>
        <v>-2.0612658598469835E-2</v>
      </c>
      <c r="J1072" s="13">
        <f t="shared" si="107"/>
        <v>-4.2220237108722136E-3</v>
      </c>
      <c r="L1072" s="15">
        <v>44755</v>
      </c>
      <c r="M1072">
        <f t="shared" si="108"/>
        <v>205.44035931996569</v>
      </c>
      <c r="N1072">
        <f t="shared" si="109"/>
        <v>144.8348473155759</v>
      </c>
    </row>
    <row r="1073" spans="1:14" x14ac:dyDescent="0.45">
      <c r="A1073" s="15">
        <v>44747</v>
      </c>
      <c r="B1073">
        <v>156.979996</v>
      </c>
      <c r="C1073" t="b">
        <f t="shared" si="111"/>
        <v>0</v>
      </c>
      <c r="E1073" s="15">
        <v>44756</v>
      </c>
      <c r="F1073">
        <f t="shared" si="105"/>
        <v>167.199997</v>
      </c>
      <c r="G1073">
        <v>1622.459961</v>
      </c>
      <c r="I1073" s="13">
        <f t="shared" si="106"/>
        <v>-2.7906994186046585E-2</v>
      </c>
      <c r="J1073" s="13">
        <f t="shared" si="107"/>
        <v>-1.3036184783931537E-2</v>
      </c>
      <c r="L1073" s="15">
        <v>44756</v>
      </c>
      <c r="M1073">
        <f t="shared" si="108"/>
        <v>199.70713640684409</v>
      </c>
      <c r="N1073">
        <f t="shared" si="109"/>
        <v>142.94675348281754</v>
      </c>
    </row>
    <row r="1074" spans="1:14" x14ac:dyDescent="0.45">
      <c r="A1074" s="15">
        <v>44748</v>
      </c>
      <c r="B1074">
        <v>159.83999600000001</v>
      </c>
      <c r="C1074" t="b">
        <f t="shared" si="111"/>
        <v>0</v>
      </c>
      <c r="E1074" s="15">
        <v>44757</v>
      </c>
      <c r="F1074">
        <f t="shared" si="105"/>
        <v>161.759995</v>
      </c>
      <c r="G1074">
        <v>1647.3199460000001</v>
      </c>
      <c r="I1074" s="13">
        <f t="shared" si="106"/>
        <v>-3.2535897712964612E-2</v>
      </c>
      <c r="J1074" s="13">
        <f t="shared" si="107"/>
        <v>1.5322402769605281E-2</v>
      </c>
      <c r="L1074" s="15">
        <v>44757</v>
      </c>
      <c r="M1074">
        <f t="shared" si="108"/>
        <v>193.20948544416194</v>
      </c>
      <c r="N1074">
        <f t="shared" si="109"/>
        <v>145.13704121428876</v>
      </c>
    </row>
    <row r="1075" spans="1:14" x14ac:dyDescent="0.45">
      <c r="A1075" s="15">
        <v>44749</v>
      </c>
      <c r="B1075">
        <v>166.720001</v>
      </c>
      <c r="C1075" t="b">
        <f t="shared" si="111"/>
        <v>0</v>
      </c>
      <c r="E1075" s="15">
        <v>44760</v>
      </c>
      <c r="F1075">
        <f t="shared" si="105"/>
        <v>166.61999499999999</v>
      </c>
      <c r="G1075">
        <v>1680.540039</v>
      </c>
      <c r="I1075" s="13">
        <f t="shared" si="106"/>
        <v>3.0044511314432087E-2</v>
      </c>
      <c r="J1075" s="13">
        <f t="shared" si="107"/>
        <v>2.0166145065301011E-2</v>
      </c>
      <c r="L1075" s="15">
        <v>44760</v>
      </c>
      <c r="M1075">
        <f t="shared" si="108"/>
        <v>199.01437001564466</v>
      </c>
      <c r="N1075">
        <f t="shared" si="109"/>
        <v>148.06389584176466</v>
      </c>
    </row>
    <row r="1076" spans="1:14" x14ac:dyDescent="0.45">
      <c r="A1076" s="15">
        <v>44750</v>
      </c>
      <c r="B1076">
        <v>170.86000100000001</v>
      </c>
      <c r="C1076" t="b">
        <f t="shared" si="111"/>
        <v>0</v>
      </c>
      <c r="E1076" s="15">
        <v>44761</v>
      </c>
      <c r="F1076">
        <f t="shared" si="105"/>
        <v>166.03999300000001</v>
      </c>
      <c r="G1076">
        <v>1685.0699460000001</v>
      </c>
      <c r="I1076" s="13">
        <f t="shared" si="106"/>
        <v>-3.480986780728057E-3</v>
      </c>
      <c r="J1076" s="13">
        <f t="shared" si="107"/>
        <v>2.6955067388312326E-3</v>
      </c>
      <c r="L1076" s="15">
        <v>44761</v>
      </c>
      <c r="M1076">
        <f t="shared" si="108"/>
        <v>198.32160362444529</v>
      </c>
      <c r="N1076">
        <f t="shared" si="109"/>
        <v>148.46300307078374</v>
      </c>
    </row>
    <row r="1077" spans="1:14" x14ac:dyDescent="0.45">
      <c r="A1077" s="15">
        <v>44753</v>
      </c>
      <c r="B1077">
        <v>171.89999399999999</v>
      </c>
      <c r="C1077" t="b">
        <f t="shared" si="111"/>
        <v>0</v>
      </c>
      <c r="E1077" s="15">
        <v>44762</v>
      </c>
      <c r="F1077">
        <f t="shared" si="105"/>
        <v>170.60000600000001</v>
      </c>
      <c r="G1077">
        <v>1683.869995</v>
      </c>
      <c r="I1077" s="13">
        <f t="shared" si="106"/>
        <v>2.7463341316811496E-2</v>
      </c>
      <c r="J1077" s="13">
        <f t="shared" si="107"/>
        <v>-7.1210753170725116E-4</v>
      </c>
      <c r="L1077" s="15">
        <v>44762</v>
      </c>
      <c r="M1077">
        <f t="shared" si="108"/>
        <v>203.76817751528083</v>
      </c>
      <c r="N1077">
        <f t="shared" si="109"/>
        <v>148.35728144811716</v>
      </c>
    </row>
    <row r="1078" spans="1:14" x14ac:dyDescent="0.45">
      <c r="A1078" s="15">
        <v>44754</v>
      </c>
      <c r="B1078">
        <v>175.61999499999999</v>
      </c>
      <c r="C1078" t="b">
        <f t="shared" si="111"/>
        <v>0</v>
      </c>
      <c r="E1078" s="15">
        <v>44763</v>
      </c>
      <c r="F1078">
        <f t="shared" si="105"/>
        <v>167.759995</v>
      </c>
      <c r="G1078">
        <v>1697.51001</v>
      </c>
      <c r="I1078" s="13">
        <f t="shared" si="106"/>
        <v>-1.6647191677121032E-2</v>
      </c>
      <c r="J1078" s="13">
        <f t="shared" si="107"/>
        <v>8.1003967292616608E-3</v>
      </c>
      <c r="L1078" s="15">
        <v>44763</v>
      </c>
      <c r="M1078">
        <f t="shared" si="108"/>
        <v>200.37600960648632</v>
      </c>
      <c r="N1078">
        <f t="shared" si="109"/>
        <v>149.55903428552165</v>
      </c>
    </row>
    <row r="1079" spans="1:14" x14ac:dyDescent="0.45">
      <c r="A1079" s="15">
        <v>44755</v>
      </c>
      <c r="B1079">
        <v>172</v>
      </c>
      <c r="C1079" t="b">
        <f t="shared" si="111"/>
        <v>0</v>
      </c>
      <c r="E1079" s="15">
        <v>44764</v>
      </c>
      <c r="F1079">
        <f t="shared" si="105"/>
        <v>174.96000699999999</v>
      </c>
      <c r="G1079">
        <v>1716.829956</v>
      </c>
      <c r="I1079" s="13">
        <f t="shared" si="106"/>
        <v>4.2918527745545054E-2</v>
      </c>
      <c r="J1079" s="13">
        <f t="shared" si="107"/>
        <v>1.1381344372749957E-2</v>
      </c>
      <c r="L1079" s="15">
        <v>44764</v>
      </c>
      <c r="M1079">
        <f t="shared" si="108"/>
        <v>208.97585293432391</v>
      </c>
      <c r="N1079">
        <f t="shared" si="109"/>
        <v>151.26121715878108</v>
      </c>
    </row>
    <row r="1080" spans="1:14" x14ac:dyDescent="0.45">
      <c r="A1080" s="15">
        <v>44756</v>
      </c>
      <c r="B1080">
        <v>167.199997</v>
      </c>
      <c r="C1080" t="b">
        <f t="shared" si="111"/>
        <v>0</v>
      </c>
      <c r="E1080" s="15">
        <v>44767</v>
      </c>
      <c r="F1080">
        <f t="shared" si="105"/>
        <v>170.39999399999999</v>
      </c>
      <c r="G1080">
        <v>1693.2299800000001</v>
      </c>
      <c r="I1080" s="13">
        <f t="shared" si="106"/>
        <v>-2.6063173397106731E-2</v>
      </c>
      <c r="J1080" s="13">
        <f t="shared" si="107"/>
        <v>-1.3746251291528622E-2</v>
      </c>
      <c r="L1080" s="15">
        <v>44767</v>
      </c>
      <c r="M1080">
        <f t="shared" si="108"/>
        <v>203.52927904348834</v>
      </c>
      <c r="N1080">
        <f t="shared" si="109"/>
        <v>149.18194245705399</v>
      </c>
    </row>
    <row r="1081" spans="1:14" x14ac:dyDescent="0.45">
      <c r="A1081" s="15">
        <v>44757</v>
      </c>
      <c r="B1081">
        <v>161.759995</v>
      </c>
      <c r="C1081" t="b">
        <f t="shared" si="111"/>
        <v>0</v>
      </c>
      <c r="E1081" s="15">
        <v>44768</v>
      </c>
      <c r="F1081">
        <f t="shared" si="105"/>
        <v>161.300003</v>
      </c>
      <c r="G1081">
        <v>1698.579956</v>
      </c>
      <c r="I1081" s="13">
        <f t="shared" si="106"/>
        <v>-5.3403704932055263E-2</v>
      </c>
      <c r="J1081" s="13">
        <f t="shared" si="107"/>
        <v>3.1596274949017289E-3</v>
      </c>
      <c r="L1081" s="15">
        <v>44768</v>
      </c>
      <c r="M1081">
        <f t="shared" si="108"/>
        <v>192.66006148041595</v>
      </c>
      <c r="N1081">
        <f t="shared" si="109"/>
        <v>149.65330182418415</v>
      </c>
    </row>
    <row r="1082" spans="1:14" x14ac:dyDescent="0.45">
      <c r="A1082" s="15">
        <v>44760</v>
      </c>
      <c r="B1082">
        <v>166.61999499999999</v>
      </c>
      <c r="C1082" t="b">
        <f t="shared" si="111"/>
        <v>0</v>
      </c>
      <c r="E1082" s="15">
        <v>44769</v>
      </c>
      <c r="F1082">
        <f t="shared" si="105"/>
        <v>161.03999300000001</v>
      </c>
      <c r="G1082">
        <v>1694.130005</v>
      </c>
      <c r="I1082" s="13">
        <f t="shared" si="106"/>
        <v>-1.6119652521022765E-3</v>
      </c>
      <c r="J1082" s="13">
        <f t="shared" si="107"/>
        <v>-2.6198066121534413E-3</v>
      </c>
      <c r="L1082" s="15">
        <v>44769</v>
      </c>
      <c r="M1082">
        <f t="shared" si="108"/>
        <v>192.34950015584164</v>
      </c>
      <c r="N1082">
        <f t="shared" si="109"/>
        <v>149.26123911453456</v>
      </c>
    </row>
    <row r="1083" spans="1:14" x14ac:dyDescent="0.45">
      <c r="A1083" s="15">
        <v>44761</v>
      </c>
      <c r="B1083">
        <v>166.03999300000001</v>
      </c>
      <c r="C1083" t="b">
        <f t="shared" si="111"/>
        <v>0</v>
      </c>
      <c r="E1083" s="15">
        <v>44770</v>
      </c>
      <c r="F1083">
        <f t="shared" si="105"/>
        <v>186.55999800000001</v>
      </c>
      <c r="G1083">
        <v>1743.4799800000001</v>
      </c>
      <c r="I1083" s="13">
        <f t="shared" si="106"/>
        <v>0.15846998329166584</v>
      </c>
      <c r="J1083" s="13">
        <f t="shared" si="107"/>
        <v>2.9129981084302869E-2</v>
      </c>
      <c r="L1083" s="15">
        <v>44770</v>
      </c>
      <c r="M1083">
        <f t="shared" si="108"/>
        <v>222.83112223169815</v>
      </c>
      <c r="N1083">
        <f t="shared" si="109"/>
        <v>153.60921618656056</v>
      </c>
    </row>
    <row r="1084" spans="1:14" x14ac:dyDescent="0.45">
      <c r="A1084" s="15">
        <v>44762</v>
      </c>
      <c r="B1084">
        <v>170.60000600000001</v>
      </c>
      <c r="C1084" t="b">
        <f t="shared" si="111"/>
        <v>0</v>
      </c>
      <c r="E1084" s="15">
        <v>44771</v>
      </c>
      <c r="F1084">
        <f t="shared" si="105"/>
        <v>189.53999300000001</v>
      </c>
      <c r="G1084">
        <v>1770.6099850000001</v>
      </c>
      <c r="I1084" s="13">
        <f t="shared" si="106"/>
        <v>1.5973386749285945E-2</v>
      </c>
      <c r="J1084" s="13">
        <f t="shared" si="107"/>
        <v>1.5560835404602624E-2</v>
      </c>
      <c r="L1084" s="15">
        <v>44771</v>
      </c>
      <c r="M1084">
        <f t="shared" si="108"/>
        <v>226.39048992688248</v>
      </c>
      <c r="N1084">
        <f t="shared" si="109"/>
        <v>155.99950391626965</v>
      </c>
    </row>
    <row r="1085" spans="1:14" x14ac:dyDescent="0.45">
      <c r="A1085" s="15">
        <v>44763</v>
      </c>
      <c r="B1085">
        <v>167.759995</v>
      </c>
      <c r="C1085" t="b">
        <f t="shared" ref="C1085:C1116" si="112">E1074=A1085</f>
        <v>0</v>
      </c>
      <c r="E1085" s="15">
        <v>44774</v>
      </c>
      <c r="F1085">
        <f t="shared" si="105"/>
        <v>185.96000699999999</v>
      </c>
      <c r="G1085">
        <v>1766.3199460000001</v>
      </c>
      <c r="I1085" s="13">
        <f t="shared" si="106"/>
        <v>-1.8887760537165454E-2</v>
      </c>
      <c r="J1085" s="13">
        <f t="shared" si="107"/>
        <v>-2.422915851793328E-3</v>
      </c>
      <c r="L1085" s="15">
        <v>44774</v>
      </c>
      <c r="M1085">
        <f t="shared" si="108"/>
        <v>222.11448056525197</v>
      </c>
      <c r="N1085">
        <f t="shared" si="109"/>
        <v>155.62153024535903</v>
      </c>
    </row>
    <row r="1086" spans="1:14" x14ac:dyDescent="0.45">
      <c r="A1086" s="15">
        <v>44764</v>
      </c>
      <c r="B1086">
        <v>174.96000699999999</v>
      </c>
      <c r="C1086" t="b">
        <f t="shared" si="112"/>
        <v>0</v>
      </c>
      <c r="E1086" s="15">
        <v>44775</v>
      </c>
      <c r="F1086">
        <f t="shared" si="105"/>
        <v>188.020004</v>
      </c>
      <c r="G1086">
        <v>1764.8000489999999</v>
      </c>
      <c r="I1086" s="13">
        <f t="shared" si="106"/>
        <v>1.1077634558273708E-2</v>
      </c>
      <c r="J1086" s="13">
        <f t="shared" si="107"/>
        <v>-8.6048793336790386E-4</v>
      </c>
      <c r="L1086" s="15">
        <v>44775</v>
      </c>
      <c r="M1086">
        <f t="shared" si="108"/>
        <v>224.57498361105462</v>
      </c>
      <c r="N1086">
        <f t="shared" si="109"/>
        <v>155.48761979641066</v>
      </c>
    </row>
    <row r="1087" spans="1:14" x14ac:dyDescent="0.45">
      <c r="A1087" s="15">
        <v>44767</v>
      </c>
      <c r="B1087">
        <v>170.39999399999999</v>
      </c>
      <c r="C1087" t="b">
        <f t="shared" si="112"/>
        <v>0</v>
      </c>
      <c r="E1087" s="15">
        <v>44776</v>
      </c>
      <c r="F1087">
        <f t="shared" si="105"/>
        <v>184.44000199999999</v>
      </c>
      <c r="G1087">
        <v>1743.040039</v>
      </c>
      <c r="I1087" s="13">
        <f t="shared" si="106"/>
        <v>-1.9040537835538052E-2</v>
      </c>
      <c r="J1087" s="13">
        <f t="shared" si="107"/>
        <v>-1.2330014390202426E-2</v>
      </c>
      <c r="L1087" s="15">
        <v>44776</v>
      </c>
      <c r="M1087">
        <f t="shared" si="108"/>
        <v>220.298955138693</v>
      </c>
      <c r="N1087">
        <f t="shared" si="109"/>
        <v>153.5704552068226</v>
      </c>
    </row>
    <row r="1088" spans="1:14" x14ac:dyDescent="0.45">
      <c r="A1088" s="15">
        <v>44768</v>
      </c>
      <c r="B1088">
        <v>161.300003</v>
      </c>
      <c r="C1088" t="b">
        <f t="shared" si="112"/>
        <v>0</v>
      </c>
      <c r="E1088" s="15">
        <v>44777</v>
      </c>
      <c r="F1088">
        <f t="shared" si="105"/>
        <v>189.520004</v>
      </c>
      <c r="G1088">
        <v>1769.1400149999999</v>
      </c>
      <c r="I1088" s="13">
        <f t="shared" si="106"/>
        <v>2.7542842902376519E-2</v>
      </c>
      <c r="J1088" s="13">
        <f t="shared" si="107"/>
        <v>1.4973824706272287E-2</v>
      </c>
      <c r="L1088" s="15">
        <v>44777</v>
      </c>
      <c r="M1088">
        <f t="shared" si="108"/>
        <v>226.36661465163573</v>
      </c>
      <c r="N1088">
        <f t="shared" si="109"/>
        <v>155.86999228315202</v>
      </c>
    </row>
    <row r="1089" spans="1:14" x14ac:dyDescent="0.45">
      <c r="A1089" s="15">
        <v>44769</v>
      </c>
      <c r="B1089">
        <v>161.03999300000001</v>
      </c>
      <c r="C1089" t="b">
        <f t="shared" si="112"/>
        <v>0</v>
      </c>
      <c r="E1089" s="15">
        <v>44778</v>
      </c>
      <c r="F1089">
        <f t="shared" si="105"/>
        <v>194.36000100000001</v>
      </c>
      <c r="G1089">
        <v>1732.2700199999999</v>
      </c>
      <c r="I1089" s="13">
        <f t="shared" si="106"/>
        <v>2.5538185404428315E-2</v>
      </c>
      <c r="J1089" s="13">
        <f t="shared" si="107"/>
        <v>-2.0840631429615786E-2</v>
      </c>
      <c r="L1089" s="15">
        <v>44778</v>
      </c>
      <c r="M1089">
        <f t="shared" si="108"/>
        <v>232.14760722598197</v>
      </c>
      <c r="N1089">
        <f t="shared" si="109"/>
        <v>152.62156322304179</v>
      </c>
    </row>
    <row r="1090" spans="1:14" x14ac:dyDescent="0.45">
      <c r="A1090" s="15">
        <v>44770</v>
      </c>
      <c r="B1090">
        <v>186.55999800000001</v>
      </c>
      <c r="C1090" t="b">
        <f t="shared" si="112"/>
        <v>0</v>
      </c>
      <c r="E1090" s="15">
        <v>44781</v>
      </c>
      <c r="F1090">
        <f t="shared" si="105"/>
        <v>186.03999300000001</v>
      </c>
      <c r="G1090">
        <v>1726.599976</v>
      </c>
      <c r="I1090" s="13">
        <f t="shared" si="106"/>
        <v>-4.2807202907968689E-2</v>
      </c>
      <c r="J1090" s="13">
        <f t="shared" si="107"/>
        <v>-3.2731871674370749E-3</v>
      </c>
      <c r="L1090" s="15">
        <v>44781</v>
      </c>
      <c r="M1090">
        <f t="shared" si="108"/>
        <v>222.21001749885994</v>
      </c>
      <c r="N1090">
        <f t="shared" si="109"/>
        <v>152.12200428082593</v>
      </c>
    </row>
    <row r="1091" spans="1:14" x14ac:dyDescent="0.45">
      <c r="A1091" s="15">
        <v>44771</v>
      </c>
      <c r="B1091">
        <v>189.53999300000001</v>
      </c>
      <c r="C1091" t="b">
        <f t="shared" si="112"/>
        <v>0</v>
      </c>
      <c r="E1091" s="15">
        <v>44782</v>
      </c>
      <c r="F1091">
        <f t="shared" ref="F1091:F1154" si="113">VLOOKUP(E1091,A1091:B2330,2,0)</f>
        <v>182</v>
      </c>
      <c r="G1091">
        <v>1716.8599850000001</v>
      </c>
      <c r="I1091" s="13">
        <f t="shared" si="106"/>
        <v>-2.1715723242367591E-2</v>
      </c>
      <c r="J1091" s="13">
        <f t="shared" si="107"/>
        <v>-5.6411393115877173E-3</v>
      </c>
      <c r="L1091" s="15">
        <v>44782</v>
      </c>
      <c r="M1091">
        <f t="shared" si="108"/>
        <v>217.38456625717305</v>
      </c>
      <c r="N1091">
        <f t="shared" si="109"/>
        <v>151.26386286231985</v>
      </c>
    </row>
    <row r="1092" spans="1:14" x14ac:dyDescent="0.45">
      <c r="A1092" s="15">
        <v>44774</v>
      </c>
      <c r="B1092">
        <v>185.96000699999999</v>
      </c>
      <c r="C1092" t="b">
        <f t="shared" si="112"/>
        <v>0</v>
      </c>
      <c r="E1092" s="15">
        <v>44783</v>
      </c>
      <c r="F1092">
        <f t="shared" si="113"/>
        <v>198</v>
      </c>
      <c r="G1092">
        <v>1759.5</v>
      </c>
      <c r="I1092" s="13">
        <f t="shared" ref="I1092:I1155" si="114">F1092/F1091-1</f>
        <v>8.7912087912087822E-2</v>
      </c>
      <c r="J1092" s="13">
        <f t="shared" ref="J1092:J1155" si="115">G1092/G1091-1</f>
        <v>2.4836046836981929E-2</v>
      </c>
      <c r="L1092" s="15">
        <v>44783</v>
      </c>
      <c r="M1092">
        <f t="shared" ref="M1092:M1155" si="116">M1091*(1+I1092)</f>
        <v>236.49529735670473</v>
      </c>
      <c r="N1092">
        <f t="shared" ref="N1092:N1155" si="117">N1091*(1+J1092)</f>
        <v>155.02065924511123</v>
      </c>
    </row>
    <row r="1093" spans="1:14" x14ac:dyDescent="0.45">
      <c r="A1093" s="15">
        <v>44775</v>
      </c>
      <c r="B1093">
        <v>188.020004</v>
      </c>
      <c r="C1093" t="b">
        <f t="shared" si="112"/>
        <v>0</v>
      </c>
      <c r="E1093" s="15">
        <v>44784</v>
      </c>
      <c r="F1093">
        <f t="shared" si="113"/>
        <v>200.10000600000001</v>
      </c>
      <c r="G1093">
        <v>1770.849976</v>
      </c>
      <c r="I1093" s="13">
        <f t="shared" si="114"/>
        <v>1.0606090909091037E-2</v>
      </c>
      <c r="J1093" s="13">
        <f t="shared" si="115"/>
        <v>6.4506825802783663E-3</v>
      </c>
      <c r="L1093" s="15">
        <v>44784</v>
      </c>
      <c r="M1093">
        <f t="shared" si="116"/>
        <v>239.00358798004245</v>
      </c>
      <c r="N1093">
        <f t="shared" si="117"/>
        <v>156.02064831128695</v>
      </c>
    </row>
    <row r="1094" spans="1:14" x14ac:dyDescent="0.45">
      <c r="A1094" s="15">
        <v>44776</v>
      </c>
      <c r="B1094">
        <v>184.44000199999999</v>
      </c>
      <c r="C1094" t="b">
        <f t="shared" si="112"/>
        <v>0</v>
      </c>
      <c r="E1094" s="15">
        <v>44785</v>
      </c>
      <c r="F1094">
        <f t="shared" si="113"/>
        <v>192.83999600000001</v>
      </c>
      <c r="G1094">
        <v>1733.1099850000001</v>
      </c>
      <c r="I1094" s="13">
        <f t="shared" si="114"/>
        <v>-3.6281907957563919E-2</v>
      </c>
      <c r="J1094" s="13">
        <f t="shared" si="115"/>
        <v>-2.1311794624888081E-2</v>
      </c>
      <c r="L1094" s="15">
        <v>44785</v>
      </c>
      <c r="M1094">
        <f t="shared" si="116"/>
        <v>230.33208179942304</v>
      </c>
      <c r="N1094">
        <f t="shared" si="117"/>
        <v>152.6955682972349</v>
      </c>
    </row>
    <row r="1095" spans="1:14" x14ac:dyDescent="0.45">
      <c r="A1095" s="15">
        <v>44777</v>
      </c>
      <c r="B1095">
        <v>189.520004</v>
      </c>
      <c r="C1095" t="b">
        <f t="shared" si="112"/>
        <v>0</v>
      </c>
      <c r="E1095" s="15">
        <v>44788</v>
      </c>
      <c r="F1095">
        <f t="shared" si="113"/>
        <v>190.66000399999999</v>
      </c>
      <c r="G1095">
        <v>1749.630005</v>
      </c>
      <c r="I1095" s="13">
        <f t="shared" si="114"/>
        <v>-1.1304667316006545E-2</v>
      </c>
      <c r="J1095" s="13">
        <f t="shared" si="115"/>
        <v>9.532009014419307E-3</v>
      </c>
      <c r="L1095" s="15">
        <v>44788</v>
      </c>
      <c r="M1095">
        <f t="shared" si="116"/>
        <v>227.72825424247736</v>
      </c>
      <c r="N1095">
        <f t="shared" si="117"/>
        <v>154.15106383070602</v>
      </c>
    </row>
    <row r="1096" spans="1:14" x14ac:dyDescent="0.45">
      <c r="A1096" s="15">
        <v>44778</v>
      </c>
      <c r="B1096">
        <v>194.36000100000001</v>
      </c>
      <c r="C1096" t="b">
        <f t="shared" si="112"/>
        <v>0</v>
      </c>
      <c r="E1096" s="15">
        <v>44789</v>
      </c>
      <c r="F1096">
        <f t="shared" si="113"/>
        <v>189.58000200000001</v>
      </c>
      <c r="G1096">
        <v>1736.3199460000001</v>
      </c>
      <c r="I1096" s="13">
        <f t="shared" si="114"/>
        <v>-5.6645440959918192E-3</v>
      </c>
      <c r="J1096" s="13">
        <f t="shared" si="115"/>
        <v>-7.6073563907587127E-3</v>
      </c>
      <c r="L1096" s="15">
        <v>44789</v>
      </c>
      <c r="M1096">
        <f t="shared" si="116"/>
        <v>226.43827750441761</v>
      </c>
      <c r="N1096">
        <f t="shared" si="117"/>
        <v>152.97838175013123</v>
      </c>
    </row>
    <row r="1097" spans="1:14" x14ac:dyDescent="0.45">
      <c r="A1097" s="15">
        <v>44781</v>
      </c>
      <c r="B1097">
        <v>186.03999300000001</v>
      </c>
      <c r="C1097" t="b">
        <f t="shared" si="112"/>
        <v>0</v>
      </c>
      <c r="E1097" s="15">
        <v>44790</v>
      </c>
      <c r="F1097">
        <f t="shared" si="113"/>
        <v>194.88000500000001</v>
      </c>
      <c r="G1097">
        <v>1742.589966</v>
      </c>
      <c r="I1097" s="13">
        <f t="shared" si="114"/>
        <v>2.7956551029047816E-2</v>
      </c>
      <c r="J1097" s="13">
        <f t="shared" si="115"/>
        <v>3.6110971451110974E-3</v>
      </c>
      <c r="L1097" s="15">
        <v>44790</v>
      </c>
      <c r="M1097">
        <f t="shared" si="116"/>
        <v>232.76871076439954</v>
      </c>
      <c r="N1097">
        <f t="shared" si="117"/>
        <v>153.53080154773284</v>
      </c>
    </row>
    <row r="1098" spans="1:14" x14ac:dyDescent="0.45">
      <c r="A1098" s="15">
        <v>44782</v>
      </c>
      <c r="B1098">
        <v>182</v>
      </c>
      <c r="C1098" t="b">
        <f t="shared" si="112"/>
        <v>0</v>
      </c>
      <c r="E1098" s="15">
        <v>44791</v>
      </c>
      <c r="F1098">
        <f t="shared" si="113"/>
        <v>190.979996</v>
      </c>
      <c r="G1098">
        <v>1725.76001</v>
      </c>
      <c r="I1098" s="13">
        <f t="shared" si="114"/>
        <v>-2.0012360939748564E-2</v>
      </c>
      <c r="J1098" s="13">
        <f t="shared" si="115"/>
        <v>-9.6580126870764449E-3</v>
      </c>
      <c r="L1098" s="15">
        <v>44791</v>
      </c>
      <c r="M1098">
        <f t="shared" si="116"/>
        <v>228.11045930910245</v>
      </c>
      <c r="N1098">
        <f t="shared" si="117"/>
        <v>152.04799911852783</v>
      </c>
    </row>
    <row r="1099" spans="1:14" x14ac:dyDescent="0.45">
      <c r="A1099" s="15">
        <v>44783</v>
      </c>
      <c r="B1099">
        <v>198</v>
      </c>
      <c r="C1099" t="b">
        <f t="shared" si="112"/>
        <v>0</v>
      </c>
      <c r="E1099" s="15">
        <v>44792</v>
      </c>
      <c r="F1099">
        <f t="shared" si="113"/>
        <v>191.55999800000001</v>
      </c>
      <c r="G1099">
        <v>1739.2299800000001</v>
      </c>
      <c r="I1099" s="13">
        <f t="shared" si="114"/>
        <v>3.0369777576078061E-3</v>
      </c>
      <c r="J1099" s="13">
        <f t="shared" si="115"/>
        <v>7.8052393855156943E-3</v>
      </c>
      <c r="L1099" s="15">
        <v>44792</v>
      </c>
      <c r="M1099">
        <f t="shared" si="116"/>
        <v>228.80322570030191</v>
      </c>
      <c r="N1099">
        <f t="shared" si="117"/>
        <v>153.23477014973662</v>
      </c>
    </row>
    <row r="1100" spans="1:14" x14ac:dyDescent="0.45">
      <c r="A1100" s="15">
        <v>44784</v>
      </c>
      <c r="B1100">
        <v>200.10000600000001</v>
      </c>
      <c r="C1100" t="b">
        <f t="shared" si="112"/>
        <v>0</v>
      </c>
      <c r="E1100" s="15">
        <v>44795</v>
      </c>
      <c r="F1100">
        <f t="shared" si="113"/>
        <v>187.86000100000001</v>
      </c>
      <c r="G1100">
        <v>1716.0200199999999</v>
      </c>
      <c r="I1100" s="13">
        <f t="shared" si="114"/>
        <v>-1.9315081638286435E-2</v>
      </c>
      <c r="J1100" s="13">
        <f t="shared" si="115"/>
        <v>-1.3344963154326539E-2</v>
      </c>
      <c r="L1100" s="15">
        <v>44795</v>
      </c>
      <c r="M1100">
        <f t="shared" si="116"/>
        <v>224.3838727167973</v>
      </c>
      <c r="N1100">
        <f t="shared" si="117"/>
        <v>151.18985778812669</v>
      </c>
    </row>
    <row r="1101" spans="1:14" x14ac:dyDescent="0.45">
      <c r="A1101" s="15">
        <v>44785</v>
      </c>
      <c r="B1101">
        <v>192.83999600000001</v>
      </c>
      <c r="C1101" t="b">
        <f t="shared" si="112"/>
        <v>0</v>
      </c>
      <c r="E1101" s="15">
        <v>44796</v>
      </c>
      <c r="F1101">
        <f t="shared" si="113"/>
        <v>186.60000600000001</v>
      </c>
      <c r="G1101">
        <v>1694.0500489999999</v>
      </c>
      <c r="I1101" s="13">
        <f t="shared" si="114"/>
        <v>-6.7070956738684018E-3</v>
      </c>
      <c r="J1101" s="13">
        <f t="shared" si="115"/>
        <v>-1.2802864036516315E-2</v>
      </c>
      <c r="L1101" s="15">
        <v>44796</v>
      </c>
      <c r="M1101">
        <f t="shared" si="116"/>
        <v>222.87890861481262</v>
      </c>
      <c r="N1101">
        <f t="shared" si="117"/>
        <v>149.25419459516507</v>
      </c>
    </row>
    <row r="1102" spans="1:14" x14ac:dyDescent="0.45">
      <c r="A1102" s="15">
        <v>44788</v>
      </c>
      <c r="B1102">
        <v>190.66000399999999</v>
      </c>
      <c r="C1102" t="b">
        <f t="shared" si="112"/>
        <v>0</v>
      </c>
      <c r="E1102" s="15">
        <v>44797</v>
      </c>
      <c r="F1102">
        <f t="shared" si="113"/>
        <v>188.86000100000001</v>
      </c>
      <c r="G1102">
        <v>1714.5</v>
      </c>
      <c r="I1102" s="13">
        <f t="shared" si="114"/>
        <v>1.2111441196845485E-2</v>
      </c>
      <c r="J1102" s="13">
        <f t="shared" si="115"/>
        <v>1.2071633309813867E-2</v>
      </c>
      <c r="L1102" s="15">
        <v>44797</v>
      </c>
      <c r="M1102">
        <f t="shared" si="116"/>
        <v>225.57829341051803</v>
      </c>
      <c r="N1102">
        <f t="shared" si="117"/>
        <v>151.0559365022695</v>
      </c>
    </row>
    <row r="1103" spans="1:14" x14ac:dyDescent="0.45">
      <c r="A1103" s="15">
        <v>44789</v>
      </c>
      <c r="B1103">
        <v>189.58000200000001</v>
      </c>
      <c r="C1103" t="b">
        <f t="shared" si="112"/>
        <v>0</v>
      </c>
      <c r="E1103" s="15">
        <v>44798</v>
      </c>
      <c r="F1103">
        <f t="shared" si="113"/>
        <v>192.94000199999999</v>
      </c>
      <c r="G1103">
        <v>1726.6899410000001</v>
      </c>
      <c r="I1103" s="13">
        <f t="shared" si="114"/>
        <v>2.1603309215274091E-2</v>
      </c>
      <c r="J1103" s="13">
        <f t="shared" si="115"/>
        <v>7.1099101778944185E-3</v>
      </c>
      <c r="L1103" s="15">
        <v>44798</v>
      </c>
      <c r="M1103">
        <f t="shared" si="116"/>
        <v>230.45153103531928</v>
      </c>
      <c r="N1103">
        <f t="shared" si="117"/>
        <v>152.12993064263836</v>
      </c>
    </row>
    <row r="1104" spans="1:14" x14ac:dyDescent="0.45">
      <c r="A1104" s="15">
        <v>44790</v>
      </c>
      <c r="B1104">
        <v>194.88000500000001</v>
      </c>
      <c r="C1104" t="b">
        <f t="shared" si="112"/>
        <v>0</v>
      </c>
      <c r="E1104" s="15">
        <v>44799</v>
      </c>
      <c r="F1104">
        <f t="shared" si="113"/>
        <v>190.240005</v>
      </c>
      <c r="G1104">
        <v>1694.48999</v>
      </c>
      <c r="I1104" s="13">
        <f t="shared" si="114"/>
        <v>-1.3993972074282435E-2</v>
      </c>
      <c r="J1104" s="13">
        <f t="shared" si="115"/>
        <v>-1.8648368902497769E-2</v>
      </c>
      <c r="L1104" s="15">
        <v>44799</v>
      </c>
      <c r="M1104">
        <f t="shared" si="116"/>
        <v>227.2265987455354</v>
      </c>
      <c r="N1104">
        <f t="shared" si="117"/>
        <v>149.29295557490303</v>
      </c>
    </row>
    <row r="1105" spans="1:14" x14ac:dyDescent="0.45">
      <c r="A1105" s="15">
        <v>44791</v>
      </c>
      <c r="B1105">
        <v>190.979996</v>
      </c>
      <c r="C1105" t="b">
        <f t="shared" si="112"/>
        <v>0</v>
      </c>
      <c r="E1105" s="15">
        <v>44802</v>
      </c>
      <c r="F1105">
        <f t="shared" si="113"/>
        <v>183.39999399999999</v>
      </c>
      <c r="G1105">
        <v>1651.920044</v>
      </c>
      <c r="I1105" s="13">
        <f t="shared" si="114"/>
        <v>-3.5954640560485696E-2</v>
      </c>
      <c r="J1105" s="13">
        <f t="shared" si="115"/>
        <v>-2.5122571541422944E-2</v>
      </c>
      <c r="L1105" s="15">
        <v>44802</v>
      </c>
      <c r="M1105">
        <f t="shared" si="116"/>
        <v>219.05674806185797</v>
      </c>
      <c r="N1105">
        <f t="shared" si="117"/>
        <v>145.54233261784205</v>
      </c>
    </row>
    <row r="1106" spans="1:14" x14ac:dyDescent="0.45">
      <c r="A1106" s="15">
        <v>44792</v>
      </c>
      <c r="B1106">
        <v>191.55999800000001</v>
      </c>
      <c r="C1106" t="b">
        <f t="shared" si="112"/>
        <v>0</v>
      </c>
      <c r="E1106" s="15">
        <v>44803</v>
      </c>
      <c r="F1106">
        <f t="shared" si="113"/>
        <v>187</v>
      </c>
      <c r="G1106">
        <v>1655.849976</v>
      </c>
      <c r="I1106" s="13">
        <f t="shared" si="114"/>
        <v>1.9629259093650875E-2</v>
      </c>
      <c r="J1106" s="13">
        <f t="shared" si="115"/>
        <v>2.3790086053341319E-3</v>
      </c>
      <c r="L1106" s="15">
        <v>44803</v>
      </c>
      <c r="M1106">
        <f t="shared" si="116"/>
        <v>223.35666972577678</v>
      </c>
      <c r="N1106">
        <f t="shared" si="117"/>
        <v>145.8885790795803</v>
      </c>
    </row>
    <row r="1107" spans="1:14" x14ac:dyDescent="0.45">
      <c r="A1107" s="15">
        <v>44795</v>
      </c>
      <c r="B1107">
        <v>187.86000100000001</v>
      </c>
      <c r="C1107" t="b">
        <f t="shared" si="112"/>
        <v>0</v>
      </c>
      <c r="E1107" s="15">
        <v>44804</v>
      </c>
      <c r="F1107">
        <f t="shared" si="113"/>
        <v>186.41999799999999</v>
      </c>
      <c r="G1107">
        <v>1652.650024</v>
      </c>
      <c r="I1107" s="13">
        <f t="shared" si="114"/>
        <v>-3.1016149732621123E-3</v>
      </c>
      <c r="J1107" s="13">
        <f t="shared" si="115"/>
        <v>-1.9325132387476573E-3</v>
      </c>
      <c r="L1107" s="15">
        <v>44804</v>
      </c>
      <c r="M1107">
        <f t="shared" si="116"/>
        <v>222.66390333457736</v>
      </c>
      <c r="N1107">
        <f t="shared" si="117"/>
        <v>145.60664746912693</v>
      </c>
    </row>
    <row r="1108" spans="1:14" x14ac:dyDescent="0.45">
      <c r="A1108" s="15">
        <v>44796</v>
      </c>
      <c r="B1108">
        <v>186.60000600000001</v>
      </c>
      <c r="C1108" t="b">
        <f t="shared" si="112"/>
        <v>0</v>
      </c>
      <c r="E1108" s="15">
        <v>44805</v>
      </c>
      <c r="F1108">
        <f t="shared" si="113"/>
        <v>174.759995</v>
      </c>
      <c r="G1108">
        <v>1598.030029</v>
      </c>
      <c r="I1108" s="13">
        <f t="shared" si="114"/>
        <v>-6.2546953787650961E-2</v>
      </c>
      <c r="J1108" s="13">
        <f t="shared" si="115"/>
        <v>-3.3049946574774669E-2</v>
      </c>
      <c r="L1108" s="15">
        <v>44805</v>
      </c>
      <c r="M1108">
        <f t="shared" si="116"/>
        <v>208.73695446253157</v>
      </c>
      <c r="N1108">
        <f t="shared" si="117"/>
        <v>140.79435554934022</v>
      </c>
    </row>
    <row r="1109" spans="1:14" x14ac:dyDescent="0.45">
      <c r="A1109" s="15">
        <v>44797</v>
      </c>
      <c r="B1109">
        <v>188.86000100000001</v>
      </c>
      <c r="C1109" t="b">
        <f t="shared" si="112"/>
        <v>0</v>
      </c>
      <c r="E1109" s="15">
        <v>44806</v>
      </c>
      <c r="F1109">
        <f t="shared" si="113"/>
        <v>180</v>
      </c>
      <c r="G1109">
        <v>1630.73999</v>
      </c>
      <c r="I1109" s="13">
        <f t="shared" si="114"/>
        <v>2.9984007495536869E-2</v>
      </c>
      <c r="J1109" s="13">
        <f t="shared" si="115"/>
        <v>2.0468927621134281E-2</v>
      </c>
      <c r="L1109" s="15">
        <v>44806</v>
      </c>
      <c r="M1109">
        <f t="shared" si="116"/>
        <v>214.99572486973165</v>
      </c>
      <c r="N1109">
        <f t="shared" si="117"/>
        <v>143.6762650225439</v>
      </c>
    </row>
    <row r="1110" spans="1:14" x14ac:dyDescent="0.45">
      <c r="A1110" s="15">
        <v>44798</v>
      </c>
      <c r="B1110">
        <v>192.94000199999999</v>
      </c>
      <c r="C1110" t="b">
        <f t="shared" si="112"/>
        <v>0</v>
      </c>
      <c r="E1110" s="15">
        <v>44809</v>
      </c>
      <c r="F1110">
        <f t="shared" si="113"/>
        <v>183.94000199999999</v>
      </c>
      <c r="G1110">
        <v>1620.420044</v>
      </c>
      <c r="I1110" s="13">
        <f t="shared" si="114"/>
        <v>2.1888899999999989E-2</v>
      </c>
      <c r="J1110" s="13">
        <f t="shared" si="115"/>
        <v>-6.3283822456576821E-3</v>
      </c>
      <c r="L1110" s="15">
        <v>44809</v>
      </c>
      <c r="M1110">
        <f t="shared" si="116"/>
        <v>219.70174479183271</v>
      </c>
      <c r="N1110">
        <f t="shared" si="117"/>
        <v>142.76702669785283</v>
      </c>
    </row>
    <row r="1111" spans="1:14" x14ac:dyDescent="0.45">
      <c r="A1111" s="15">
        <v>44799</v>
      </c>
      <c r="B1111">
        <v>190.240005</v>
      </c>
      <c r="C1111" t="b">
        <f t="shared" si="112"/>
        <v>0</v>
      </c>
      <c r="E1111" s="15">
        <v>44810</v>
      </c>
      <c r="F1111">
        <f t="shared" si="113"/>
        <v>175.60000600000001</v>
      </c>
      <c r="G1111">
        <v>1609.0699460000001</v>
      </c>
      <c r="I1111" s="13">
        <f t="shared" si="114"/>
        <v>-4.5340849784268111E-2</v>
      </c>
      <c r="J1111" s="13">
        <f t="shared" si="115"/>
        <v>-7.0044171830794255E-3</v>
      </c>
      <c r="L1111" s="15">
        <v>44810</v>
      </c>
      <c r="M1111">
        <f t="shared" si="116"/>
        <v>209.74028098388462</v>
      </c>
      <c r="N1111">
        <f t="shared" si="117"/>
        <v>141.76702688287324</v>
      </c>
    </row>
    <row r="1112" spans="1:14" x14ac:dyDescent="0.45">
      <c r="A1112" s="15">
        <v>44802</v>
      </c>
      <c r="B1112">
        <v>183.39999399999999</v>
      </c>
      <c r="C1112" t="b">
        <f t="shared" si="112"/>
        <v>0</v>
      </c>
      <c r="E1112" s="15">
        <v>44811</v>
      </c>
      <c r="F1112">
        <f t="shared" si="113"/>
        <v>177.679993</v>
      </c>
      <c r="G1112">
        <v>1607.920044</v>
      </c>
      <c r="I1112" s="13">
        <f t="shared" si="114"/>
        <v>1.1845028069076502E-2</v>
      </c>
      <c r="J1112" s="13">
        <f t="shared" si="115"/>
        <v>-7.1463767181700888E-4</v>
      </c>
      <c r="L1112" s="15">
        <v>44811</v>
      </c>
      <c r="M1112">
        <f t="shared" si="116"/>
        <v>212.22466049935471</v>
      </c>
      <c r="N1112">
        <f t="shared" si="117"/>
        <v>141.66571482484125</v>
      </c>
    </row>
    <row r="1113" spans="1:14" x14ac:dyDescent="0.45">
      <c r="A1113" s="15">
        <v>44803</v>
      </c>
      <c r="B1113">
        <v>187</v>
      </c>
      <c r="C1113" t="b">
        <f t="shared" si="112"/>
        <v>0</v>
      </c>
      <c r="E1113" s="15">
        <v>44812</v>
      </c>
      <c r="F1113">
        <f t="shared" si="113"/>
        <v>182.13999899999999</v>
      </c>
      <c r="G1113">
        <v>1628.51001</v>
      </c>
      <c r="I1113" s="13">
        <f t="shared" si="114"/>
        <v>2.5101340475626843E-2</v>
      </c>
      <c r="J1113" s="13">
        <f t="shared" si="115"/>
        <v>1.280534195517502E-2</v>
      </c>
      <c r="L1113" s="15">
        <v>44812</v>
      </c>
      <c r="M1113">
        <f t="shared" si="116"/>
        <v>217.55178395987332</v>
      </c>
      <c r="N1113">
        <f t="shared" si="117"/>
        <v>143.47979274649765</v>
      </c>
    </row>
    <row r="1114" spans="1:14" x14ac:dyDescent="0.45">
      <c r="A1114" s="15">
        <v>44804</v>
      </c>
      <c r="B1114">
        <v>186.41999799999999</v>
      </c>
      <c r="C1114" t="b">
        <f t="shared" si="112"/>
        <v>0</v>
      </c>
      <c r="E1114" s="15">
        <v>44813</v>
      </c>
      <c r="F1114">
        <f t="shared" si="113"/>
        <v>182.11999499999999</v>
      </c>
      <c r="G1114">
        <v>1649.619995</v>
      </c>
      <c r="I1114" s="13">
        <f t="shared" si="114"/>
        <v>-1.0982760574185235E-4</v>
      </c>
      <c r="J1114" s="13">
        <f t="shared" si="115"/>
        <v>1.2962760357856151E-2</v>
      </c>
      <c r="L1114" s="15">
        <v>44813</v>
      </c>
      <c r="M1114">
        <f t="shared" si="116"/>
        <v>217.52789076831613</v>
      </c>
      <c r="N1114">
        <f t="shared" si="117"/>
        <v>145.33968691606538</v>
      </c>
    </row>
    <row r="1115" spans="1:14" x14ac:dyDescent="0.45">
      <c r="A1115" s="15">
        <v>44805</v>
      </c>
      <c r="B1115">
        <v>174.759995</v>
      </c>
      <c r="C1115" t="b">
        <f t="shared" si="112"/>
        <v>0</v>
      </c>
      <c r="E1115" s="15">
        <v>44816</v>
      </c>
      <c r="F1115">
        <f t="shared" si="113"/>
        <v>183.33999600000001</v>
      </c>
      <c r="G1115">
        <v>1663.839966</v>
      </c>
      <c r="I1115" s="13">
        <f t="shared" si="114"/>
        <v>6.6988855342327014E-3</v>
      </c>
      <c r="J1115" s="13">
        <f t="shared" si="115"/>
        <v>8.6201495151008167E-3</v>
      </c>
      <c r="L1115" s="15">
        <v>44816</v>
      </c>
      <c r="M1115">
        <f t="shared" si="116"/>
        <v>218.98508520907615</v>
      </c>
      <c r="N1115">
        <f t="shared" si="117"/>
        <v>146.59253674775979</v>
      </c>
    </row>
    <row r="1116" spans="1:14" x14ac:dyDescent="0.45">
      <c r="A1116" s="15">
        <v>44806</v>
      </c>
      <c r="B1116">
        <v>180</v>
      </c>
      <c r="C1116" t="b">
        <f t="shared" si="112"/>
        <v>0</v>
      </c>
      <c r="E1116" s="15">
        <v>44817</v>
      </c>
      <c r="F1116">
        <f t="shared" si="113"/>
        <v>175.5</v>
      </c>
      <c r="G1116">
        <v>1628</v>
      </c>
      <c r="I1116" s="13">
        <f t="shared" si="114"/>
        <v>-4.2762060494427101E-2</v>
      </c>
      <c r="J1116" s="13">
        <f t="shared" si="115"/>
        <v>-2.154051274904889E-2</v>
      </c>
      <c r="L1116" s="15">
        <v>44817</v>
      </c>
      <c r="M1116">
        <f t="shared" si="116"/>
        <v>209.62083174798835</v>
      </c>
      <c r="N1116">
        <f t="shared" si="117"/>
        <v>143.43485834102927</v>
      </c>
    </row>
    <row r="1117" spans="1:14" x14ac:dyDescent="0.45">
      <c r="A1117" s="15">
        <v>44809</v>
      </c>
      <c r="B1117">
        <v>183.94000199999999</v>
      </c>
      <c r="C1117" t="b">
        <f t="shared" ref="C1117:C1136" si="118">E1106=A1117</f>
        <v>0</v>
      </c>
      <c r="E1117" s="15">
        <v>44818</v>
      </c>
      <c r="F1117">
        <f t="shared" si="113"/>
        <v>173.46000699999999</v>
      </c>
      <c r="G1117">
        <v>1617.5600589999999</v>
      </c>
      <c r="I1117" s="13">
        <f t="shared" si="114"/>
        <v>-1.1623891737891801E-2</v>
      </c>
      <c r="J1117" s="13">
        <f t="shared" si="115"/>
        <v>-6.4127401719902277E-3</v>
      </c>
      <c r="L1117" s="15">
        <v>44818</v>
      </c>
      <c r="M1117">
        <f t="shared" si="116"/>
        <v>207.18422189374289</v>
      </c>
      <c r="N1117">
        <f t="shared" si="117"/>
        <v>142.51504786288203</v>
      </c>
    </row>
    <row r="1118" spans="1:14" x14ac:dyDescent="0.45">
      <c r="A1118" s="15">
        <v>44810</v>
      </c>
      <c r="B1118">
        <v>175.60000600000001</v>
      </c>
      <c r="C1118" t="b">
        <f t="shared" si="118"/>
        <v>0</v>
      </c>
      <c r="E1118" s="15">
        <v>44819</v>
      </c>
      <c r="F1118">
        <f t="shared" si="113"/>
        <v>168.479996</v>
      </c>
      <c r="G1118">
        <v>1586.839966</v>
      </c>
      <c r="I1118" s="13">
        <f t="shared" si="114"/>
        <v>-2.8709851256952801E-2</v>
      </c>
      <c r="J1118" s="13">
        <f t="shared" si="115"/>
        <v>-1.899162434747026E-2</v>
      </c>
      <c r="L1118" s="15">
        <v>44819</v>
      </c>
      <c r="M1118">
        <f t="shared" si="116"/>
        <v>201.23599370038602</v>
      </c>
      <c r="N1118">
        <f t="shared" si="117"/>
        <v>139.80845561000842</v>
      </c>
    </row>
    <row r="1119" spans="1:14" x14ac:dyDescent="0.45">
      <c r="A1119" s="15">
        <v>44811</v>
      </c>
      <c r="B1119">
        <v>177.679993</v>
      </c>
      <c r="C1119" t="b">
        <f t="shared" si="118"/>
        <v>0</v>
      </c>
      <c r="E1119" s="15">
        <v>44820</v>
      </c>
      <c r="F1119">
        <f t="shared" si="113"/>
        <v>162.779999</v>
      </c>
      <c r="G1119">
        <v>1545.209961</v>
      </c>
      <c r="I1119" s="13">
        <f t="shared" si="114"/>
        <v>-3.3831891828867255E-2</v>
      </c>
      <c r="J1119" s="13">
        <f t="shared" si="115"/>
        <v>-2.6234532714056957E-2</v>
      </c>
      <c r="L1119" s="15">
        <v>44820</v>
      </c>
      <c r="M1119">
        <f t="shared" si="116"/>
        <v>194.42779932943995</v>
      </c>
      <c r="N1119">
        <f t="shared" si="117"/>
        <v>136.14064610760587</v>
      </c>
    </row>
    <row r="1120" spans="1:14" x14ac:dyDescent="0.45">
      <c r="A1120" s="15">
        <v>44812</v>
      </c>
      <c r="B1120">
        <v>182.13999899999999</v>
      </c>
      <c r="C1120" t="b">
        <f t="shared" si="118"/>
        <v>0</v>
      </c>
      <c r="E1120" s="15">
        <v>44823</v>
      </c>
      <c r="F1120">
        <f t="shared" si="113"/>
        <v>154.66000399999999</v>
      </c>
      <c r="G1120">
        <v>1534.1899410000001</v>
      </c>
      <c r="I1120" s="13">
        <f t="shared" si="114"/>
        <v>-4.9883247634127437E-2</v>
      </c>
      <c r="J1120" s="13">
        <f t="shared" si="115"/>
        <v>-7.1317298478118518E-3</v>
      </c>
      <c r="L1120" s="15">
        <v>44823</v>
      </c>
      <c r="M1120">
        <f t="shared" si="116"/>
        <v>184.72910926853106</v>
      </c>
      <c r="N1120">
        <f t="shared" si="117"/>
        <v>135.16972779825988</v>
      </c>
    </row>
    <row r="1121" spans="1:14" x14ac:dyDescent="0.45">
      <c r="A1121" s="15">
        <v>44813</v>
      </c>
      <c r="B1121">
        <v>182.11999499999999</v>
      </c>
      <c r="C1121" t="b">
        <f t="shared" si="118"/>
        <v>0</v>
      </c>
      <c r="E1121" s="15">
        <v>44824</v>
      </c>
      <c r="F1121">
        <f t="shared" si="113"/>
        <v>151.03999300000001</v>
      </c>
      <c r="G1121">
        <v>1506.329956</v>
      </c>
      <c r="I1121" s="13">
        <f t="shared" si="114"/>
        <v>-2.3406251819313106E-2</v>
      </c>
      <c r="J1121" s="13">
        <f t="shared" si="115"/>
        <v>-1.8159410549804966E-2</v>
      </c>
      <c r="L1121" s="15">
        <v>44824</v>
      </c>
      <c r="M1121">
        <f t="shared" si="116"/>
        <v>180.40529321863443</v>
      </c>
      <c r="N1121">
        <f t="shared" si="117"/>
        <v>132.71512521726589</v>
      </c>
    </row>
    <row r="1122" spans="1:14" x14ac:dyDescent="0.45">
      <c r="A1122" s="15">
        <v>44816</v>
      </c>
      <c r="B1122">
        <v>183.33999600000001</v>
      </c>
      <c r="C1122" t="b">
        <f t="shared" si="118"/>
        <v>0</v>
      </c>
      <c r="E1122" s="15">
        <v>44825</v>
      </c>
      <c r="F1122">
        <f t="shared" si="113"/>
        <v>157.020004</v>
      </c>
      <c r="G1122">
        <v>1523.670044</v>
      </c>
      <c r="I1122" s="13">
        <f t="shared" si="114"/>
        <v>3.9592235680254495E-2</v>
      </c>
      <c r="J1122" s="13">
        <f t="shared" si="115"/>
        <v>1.1511480556388731E-2</v>
      </c>
      <c r="L1122" s="15">
        <v>44825</v>
      </c>
      <c r="M1122">
        <f t="shared" si="116"/>
        <v>187.54794210571202</v>
      </c>
      <c r="N1122">
        <f t="shared" si="117"/>
        <v>134.24287280074316</v>
      </c>
    </row>
    <row r="1123" spans="1:14" x14ac:dyDescent="0.45">
      <c r="A1123" s="15">
        <v>44817</v>
      </c>
      <c r="B1123">
        <v>175.5</v>
      </c>
      <c r="C1123" t="b">
        <f t="shared" si="118"/>
        <v>0</v>
      </c>
      <c r="E1123" s="15">
        <v>44826</v>
      </c>
      <c r="F1123">
        <f t="shared" si="113"/>
        <v>150.279999</v>
      </c>
      <c r="G1123">
        <v>1483.2700199999999</v>
      </c>
      <c r="I1123" s="13">
        <f t="shared" si="114"/>
        <v>-4.292449897020767E-2</v>
      </c>
      <c r="J1123" s="13">
        <f t="shared" si="115"/>
        <v>-2.6514942758827376E-2</v>
      </c>
      <c r="L1123" s="15">
        <v>44826</v>
      </c>
      <c r="M1123">
        <f t="shared" si="116"/>
        <v>179.49754065793081</v>
      </c>
      <c r="N1123">
        <f t="shared" si="117"/>
        <v>130.6834307126509</v>
      </c>
    </row>
    <row r="1124" spans="1:14" x14ac:dyDescent="0.45">
      <c r="A1124" s="15">
        <v>44818</v>
      </c>
      <c r="B1124">
        <v>173.46000699999999</v>
      </c>
      <c r="C1124" t="b">
        <f t="shared" si="118"/>
        <v>0</v>
      </c>
      <c r="E1124" s="15">
        <v>44827</v>
      </c>
      <c r="F1124">
        <f t="shared" si="113"/>
        <v>149.86000100000001</v>
      </c>
      <c r="G1124">
        <v>1457.660034</v>
      </c>
      <c r="I1124" s="13">
        <f t="shared" si="114"/>
        <v>-2.794769781705897E-3</v>
      </c>
      <c r="J1124" s="13">
        <f t="shared" si="115"/>
        <v>-1.7265896063887287E-2</v>
      </c>
      <c r="L1124" s="15">
        <v>44827</v>
      </c>
      <c r="M1124">
        <f t="shared" si="116"/>
        <v>178.99588635540951</v>
      </c>
      <c r="N1124">
        <f t="shared" si="117"/>
        <v>128.42706418069406</v>
      </c>
    </row>
    <row r="1125" spans="1:14" x14ac:dyDescent="0.45">
      <c r="A1125" s="15">
        <v>44819</v>
      </c>
      <c r="B1125">
        <v>168.479996</v>
      </c>
      <c r="C1125" t="b">
        <f t="shared" si="118"/>
        <v>0</v>
      </c>
      <c r="E1125" s="15">
        <v>44830</v>
      </c>
      <c r="F1125">
        <f t="shared" si="113"/>
        <v>148.11999499999999</v>
      </c>
      <c r="G1125">
        <v>1458.6999510000001</v>
      </c>
      <c r="I1125" s="13">
        <f t="shared" si="114"/>
        <v>-1.1610876740885789E-2</v>
      </c>
      <c r="J1125" s="13">
        <f t="shared" si="115"/>
        <v>7.1341532026947263E-4</v>
      </c>
      <c r="L1125" s="15">
        <v>44830</v>
      </c>
      <c r="M1125">
        <f t="shared" si="116"/>
        <v>176.91758718181126</v>
      </c>
      <c r="N1125">
        <f t="shared" si="117"/>
        <v>128.51868601581779</v>
      </c>
    </row>
    <row r="1126" spans="1:14" x14ac:dyDescent="0.45">
      <c r="A1126" s="15">
        <v>44820</v>
      </c>
      <c r="B1126">
        <v>162.779999</v>
      </c>
      <c r="C1126" t="b">
        <f t="shared" si="118"/>
        <v>0</v>
      </c>
      <c r="E1126" s="15">
        <v>44831</v>
      </c>
      <c r="F1126">
        <f t="shared" si="113"/>
        <v>148.979996</v>
      </c>
      <c r="G1126">
        <v>1463.780029</v>
      </c>
      <c r="I1126" s="13">
        <f t="shared" si="114"/>
        <v>5.8061101068767051E-3</v>
      </c>
      <c r="J1126" s="13">
        <f t="shared" si="115"/>
        <v>3.4826065473694268E-3</v>
      </c>
      <c r="L1126" s="15">
        <v>44831</v>
      </c>
      <c r="M1126">
        <f t="shared" si="116"/>
        <v>177.9447901728318</v>
      </c>
      <c r="N1126">
        <f t="shared" si="117"/>
        <v>128.96626603319581</v>
      </c>
    </row>
    <row r="1127" spans="1:14" x14ac:dyDescent="0.45">
      <c r="A1127" s="15">
        <v>44823</v>
      </c>
      <c r="B1127">
        <v>154.66000399999999</v>
      </c>
      <c r="C1127" t="b">
        <f t="shared" si="118"/>
        <v>0</v>
      </c>
      <c r="E1127" s="15">
        <v>44832</v>
      </c>
      <c r="F1127">
        <f t="shared" si="113"/>
        <v>147.08000200000001</v>
      </c>
      <c r="G1127">
        <v>1461.329956</v>
      </c>
      <c r="I1127" s="13">
        <f t="shared" si="114"/>
        <v>-1.2753349785295964E-2</v>
      </c>
      <c r="J1127" s="13">
        <f t="shared" si="115"/>
        <v>-1.6737986251075254E-3</v>
      </c>
      <c r="L1127" s="15">
        <v>44832</v>
      </c>
      <c r="M1127">
        <f t="shared" si="116"/>
        <v>175.67539802128658</v>
      </c>
      <c r="N1127">
        <f t="shared" si="117"/>
        <v>128.75040247442419</v>
      </c>
    </row>
    <row r="1128" spans="1:14" x14ac:dyDescent="0.45">
      <c r="A1128" s="15">
        <v>44824</v>
      </c>
      <c r="B1128">
        <v>151.03999300000001</v>
      </c>
      <c r="C1128" t="b">
        <f t="shared" si="118"/>
        <v>0</v>
      </c>
      <c r="E1128" s="15">
        <v>44833</v>
      </c>
      <c r="F1128">
        <f t="shared" si="113"/>
        <v>138.88000500000001</v>
      </c>
      <c r="G1128">
        <v>1419.339966</v>
      </c>
      <c r="I1128" s="13">
        <f t="shared" si="114"/>
        <v>-5.575195056089266E-2</v>
      </c>
      <c r="J1128" s="13">
        <f t="shared" si="115"/>
        <v>-2.8734092411912493E-2</v>
      </c>
      <c r="L1128" s="15">
        <v>44833</v>
      </c>
      <c r="M1128">
        <f t="shared" si="116"/>
        <v>165.88115191603868</v>
      </c>
      <c r="N1128">
        <f t="shared" si="117"/>
        <v>125.05087651165316</v>
      </c>
    </row>
    <row r="1129" spans="1:14" x14ac:dyDescent="0.45">
      <c r="A1129" s="15">
        <v>44825</v>
      </c>
      <c r="B1129">
        <v>157.020004</v>
      </c>
      <c r="C1129" t="b">
        <f t="shared" si="118"/>
        <v>0</v>
      </c>
      <c r="E1129" s="15">
        <v>44834</v>
      </c>
      <c r="F1129">
        <f t="shared" si="113"/>
        <v>141.61999499999999</v>
      </c>
      <c r="G1129">
        <v>1439.089966</v>
      </c>
      <c r="I1129" s="13">
        <f t="shared" si="114"/>
        <v>1.9729189957906401E-2</v>
      </c>
      <c r="J1129" s="13">
        <f t="shared" si="115"/>
        <v>1.391491853474669E-2</v>
      </c>
      <c r="L1129" s="15">
        <v>44834</v>
      </c>
      <c r="M1129">
        <f t="shared" si="116"/>
        <v>169.15385267262653</v>
      </c>
      <c r="N1129">
        <f t="shared" si="117"/>
        <v>126.79094927101148</v>
      </c>
    </row>
    <row r="1130" spans="1:14" x14ac:dyDescent="0.45">
      <c r="A1130" s="15">
        <v>44826</v>
      </c>
      <c r="B1130">
        <v>150.279999</v>
      </c>
      <c r="C1130" t="b">
        <f t="shared" si="118"/>
        <v>0</v>
      </c>
      <c r="E1130" s="15">
        <v>44837</v>
      </c>
      <c r="F1130">
        <f t="shared" si="113"/>
        <v>141.240005</v>
      </c>
      <c r="G1130">
        <v>1461.4300539999999</v>
      </c>
      <c r="I1130" s="13">
        <f t="shared" si="114"/>
        <v>-2.6831663141916318E-3</v>
      </c>
      <c r="J1130" s="13">
        <f t="shared" si="115"/>
        <v>1.5523760520751217E-2</v>
      </c>
      <c r="L1130" s="15">
        <v>44837</v>
      </c>
      <c r="M1130">
        <f t="shared" si="116"/>
        <v>168.69998475321961</v>
      </c>
      <c r="N1130">
        <f t="shared" si="117"/>
        <v>128.75922160369339</v>
      </c>
    </row>
    <row r="1131" spans="1:14" x14ac:dyDescent="0.45">
      <c r="A1131" s="15">
        <v>44827</v>
      </c>
      <c r="B1131">
        <v>149.86000100000001</v>
      </c>
      <c r="C1131" t="b">
        <f t="shared" si="118"/>
        <v>0</v>
      </c>
      <c r="E1131" s="15">
        <v>44838</v>
      </c>
      <c r="F1131">
        <f t="shared" si="113"/>
        <v>149.10000600000001</v>
      </c>
      <c r="G1131">
        <v>1503.920044</v>
      </c>
      <c r="I1131" s="13">
        <f t="shared" si="114"/>
        <v>5.5649962629214178E-2</v>
      </c>
      <c r="J1131" s="13">
        <f t="shared" si="115"/>
        <v>2.9074254962598411E-2</v>
      </c>
      <c r="L1131" s="15">
        <v>44838</v>
      </c>
      <c r="M1131">
        <f t="shared" si="116"/>
        <v>178.08813260028529</v>
      </c>
      <c r="N1131">
        <f t="shared" si="117"/>
        <v>132.50280004138489</v>
      </c>
    </row>
    <row r="1132" spans="1:14" x14ac:dyDescent="0.45">
      <c r="A1132" s="15">
        <v>44830</v>
      </c>
      <c r="B1132">
        <v>148.11999499999999</v>
      </c>
      <c r="C1132" t="b">
        <f t="shared" si="118"/>
        <v>0</v>
      </c>
      <c r="E1132" s="15">
        <v>44839</v>
      </c>
      <c r="F1132">
        <f t="shared" si="113"/>
        <v>143.60000600000001</v>
      </c>
      <c r="G1132">
        <v>1477.26001</v>
      </c>
      <c r="I1132" s="13">
        <f t="shared" si="114"/>
        <v>-3.6887993150047205E-2</v>
      </c>
      <c r="J1132" s="13">
        <f t="shared" si="115"/>
        <v>-1.7727028844626513E-2</v>
      </c>
      <c r="L1132" s="15">
        <v>44839</v>
      </c>
      <c r="M1132">
        <f t="shared" si="116"/>
        <v>171.51881878482126</v>
      </c>
      <c r="N1132">
        <f t="shared" si="117"/>
        <v>130.15391908305747</v>
      </c>
    </row>
    <row r="1133" spans="1:14" x14ac:dyDescent="0.45">
      <c r="A1133" s="15">
        <v>44831</v>
      </c>
      <c r="B1133">
        <v>148.979996</v>
      </c>
      <c r="C1133" t="b">
        <f t="shared" si="118"/>
        <v>0</v>
      </c>
      <c r="E1133" s="15">
        <v>44840</v>
      </c>
      <c r="F1133">
        <f t="shared" si="113"/>
        <v>141.179993</v>
      </c>
      <c r="G1133">
        <v>1487.400024</v>
      </c>
      <c r="I1133" s="13">
        <f t="shared" si="114"/>
        <v>-1.6852457513128583E-2</v>
      </c>
      <c r="J1133" s="13">
        <f t="shared" si="115"/>
        <v>6.8640685670493529E-3</v>
      </c>
      <c r="L1133" s="15">
        <v>44840</v>
      </c>
      <c r="M1133">
        <f t="shared" si="116"/>
        <v>168.62830517854806</v>
      </c>
      <c r="N1133">
        <f t="shared" si="117"/>
        <v>131.04730450791376</v>
      </c>
    </row>
    <row r="1134" spans="1:14" x14ac:dyDescent="0.45">
      <c r="A1134" s="15">
        <v>44832</v>
      </c>
      <c r="B1134">
        <v>147.08000200000001</v>
      </c>
      <c r="C1134" t="b">
        <f t="shared" si="118"/>
        <v>0</v>
      </c>
      <c r="E1134" s="15">
        <v>44841</v>
      </c>
      <c r="F1134">
        <f t="shared" si="113"/>
        <v>138.38000500000001</v>
      </c>
      <c r="G1134">
        <v>1455.459961</v>
      </c>
      <c r="I1134" s="13">
        <f t="shared" si="114"/>
        <v>-1.9832753497869837E-2</v>
      </c>
      <c r="J1134" s="13">
        <f t="shared" si="115"/>
        <v>-2.1473754527786659E-2</v>
      </c>
      <c r="L1134" s="15">
        <v>44841</v>
      </c>
      <c r="M1134">
        <f t="shared" si="116"/>
        <v>165.28394156917835</v>
      </c>
      <c r="N1134">
        <f t="shared" si="117"/>
        <v>128.23322685938271</v>
      </c>
    </row>
    <row r="1135" spans="1:14" x14ac:dyDescent="0.45">
      <c r="A1135" s="15">
        <v>44833</v>
      </c>
      <c r="B1135">
        <v>138.88000500000001</v>
      </c>
      <c r="C1135" t="b">
        <f t="shared" si="118"/>
        <v>0</v>
      </c>
      <c r="E1135" s="15">
        <v>44844</v>
      </c>
      <c r="F1135">
        <f t="shared" si="113"/>
        <v>137.16000399999999</v>
      </c>
      <c r="G1135">
        <v>1453.459961</v>
      </c>
      <c r="I1135" s="13">
        <f t="shared" si="114"/>
        <v>-8.8163098418736485E-3</v>
      </c>
      <c r="J1135" s="13">
        <f t="shared" si="115"/>
        <v>-1.3741360488033205E-3</v>
      </c>
      <c r="L1135" s="15">
        <v>44844</v>
      </c>
      <c r="M1135">
        <f t="shared" si="116"/>
        <v>163.82674712841833</v>
      </c>
      <c r="N1135">
        <f t="shared" si="117"/>
        <v>128.05701695970086</v>
      </c>
    </row>
    <row r="1136" spans="1:14" x14ac:dyDescent="0.45">
      <c r="A1136" s="15">
        <v>44834</v>
      </c>
      <c r="B1136">
        <v>141.61999499999999</v>
      </c>
      <c r="C1136" t="b">
        <f t="shared" si="118"/>
        <v>0</v>
      </c>
      <c r="E1136" s="15">
        <v>44845</v>
      </c>
      <c r="F1136">
        <f t="shared" si="113"/>
        <v>135</v>
      </c>
      <c r="G1136">
        <v>1450.040039</v>
      </c>
      <c r="I1136" s="13">
        <f t="shared" si="114"/>
        <v>-1.5748060199823222E-2</v>
      </c>
      <c r="J1136" s="13">
        <f t="shared" si="115"/>
        <v>-2.3529523287638687E-3</v>
      </c>
      <c r="L1136" s="15">
        <v>44845</v>
      </c>
      <c r="M1136">
        <f t="shared" si="116"/>
        <v>161.24679365229878</v>
      </c>
      <c r="N1136">
        <f t="shared" si="117"/>
        <v>127.75570490343098</v>
      </c>
    </row>
    <row r="1137" spans="1:14" x14ac:dyDescent="0.45">
      <c r="A1137" s="15">
        <v>44837</v>
      </c>
      <c r="B1137">
        <v>141.240005</v>
      </c>
      <c r="E1137" s="15">
        <v>44846</v>
      </c>
      <c r="F1137">
        <f t="shared" si="113"/>
        <v>135</v>
      </c>
      <c r="G1137">
        <v>1466.150024</v>
      </c>
      <c r="I1137" s="13">
        <f t="shared" si="114"/>
        <v>0</v>
      </c>
      <c r="J1137" s="13">
        <f t="shared" si="115"/>
        <v>1.111002770041436E-2</v>
      </c>
      <c r="L1137" s="15">
        <v>44846</v>
      </c>
      <c r="M1137">
        <f t="shared" si="116"/>
        <v>161.24679365229878</v>
      </c>
      <c r="N1137">
        <f t="shared" si="117"/>
        <v>129.17507432379406</v>
      </c>
    </row>
    <row r="1138" spans="1:14" x14ac:dyDescent="0.45">
      <c r="A1138" s="15">
        <v>44838</v>
      </c>
      <c r="B1138">
        <v>149.10000600000001</v>
      </c>
      <c r="E1138" s="15">
        <v>44847</v>
      </c>
      <c r="F1138">
        <f t="shared" si="113"/>
        <v>134.88000500000001</v>
      </c>
      <c r="G1138">
        <v>1455.48999</v>
      </c>
      <c r="I1138" s="13">
        <f t="shared" si="114"/>
        <v>-8.8885185185172411E-4</v>
      </c>
      <c r="J1138" s="13">
        <f t="shared" si="115"/>
        <v>-7.270766173653187E-3</v>
      </c>
      <c r="L1138" s="15">
        <v>44847</v>
      </c>
      <c r="M1138">
        <f t="shared" si="116"/>
        <v>161.10346914115578</v>
      </c>
      <c r="N1138">
        <f t="shared" si="117"/>
        <v>128.23587256292149</v>
      </c>
    </row>
    <row r="1139" spans="1:14" x14ac:dyDescent="0.45">
      <c r="A1139" s="15">
        <v>44839</v>
      </c>
      <c r="B1139">
        <v>143.60000600000001</v>
      </c>
      <c r="E1139" s="15">
        <v>44848</v>
      </c>
      <c r="F1139">
        <f t="shared" si="113"/>
        <v>140.820007</v>
      </c>
      <c r="G1139">
        <v>1493.369995</v>
      </c>
      <c r="I1139" s="13">
        <f t="shared" si="114"/>
        <v>4.4039159102937431E-2</v>
      </c>
      <c r="J1139" s="13">
        <f t="shared" si="115"/>
        <v>2.6025603240321882E-2</v>
      </c>
      <c r="L1139" s="15">
        <v>44848</v>
      </c>
      <c r="M1139">
        <f t="shared" si="116"/>
        <v>168.19833045069831</v>
      </c>
      <c r="N1139">
        <f t="shared" si="117"/>
        <v>131.57328850342057</v>
      </c>
    </row>
    <row r="1140" spans="1:14" x14ac:dyDescent="0.45">
      <c r="A1140" s="15">
        <v>44840</v>
      </c>
      <c r="B1140">
        <v>141.179993</v>
      </c>
      <c r="E1140" s="15">
        <v>44851</v>
      </c>
      <c r="F1140">
        <f t="shared" si="113"/>
        <v>141.63999899999999</v>
      </c>
      <c r="G1140">
        <v>1505.959961</v>
      </c>
      <c r="I1140" s="13">
        <f t="shared" si="114"/>
        <v>5.8229794009312386E-3</v>
      </c>
      <c r="J1140" s="13">
        <f t="shared" si="115"/>
        <v>8.4305738311021283E-3</v>
      </c>
      <c r="L1140" s="15">
        <v>44851</v>
      </c>
      <c r="M1140">
        <f t="shared" si="116"/>
        <v>169.17774586418375</v>
      </c>
      <c r="N1140">
        <f t="shared" si="117"/>
        <v>132.68252682634957</v>
      </c>
    </row>
    <row r="1141" spans="1:14" x14ac:dyDescent="0.45">
      <c r="A1141" s="15">
        <v>44841</v>
      </c>
      <c r="B1141">
        <v>138.38000500000001</v>
      </c>
      <c r="E1141" s="15">
        <v>44852</v>
      </c>
      <c r="F1141">
        <f t="shared" si="113"/>
        <v>145.759995</v>
      </c>
      <c r="G1141">
        <v>1536.8199460000001</v>
      </c>
      <c r="I1141" s="13">
        <f t="shared" si="114"/>
        <v>2.9087800261845542E-2</v>
      </c>
      <c r="J1141" s="13">
        <f t="shared" si="115"/>
        <v>2.0491902706037513E-2</v>
      </c>
      <c r="L1141" s="15">
        <v>44852</v>
      </c>
      <c r="M1141">
        <f t="shared" si="116"/>
        <v>174.09875434463038</v>
      </c>
      <c r="N1141">
        <f t="shared" si="117"/>
        <v>135.40144425686634</v>
      </c>
    </row>
    <row r="1142" spans="1:14" x14ac:dyDescent="0.45">
      <c r="A1142" s="15">
        <v>44844</v>
      </c>
      <c r="B1142">
        <v>137.16000399999999</v>
      </c>
      <c r="E1142" s="15">
        <v>44853</v>
      </c>
      <c r="F1142">
        <f t="shared" si="113"/>
        <v>144.38000500000001</v>
      </c>
      <c r="G1142">
        <v>1508.0600589999999</v>
      </c>
      <c r="I1142" s="13">
        <f t="shared" si="114"/>
        <v>-9.4675497210328086E-3</v>
      </c>
      <c r="J1142" s="13">
        <f t="shared" si="115"/>
        <v>-1.8713894932751107E-2</v>
      </c>
      <c r="L1142" s="15">
        <v>44853</v>
      </c>
      <c r="M1142">
        <f t="shared" si="116"/>
        <v>172.4504657315027</v>
      </c>
      <c r="N1142">
        <f t="shared" si="117"/>
        <v>132.86755585530059</v>
      </c>
    </row>
    <row r="1143" spans="1:14" x14ac:dyDescent="0.45">
      <c r="A1143" s="15">
        <v>44845</v>
      </c>
      <c r="B1143">
        <v>135</v>
      </c>
      <c r="E1143" s="15">
        <v>44854</v>
      </c>
      <c r="F1143">
        <f t="shared" si="113"/>
        <v>141.779999</v>
      </c>
      <c r="G1143">
        <v>1507.48999</v>
      </c>
      <c r="I1143" s="13">
        <f t="shared" si="114"/>
        <v>-1.8008075287156311E-2</v>
      </c>
      <c r="J1143" s="13">
        <f t="shared" si="115"/>
        <v>-3.7801478568288971E-4</v>
      </c>
      <c r="L1143" s="15">
        <v>44854</v>
      </c>
      <c r="M1143">
        <f t="shared" si="116"/>
        <v>169.34496476130462</v>
      </c>
      <c r="N1143">
        <f t="shared" si="117"/>
        <v>132.81732995464975</v>
      </c>
    </row>
    <row r="1144" spans="1:14" x14ac:dyDescent="0.45">
      <c r="A1144" s="15">
        <v>44846</v>
      </c>
      <c r="B1144">
        <v>135</v>
      </c>
      <c r="E1144" s="15">
        <v>44855</v>
      </c>
      <c r="F1144">
        <f t="shared" si="113"/>
        <v>140.199997</v>
      </c>
      <c r="G1144">
        <v>1490.339966</v>
      </c>
      <c r="I1144" s="13">
        <f t="shared" si="114"/>
        <v>-1.1144040140668943E-2</v>
      </c>
      <c r="J1144" s="13">
        <f t="shared" si="115"/>
        <v>-1.1376542540093459E-2</v>
      </c>
      <c r="L1144" s="15">
        <v>44855</v>
      </c>
      <c r="M1144">
        <f t="shared" si="116"/>
        <v>167.45777767638447</v>
      </c>
      <c r="N1144">
        <f t="shared" si="117"/>
        <v>131.30632795035905</v>
      </c>
    </row>
    <row r="1145" spans="1:14" x14ac:dyDescent="0.45">
      <c r="A1145" s="15">
        <v>44847</v>
      </c>
      <c r="B1145">
        <v>134.88000500000001</v>
      </c>
      <c r="E1145" s="15">
        <v>44858</v>
      </c>
      <c r="F1145">
        <f t="shared" si="113"/>
        <v>143.39999399999999</v>
      </c>
      <c r="G1145">
        <v>1522.469971</v>
      </c>
      <c r="I1145" s="13">
        <f t="shared" si="114"/>
        <v>2.2824515467001039E-2</v>
      </c>
      <c r="J1145" s="13">
        <f t="shared" si="115"/>
        <v>2.1558842769435538E-2</v>
      </c>
      <c r="L1145" s="15">
        <v>44858</v>
      </c>
      <c r="M1145">
        <f t="shared" si="116"/>
        <v>171.27992031302873</v>
      </c>
      <c r="N1145">
        <f t="shared" si="117"/>
        <v>134.13714042927279</v>
      </c>
    </row>
    <row r="1146" spans="1:14" x14ac:dyDescent="0.45">
      <c r="A1146" s="15">
        <v>44848</v>
      </c>
      <c r="B1146">
        <v>140.820007</v>
      </c>
      <c r="E1146" s="15">
        <v>44859</v>
      </c>
      <c r="F1146">
        <f t="shared" si="113"/>
        <v>143</v>
      </c>
      <c r="G1146">
        <v>1548.290039</v>
      </c>
      <c r="I1146" s="13">
        <f t="shared" si="114"/>
        <v>-2.7893585546453492E-3</v>
      </c>
      <c r="J1146" s="13">
        <f t="shared" si="115"/>
        <v>1.6959328257253325E-2</v>
      </c>
      <c r="L1146" s="15">
        <v>44859</v>
      </c>
      <c r="M1146">
        <f t="shared" si="116"/>
        <v>170.80215920206462</v>
      </c>
      <c r="N1146">
        <f t="shared" si="117"/>
        <v>136.41201622530212</v>
      </c>
    </row>
    <row r="1147" spans="1:14" x14ac:dyDescent="0.45">
      <c r="A1147" s="15">
        <v>44851</v>
      </c>
      <c r="B1147">
        <v>141.63999899999999</v>
      </c>
      <c r="E1147" s="15">
        <v>44860</v>
      </c>
      <c r="F1147">
        <f t="shared" si="113"/>
        <v>151.61999499999999</v>
      </c>
      <c r="G1147">
        <v>1569.76001</v>
      </c>
      <c r="I1147" s="13">
        <f t="shared" si="114"/>
        <v>6.0279685314685194E-2</v>
      </c>
      <c r="J1147" s="13">
        <f t="shared" si="115"/>
        <v>1.3866892157923472E-2</v>
      </c>
      <c r="L1147" s="15">
        <v>44860</v>
      </c>
      <c r="M1147">
        <f t="shared" si="116"/>
        <v>181.09805960983383</v>
      </c>
      <c r="N1147">
        <f t="shared" si="117"/>
        <v>138.30362694334329</v>
      </c>
    </row>
    <row r="1148" spans="1:14" x14ac:dyDescent="0.45">
      <c r="A1148" s="15">
        <v>44852</v>
      </c>
      <c r="B1148">
        <v>145.759995</v>
      </c>
      <c r="E1148" s="15">
        <v>44861</v>
      </c>
      <c r="F1148">
        <f t="shared" si="113"/>
        <v>151.5</v>
      </c>
      <c r="G1148">
        <v>1565.0699460000001</v>
      </c>
      <c r="I1148" s="13">
        <f t="shared" si="114"/>
        <v>-7.9141936391691203E-4</v>
      </c>
      <c r="J1148" s="13">
        <f t="shared" si="115"/>
        <v>-2.9877586192298411E-3</v>
      </c>
      <c r="L1148" s="15">
        <v>44861</v>
      </c>
      <c r="M1148">
        <f t="shared" si="116"/>
        <v>180.95473509869083</v>
      </c>
      <c r="N1148">
        <f t="shared" si="117"/>
        <v>137.89040908987258</v>
      </c>
    </row>
    <row r="1149" spans="1:14" x14ac:dyDescent="0.45">
      <c r="A1149" s="15">
        <v>44853</v>
      </c>
      <c r="B1149">
        <v>144.38000500000001</v>
      </c>
      <c r="E1149" s="15">
        <v>44862</v>
      </c>
      <c r="F1149">
        <f t="shared" si="113"/>
        <v>148.60000600000001</v>
      </c>
      <c r="G1149">
        <v>1566.7299800000001</v>
      </c>
      <c r="I1149" s="13">
        <f t="shared" si="114"/>
        <v>-1.914187458745864E-2</v>
      </c>
      <c r="J1149" s="13">
        <f t="shared" si="115"/>
        <v>1.0606771948069582E-3</v>
      </c>
      <c r="L1149" s="15">
        <v>44862</v>
      </c>
      <c r="M1149">
        <f t="shared" si="116"/>
        <v>177.49092225342488</v>
      </c>
      <c r="N1149">
        <f t="shared" si="117"/>
        <v>138.0366663021768</v>
      </c>
    </row>
    <row r="1150" spans="1:14" x14ac:dyDescent="0.45">
      <c r="A1150" s="15">
        <v>44854</v>
      </c>
      <c r="B1150">
        <v>141.779999</v>
      </c>
      <c r="E1150" s="15">
        <v>44865</v>
      </c>
      <c r="F1150">
        <f t="shared" si="113"/>
        <v>148.39999399999999</v>
      </c>
      <c r="G1150">
        <v>1574.670044</v>
      </c>
      <c r="I1150" s="13">
        <f t="shared" si="114"/>
        <v>-1.3459757195434241E-3</v>
      </c>
      <c r="J1150" s="13">
        <f t="shared" si="115"/>
        <v>5.0679211487354436E-3</v>
      </c>
      <c r="L1150" s="15">
        <v>44865</v>
      </c>
      <c r="M1150">
        <f t="shared" si="116"/>
        <v>177.2520237816324</v>
      </c>
      <c r="N1150">
        <f t="shared" si="117"/>
        <v>138.73622524263052</v>
      </c>
    </row>
    <row r="1151" spans="1:14" x14ac:dyDescent="0.45">
      <c r="A1151" s="15">
        <v>44855</v>
      </c>
      <c r="B1151">
        <v>140.199997</v>
      </c>
      <c r="E1151" s="15">
        <v>44866</v>
      </c>
      <c r="F1151">
        <f t="shared" si="113"/>
        <v>150</v>
      </c>
      <c r="G1151">
        <v>1573.030029</v>
      </c>
      <c r="I1151" s="13">
        <f t="shared" si="114"/>
        <v>1.0781712026214807E-2</v>
      </c>
      <c r="J1151" s="13">
        <f t="shared" si="115"/>
        <v>-1.0414975545187666E-3</v>
      </c>
      <c r="L1151" s="15">
        <v>44866</v>
      </c>
      <c r="M1151">
        <f t="shared" si="116"/>
        <v>179.16310405810975</v>
      </c>
      <c r="N1151">
        <f t="shared" si="117"/>
        <v>138.59173180331717</v>
      </c>
    </row>
    <row r="1152" spans="1:14" x14ac:dyDescent="0.45">
      <c r="A1152" s="15">
        <v>44858</v>
      </c>
      <c r="B1152">
        <v>143.39999399999999</v>
      </c>
      <c r="E1152" s="15">
        <v>44867</v>
      </c>
      <c r="F1152">
        <f t="shared" si="113"/>
        <v>157.03999300000001</v>
      </c>
      <c r="G1152">
        <v>1583.48999</v>
      </c>
      <c r="I1152" s="13">
        <f t="shared" si="114"/>
        <v>4.693328666666674E-2</v>
      </c>
      <c r="J1152" s="13">
        <f t="shared" si="115"/>
        <v>6.6495621870927835E-3</v>
      </c>
      <c r="L1152" s="15">
        <v>44867</v>
      </c>
      <c r="M1152">
        <f t="shared" si="116"/>
        <v>187.57181738095886</v>
      </c>
      <c r="N1152">
        <f t="shared" si="117"/>
        <v>139.51330614256022</v>
      </c>
    </row>
    <row r="1153" spans="1:14" x14ac:dyDescent="0.45">
      <c r="A1153" s="15">
        <v>44859</v>
      </c>
      <c r="B1153">
        <v>143</v>
      </c>
      <c r="E1153" s="15">
        <v>44868</v>
      </c>
      <c r="F1153">
        <f t="shared" si="113"/>
        <v>159.66000399999999</v>
      </c>
      <c r="G1153">
        <v>1577.0200199999999</v>
      </c>
      <c r="I1153" s="13">
        <f t="shared" si="114"/>
        <v>1.6683718267868075E-2</v>
      </c>
      <c r="J1153" s="13">
        <f t="shared" si="115"/>
        <v>-4.085892579592576E-3</v>
      </c>
      <c r="L1153" s="15">
        <v>44868</v>
      </c>
      <c r="M1153">
        <f t="shared" si="116"/>
        <v>190.70121273713477</v>
      </c>
      <c r="N1153">
        <f t="shared" si="117"/>
        <v>138.94326976023791</v>
      </c>
    </row>
    <row r="1154" spans="1:14" x14ac:dyDescent="0.45">
      <c r="A1154" s="15">
        <v>44860</v>
      </c>
      <c r="B1154">
        <v>151.61999499999999</v>
      </c>
      <c r="E1154" s="15">
        <v>44869</v>
      </c>
      <c r="F1154">
        <f t="shared" si="113"/>
        <v>154.36000100000001</v>
      </c>
      <c r="G1154">
        <v>1581.650024</v>
      </c>
      <c r="I1154" s="13">
        <f t="shared" si="114"/>
        <v>-3.3195558481884935E-2</v>
      </c>
      <c r="J1154" s="13">
        <f t="shared" si="115"/>
        <v>2.9359196086806705E-3</v>
      </c>
      <c r="L1154" s="15">
        <v>44869</v>
      </c>
      <c r="M1154">
        <f t="shared" si="116"/>
        <v>184.37077947715284</v>
      </c>
      <c r="N1154">
        <f t="shared" si="117"/>
        <v>139.35119603042119</v>
      </c>
    </row>
    <row r="1155" spans="1:14" x14ac:dyDescent="0.45">
      <c r="A1155" s="15">
        <v>44861</v>
      </c>
      <c r="B1155">
        <v>151.5</v>
      </c>
      <c r="E1155" s="15">
        <v>44872</v>
      </c>
      <c r="F1155">
        <f t="shared" ref="F1155:F1218" si="119">VLOOKUP(E1155,A1155:B2394,2,0)</f>
        <v>161.220001</v>
      </c>
      <c r="G1155">
        <v>1604.959961</v>
      </c>
      <c r="I1155" s="13">
        <f t="shared" si="114"/>
        <v>4.4441564884415863E-2</v>
      </c>
      <c r="J1155" s="13">
        <f t="shared" si="115"/>
        <v>1.4737733788318774E-2</v>
      </c>
      <c r="L1155" s="15">
        <v>44872</v>
      </c>
      <c r="M1155">
        <f t="shared" si="116"/>
        <v>192.56450543607704</v>
      </c>
      <c r="N1155">
        <f t="shared" si="117"/>
        <v>141.40491686060136</v>
      </c>
    </row>
    <row r="1156" spans="1:14" x14ac:dyDescent="0.45">
      <c r="A1156" s="15">
        <v>44862</v>
      </c>
      <c r="B1156">
        <v>148.60000600000001</v>
      </c>
      <c r="E1156" s="15">
        <v>44873</v>
      </c>
      <c r="F1156">
        <f t="shared" si="119"/>
        <v>168.220001</v>
      </c>
      <c r="G1156">
        <v>1635.7299800000001</v>
      </c>
      <c r="I1156" s="13">
        <f t="shared" ref="I1156:I1219" si="120">F1156/F1155-1</f>
        <v>4.3418930384450327E-2</v>
      </c>
      <c r="J1156" s="13">
        <f t="shared" ref="J1156:J1219" si="121">G1156/G1155-1</f>
        <v>1.9171829670335372E-2</v>
      </c>
      <c r="L1156" s="15">
        <v>44873</v>
      </c>
      <c r="M1156">
        <f t="shared" ref="M1156:M1219" si="122">M1155*(1+I1156)</f>
        <v>200.92545029212218</v>
      </c>
      <c r="N1156">
        <f t="shared" ref="N1156:N1219" si="123">N1155*(1+J1156)</f>
        <v>144.11590784120074</v>
      </c>
    </row>
    <row r="1157" spans="1:14" x14ac:dyDescent="0.45">
      <c r="A1157" s="15">
        <v>44865</v>
      </c>
      <c r="B1157">
        <v>148.39999399999999</v>
      </c>
      <c r="E1157" s="15">
        <v>44874</v>
      </c>
      <c r="F1157">
        <f t="shared" si="119"/>
        <v>167.5</v>
      </c>
      <c r="G1157">
        <v>1627.5</v>
      </c>
      <c r="I1157" s="13">
        <f t="shared" si="120"/>
        <v>-4.2801152997258285E-3</v>
      </c>
      <c r="J1157" s="13">
        <f t="shared" si="121"/>
        <v>-5.0313805460727723E-3</v>
      </c>
      <c r="L1157" s="15">
        <v>44874</v>
      </c>
      <c r="M1157">
        <f t="shared" si="122"/>
        <v>200.06546619822257</v>
      </c>
      <c r="N1157">
        <f t="shared" si="123"/>
        <v>143.39080586610891</v>
      </c>
    </row>
    <row r="1158" spans="1:14" x14ac:dyDescent="0.45">
      <c r="A1158" s="15">
        <v>44866</v>
      </c>
      <c r="B1158">
        <v>150</v>
      </c>
      <c r="E1158" s="15">
        <v>44875</v>
      </c>
      <c r="F1158">
        <f t="shared" si="119"/>
        <v>187.259995</v>
      </c>
      <c r="G1158">
        <v>1689.650024</v>
      </c>
      <c r="I1158" s="13">
        <f t="shared" si="120"/>
        <v>0.11797011940298519</v>
      </c>
      <c r="J1158" s="13">
        <f t="shared" si="121"/>
        <v>3.8187418740399437E-2</v>
      </c>
      <c r="L1158" s="15">
        <v>44875</v>
      </c>
      <c r="M1158">
        <f t="shared" si="122"/>
        <v>223.66721313404079</v>
      </c>
      <c r="N1158">
        <f t="shared" si="123"/>
        <v>148.86653061324134</v>
      </c>
    </row>
    <row r="1159" spans="1:14" x14ac:dyDescent="0.45">
      <c r="A1159" s="15">
        <v>44867</v>
      </c>
      <c r="B1159">
        <v>157.03999300000001</v>
      </c>
      <c r="E1159" s="15">
        <v>44876</v>
      </c>
      <c r="F1159">
        <f t="shared" si="119"/>
        <v>182.699997</v>
      </c>
      <c r="G1159">
        <v>1667.209961</v>
      </c>
      <c r="I1159" s="13">
        <f t="shared" si="120"/>
        <v>-2.4351159466815098E-2</v>
      </c>
      <c r="J1159" s="13">
        <f t="shared" si="121"/>
        <v>-1.3280894079400252E-2</v>
      </c>
      <c r="L1159" s="15">
        <v>44876</v>
      </c>
      <c r="M1159">
        <f t="shared" si="122"/>
        <v>218.22065715951564</v>
      </c>
      <c r="N1159">
        <f t="shared" si="123"/>
        <v>146.88944998819909</v>
      </c>
    </row>
    <row r="1160" spans="1:14" x14ac:dyDescent="0.45">
      <c r="A1160" s="15">
        <v>44868</v>
      </c>
      <c r="B1160">
        <v>159.66000399999999</v>
      </c>
      <c r="E1160" s="15">
        <v>44879</v>
      </c>
      <c r="F1160">
        <f t="shared" si="119"/>
        <v>176.020004</v>
      </c>
      <c r="G1160">
        <v>1667.410034</v>
      </c>
      <c r="I1160" s="13">
        <f t="shared" si="120"/>
        <v>-3.6562633331625016E-2</v>
      </c>
      <c r="J1160" s="13">
        <f t="shared" si="121"/>
        <v>1.2000468128192665E-4</v>
      </c>
      <c r="L1160" s="15">
        <v>44879</v>
      </c>
      <c r="M1160">
        <f t="shared" si="122"/>
        <v>210.241935286406</v>
      </c>
      <c r="N1160">
        <f t="shared" si="123"/>
        <v>146.90707740982859</v>
      </c>
    </row>
    <row r="1161" spans="1:14" x14ac:dyDescent="0.45">
      <c r="A1161" s="15">
        <v>44869</v>
      </c>
      <c r="B1161">
        <v>154.36000100000001</v>
      </c>
      <c r="E1161" s="15">
        <v>44880</v>
      </c>
      <c r="F1161">
        <f t="shared" si="119"/>
        <v>180.88000500000001</v>
      </c>
      <c r="G1161">
        <v>1667.3100589999999</v>
      </c>
      <c r="I1161" s="13">
        <f t="shared" si="120"/>
        <v>2.7610503860686197E-2</v>
      </c>
      <c r="J1161" s="13">
        <f t="shared" si="121"/>
        <v>-5.995825739413263E-5</v>
      </c>
      <c r="L1161" s="15">
        <v>44880</v>
      </c>
      <c r="M1161">
        <f t="shared" si="122"/>
        <v>216.04682105230947</v>
      </c>
      <c r="N1161">
        <f t="shared" si="123"/>
        <v>146.89826911746823</v>
      </c>
    </row>
    <row r="1162" spans="1:14" x14ac:dyDescent="0.45">
      <c r="A1162" s="15">
        <v>44872</v>
      </c>
      <c r="B1162">
        <v>161.220001</v>
      </c>
      <c r="E1162" s="15">
        <v>44881</v>
      </c>
      <c r="F1162">
        <f t="shared" si="119"/>
        <v>174.220001</v>
      </c>
      <c r="G1162">
        <v>1642.209961</v>
      </c>
      <c r="I1162" s="13">
        <f t="shared" si="120"/>
        <v>-3.6820012250663114E-2</v>
      </c>
      <c r="J1162" s="13">
        <f t="shared" si="121"/>
        <v>-1.505424732761107E-2</v>
      </c>
      <c r="L1162" s="15">
        <v>44881</v>
      </c>
      <c r="M1162">
        <f t="shared" si="122"/>
        <v>208.09197445444661</v>
      </c>
      <c r="N1162">
        <f t="shared" si="123"/>
        <v>144.6868262421759</v>
      </c>
    </row>
    <row r="1163" spans="1:14" x14ac:dyDescent="0.45">
      <c r="A1163" s="15">
        <v>44873</v>
      </c>
      <c r="B1163">
        <v>168.220001</v>
      </c>
      <c r="E1163" s="15">
        <v>44882</v>
      </c>
      <c r="F1163">
        <f t="shared" si="119"/>
        <v>174.800003</v>
      </c>
      <c r="G1163">
        <v>1639.75</v>
      </c>
      <c r="I1163" s="13">
        <f t="shared" si="120"/>
        <v>3.3291355566000824E-3</v>
      </c>
      <c r="J1163" s="13">
        <f t="shared" si="121"/>
        <v>-1.4979576658408211E-3</v>
      </c>
      <c r="L1163" s="15">
        <v>44882</v>
      </c>
      <c r="M1163">
        <f t="shared" si="122"/>
        <v>208.78474084564604</v>
      </c>
      <c r="N1163">
        <f t="shared" si="123"/>
        <v>144.47009150166025</v>
      </c>
    </row>
    <row r="1164" spans="1:14" x14ac:dyDescent="0.45">
      <c r="A1164" s="15">
        <v>44874</v>
      </c>
      <c r="B1164">
        <v>167.5</v>
      </c>
      <c r="E1164" s="15">
        <v>44883</v>
      </c>
      <c r="F1164">
        <f t="shared" si="119"/>
        <v>173.279999</v>
      </c>
      <c r="G1164">
        <v>1647.1999510000001</v>
      </c>
      <c r="I1164" s="13">
        <f t="shared" si="120"/>
        <v>-8.6956749079689644E-3</v>
      </c>
      <c r="J1164" s="13">
        <f t="shared" si="121"/>
        <v>4.5433456319561305E-3</v>
      </c>
      <c r="L1164" s="15">
        <v>44883</v>
      </c>
      <c r="M1164">
        <f t="shared" si="122"/>
        <v>206.96921661350774</v>
      </c>
      <c r="N1164">
        <f t="shared" si="123"/>
        <v>145.12646906083262</v>
      </c>
    </row>
    <row r="1165" spans="1:14" x14ac:dyDescent="0.45">
      <c r="A1165" s="15">
        <v>44875</v>
      </c>
      <c r="B1165">
        <v>187.259995</v>
      </c>
      <c r="E1165" s="15">
        <v>44886</v>
      </c>
      <c r="F1165">
        <f t="shared" si="119"/>
        <v>169.53999300000001</v>
      </c>
      <c r="G1165">
        <v>1642.5699460000001</v>
      </c>
      <c r="I1165" s="13">
        <f t="shared" si="120"/>
        <v>-2.1583598924189706E-2</v>
      </c>
      <c r="J1165" s="13">
        <f t="shared" si="121"/>
        <v>-2.8108336193121142E-3</v>
      </c>
      <c r="L1165" s="15">
        <v>44886</v>
      </c>
      <c r="M1165">
        <f t="shared" si="122"/>
        <v>202.50207605246806</v>
      </c>
      <c r="N1165">
        <f t="shared" si="123"/>
        <v>144.71854270254437</v>
      </c>
    </row>
    <row r="1166" spans="1:14" x14ac:dyDescent="0.45">
      <c r="A1166" s="15">
        <v>44876</v>
      </c>
      <c r="B1166">
        <v>182.699997</v>
      </c>
      <c r="E1166" s="15">
        <v>44887</v>
      </c>
      <c r="F1166">
        <f t="shared" si="119"/>
        <v>174.05999800000001</v>
      </c>
      <c r="G1166">
        <v>1651.1999510000001</v>
      </c>
      <c r="I1166" s="13">
        <f t="shared" si="120"/>
        <v>2.6660405725037473E-2</v>
      </c>
      <c r="J1166" s="13">
        <f t="shared" si="121"/>
        <v>5.2539649961427237E-3</v>
      </c>
      <c r="L1166" s="15">
        <v>44887</v>
      </c>
      <c r="M1166">
        <f t="shared" si="122"/>
        <v>207.90086356018924</v>
      </c>
      <c r="N1166">
        <f t="shared" si="123"/>
        <v>145.47888886019632</v>
      </c>
    </row>
    <row r="1167" spans="1:14" x14ac:dyDescent="0.45">
      <c r="A1167" s="15">
        <v>44879</v>
      </c>
      <c r="B1167">
        <v>176.020004</v>
      </c>
      <c r="E1167" s="15">
        <v>44888</v>
      </c>
      <c r="F1167">
        <f t="shared" si="119"/>
        <v>177.5</v>
      </c>
      <c r="G1167">
        <v>1658.51001</v>
      </c>
      <c r="I1167" s="13">
        <f t="shared" si="120"/>
        <v>1.9763311728867139E-2</v>
      </c>
      <c r="J1167" s="13">
        <f t="shared" si="121"/>
        <v>4.427119196299012E-3</v>
      </c>
      <c r="L1167" s="15">
        <v>44888</v>
      </c>
      <c r="M1167">
        <f t="shared" si="122"/>
        <v>212.00967313542992</v>
      </c>
      <c r="N1167">
        <f t="shared" si="123"/>
        <v>146.12294124172556</v>
      </c>
    </row>
    <row r="1168" spans="1:14" x14ac:dyDescent="0.45">
      <c r="A1168" s="15">
        <v>44880</v>
      </c>
      <c r="B1168">
        <v>180.88000500000001</v>
      </c>
      <c r="E1168" s="15">
        <v>44889</v>
      </c>
      <c r="F1168">
        <f t="shared" si="119"/>
        <v>182.53999300000001</v>
      </c>
      <c r="G1168">
        <v>1677.099976</v>
      </c>
      <c r="I1168" s="13">
        <f t="shared" si="120"/>
        <v>2.8394326760563526E-2</v>
      </c>
      <c r="J1168" s="13">
        <f t="shared" si="121"/>
        <v>1.1208835574046283E-2</v>
      </c>
      <c r="L1168" s="15">
        <v>44889</v>
      </c>
      <c r="M1168">
        <f t="shared" si="122"/>
        <v>218.02954507083757</v>
      </c>
      <c r="N1168">
        <f t="shared" si="123"/>
        <v>147.76080926370008</v>
      </c>
    </row>
    <row r="1169" spans="1:14" x14ac:dyDescent="0.45">
      <c r="A1169" s="15">
        <v>44881</v>
      </c>
      <c r="B1169">
        <v>174.220001</v>
      </c>
      <c r="E1169" s="15">
        <v>44890</v>
      </c>
      <c r="F1169">
        <f t="shared" si="119"/>
        <v>178.5</v>
      </c>
      <c r="G1169">
        <v>1678.3100589999999</v>
      </c>
      <c r="I1169" s="13">
        <f t="shared" si="120"/>
        <v>-2.2132097923330152E-2</v>
      </c>
      <c r="J1169" s="13">
        <f t="shared" si="121"/>
        <v>7.2153301372401835E-4</v>
      </c>
      <c r="L1169" s="15">
        <v>44890</v>
      </c>
      <c r="M1169">
        <f t="shared" si="122"/>
        <v>213.20409382915068</v>
      </c>
      <c r="N1169">
        <f t="shared" si="123"/>
        <v>147.86742356571841</v>
      </c>
    </row>
    <row r="1170" spans="1:14" x14ac:dyDescent="0.45">
      <c r="A1170" s="15">
        <v>44882</v>
      </c>
      <c r="B1170">
        <v>174.800003</v>
      </c>
      <c r="E1170" s="15">
        <v>44893</v>
      </c>
      <c r="F1170">
        <f t="shared" si="119"/>
        <v>174.91999799999999</v>
      </c>
      <c r="G1170">
        <v>1673.420044</v>
      </c>
      <c r="I1170" s="13">
        <f t="shared" si="120"/>
        <v>-2.0056033613445434E-2</v>
      </c>
      <c r="J1170" s="13">
        <f t="shared" si="121"/>
        <v>-2.9136541092493751E-3</v>
      </c>
      <c r="L1170" s="15">
        <v>44893</v>
      </c>
      <c r="M1170">
        <f t="shared" si="122"/>
        <v>208.92806535678906</v>
      </c>
      <c r="N1170">
        <f t="shared" si="123"/>
        <v>147.43658903942205</v>
      </c>
    </row>
    <row r="1171" spans="1:14" x14ac:dyDescent="0.45">
      <c r="A1171" s="15">
        <v>44883</v>
      </c>
      <c r="B1171">
        <v>173.279999</v>
      </c>
      <c r="E1171" s="15">
        <v>44894</v>
      </c>
      <c r="F1171">
        <f t="shared" si="119"/>
        <v>176.08000200000001</v>
      </c>
      <c r="G1171">
        <v>1672.089966</v>
      </c>
      <c r="I1171" s="13">
        <f t="shared" si="120"/>
        <v>6.6316259619441098E-3</v>
      </c>
      <c r="J1171" s="13">
        <f t="shared" si="121"/>
        <v>-7.9482614348314051E-4</v>
      </c>
      <c r="L1171" s="15">
        <v>44894</v>
      </c>
      <c r="M1171">
        <f t="shared" si="122"/>
        <v>210.31359813918789</v>
      </c>
      <c r="N1171">
        <f t="shared" si="123"/>
        <v>147.31940258394752</v>
      </c>
    </row>
    <row r="1172" spans="1:14" x14ac:dyDescent="0.45">
      <c r="A1172" s="15">
        <v>44886</v>
      </c>
      <c r="B1172">
        <v>169.53999300000001</v>
      </c>
      <c r="E1172" s="15">
        <v>44895</v>
      </c>
      <c r="F1172">
        <f t="shared" si="119"/>
        <v>179.46000699999999</v>
      </c>
      <c r="G1172">
        <v>1686.6099850000001</v>
      </c>
      <c r="I1172" s="13">
        <f t="shared" si="120"/>
        <v>1.9195848259929038E-2</v>
      </c>
      <c r="J1172" s="13">
        <f t="shared" si="121"/>
        <v>8.6837546395515108E-3</v>
      </c>
      <c r="L1172" s="15">
        <v>44895</v>
      </c>
      <c r="M1172">
        <f t="shared" si="122"/>
        <v>214.35074605606744</v>
      </c>
      <c r="N1172">
        <f t="shared" si="123"/>
        <v>148.59868812963182</v>
      </c>
    </row>
    <row r="1173" spans="1:14" x14ac:dyDescent="0.45">
      <c r="A1173" s="15">
        <v>44887</v>
      </c>
      <c r="B1173">
        <v>174.05999800000001</v>
      </c>
      <c r="E1173" s="15">
        <v>44896</v>
      </c>
      <c r="F1173">
        <f t="shared" si="119"/>
        <v>181.220001</v>
      </c>
      <c r="G1173">
        <v>1713.25</v>
      </c>
      <c r="I1173" s="13">
        <f t="shared" si="120"/>
        <v>9.8071655597338214E-3</v>
      </c>
      <c r="J1173" s="13">
        <f t="shared" si="121"/>
        <v>1.5795006099172282E-2</v>
      </c>
      <c r="L1173" s="15">
        <v>44896</v>
      </c>
      <c r="M1173">
        <f t="shared" si="122"/>
        <v>216.45291931049175</v>
      </c>
      <c r="N1173">
        <f t="shared" si="123"/>
        <v>150.94580531496837</v>
      </c>
    </row>
    <row r="1174" spans="1:14" x14ac:dyDescent="0.45">
      <c r="A1174" s="15">
        <v>44888</v>
      </c>
      <c r="B1174">
        <v>177.5</v>
      </c>
      <c r="E1174" s="15">
        <v>44897</v>
      </c>
      <c r="F1174">
        <f t="shared" si="119"/>
        <v>184.11999499999999</v>
      </c>
      <c r="G1174">
        <v>1717.880005</v>
      </c>
      <c r="I1174" s="13">
        <f t="shared" si="120"/>
        <v>1.6002615517036523E-2</v>
      </c>
      <c r="J1174" s="13">
        <f t="shared" si="121"/>
        <v>2.7024689916823608E-3</v>
      </c>
      <c r="L1174" s="15">
        <v>44897</v>
      </c>
      <c r="M1174">
        <f t="shared" si="122"/>
        <v>219.91673215575767</v>
      </c>
      <c r="N1174">
        <f t="shared" si="123"/>
        <v>151.35373167325659</v>
      </c>
    </row>
    <row r="1175" spans="1:14" x14ac:dyDescent="0.45">
      <c r="A1175" s="15">
        <v>44889</v>
      </c>
      <c r="B1175">
        <v>182.53999300000001</v>
      </c>
      <c r="E1175" s="15">
        <v>44900</v>
      </c>
      <c r="F1175">
        <f t="shared" si="119"/>
        <v>189</v>
      </c>
      <c r="G1175">
        <v>1718.969971</v>
      </c>
      <c r="I1175" s="13">
        <f t="shared" si="120"/>
        <v>2.6504481493169862E-2</v>
      </c>
      <c r="J1175" s="13">
        <f t="shared" si="121"/>
        <v>6.3448319837688949E-4</v>
      </c>
      <c r="L1175" s="15">
        <v>44900</v>
      </c>
      <c r="M1175">
        <f t="shared" si="122"/>
        <v>225.74551111321836</v>
      </c>
      <c r="N1175">
        <f t="shared" si="123"/>
        <v>151.44976307301491</v>
      </c>
    </row>
    <row r="1176" spans="1:14" x14ac:dyDescent="0.45">
      <c r="A1176" s="15">
        <v>44890</v>
      </c>
      <c r="B1176">
        <v>178.5</v>
      </c>
      <c r="E1176" s="15">
        <v>44901</v>
      </c>
      <c r="F1176">
        <f t="shared" si="119"/>
        <v>186.96000699999999</v>
      </c>
      <c r="G1176">
        <v>1703.6999510000001</v>
      </c>
      <c r="I1176" s="13">
        <f t="shared" si="120"/>
        <v>-1.0793613756613807E-2</v>
      </c>
      <c r="J1176" s="13">
        <f t="shared" si="121"/>
        <v>-8.8832383681005656E-3</v>
      </c>
      <c r="L1176" s="15">
        <v>44901</v>
      </c>
      <c r="M1176">
        <f t="shared" si="122"/>
        <v>223.3089012589729</v>
      </c>
      <c r="N1176">
        <f t="shared" si="123"/>
        <v>150.10439872684495</v>
      </c>
    </row>
    <row r="1177" spans="1:14" x14ac:dyDescent="0.45">
      <c r="A1177" s="15">
        <v>44893</v>
      </c>
      <c r="B1177">
        <v>174.91999799999999</v>
      </c>
      <c r="E1177" s="15">
        <v>44902</v>
      </c>
      <c r="F1177">
        <f t="shared" si="119"/>
        <v>185.679993</v>
      </c>
      <c r="G1177">
        <v>1698</v>
      </c>
      <c r="I1177" s="13">
        <f t="shared" si="120"/>
        <v>-6.8464588793045733E-3</v>
      </c>
      <c r="J1177" s="13">
        <f t="shared" si="121"/>
        <v>-3.3456307823771514E-3</v>
      </c>
      <c r="L1177" s="15">
        <v>44902</v>
      </c>
      <c r="M1177">
        <f t="shared" si="122"/>
        <v>221.78002604912066</v>
      </c>
      <c r="N1177">
        <f t="shared" si="123"/>
        <v>149.60220482989419</v>
      </c>
    </row>
    <row r="1178" spans="1:14" x14ac:dyDescent="0.45">
      <c r="A1178" s="15">
        <v>44894</v>
      </c>
      <c r="B1178">
        <v>176.08000200000001</v>
      </c>
      <c r="E1178" s="15">
        <v>44903</v>
      </c>
      <c r="F1178">
        <f t="shared" si="119"/>
        <v>191</v>
      </c>
      <c r="G1178">
        <v>1694.709961</v>
      </c>
      <c r="I1178" s="13">
        <f t="shared" si="120"/>
        <v>2.8651482122793892E-2</v>
      </c>
      <c r="J1178" s="13">
        <f t="shared" si="121"/>
        <v>-1.9375965842166609E-3</v>
      </c>
      <c r="L1178" s="15">
        <v>44903</v>
      </c>
      <c r="M1178">
        <f t="shared" si="122"/>
        <v>228.13435250065982</v>
      </c>
      <c r="N1178">
        <f t="shared" si="123"/>
        <v>149.3123361088245</v>
      </c>
    </row>
    <row r="1179" spans="1:14" x14ac:dyDescent="0.45">
      <c r="A1179" s="15">
        <v>44895</v>
      </c>
      <c r="B1179">
        <v>179.46000699999999</v>
      </c>
      <c r="E1179" s="15">
        <v>44904</v>
      </c>
      <c r="F1179">
        <f t="shared" si="119"/>
        <v>203.300003</v>
      </c>
      <c r="G1179">
        <v>1720.0699460000001</v>
      </c>
      <c r="I1179" s="13">
        <f t="shared" si="120"/>
        <v>6.4397921465968677E-2</v>
      </c>
      <c r="J1179" s="13">
        <f t="shared" si="121"/>
        <v>1.4964203659389552E-2</v>
      </c>
      <c r="L1179" s="15">
        <v>44904</v>
      </c>
      <c r="M1179">
        <f t="shared" si="122"/>
        <v>242.82573061668691</v>
      </c>
      <c r="N1179">
        <f t="shared" si="123"/>
        <v>151.54667631521616</v>
      </c>
    </row>
    <row r="1180" spans="1:14" x14ac:dyDescent="0.45">
      <c r="A1180" s="15">
        <v>44896</v>
      </c>
      <c r="B1180">
        <v>181.220001</v>
      </c>
      <c r="E1180" s="15">
        <v>44907</v>
      </c>
      <c r="F1180">
        <f t="shared" si="119"/>
        <v>202.75</v>
      </c>
      <c r="G1180">
        <v>1704.079956</v>
      </c>
      <c r="I1180" s="13">
        <f t="shared" si="120"/>
        <v>-2.705376251273317E-3</v>
      </c>
      <c r="J1180" s="13">
        <f t="shared" si="121"/>
        <v>-9.2961277750270854E-3</v>
      </c>
      <c r="L1180" s="15">
        <v>44907</v>
      </c>
      <c r="M1180">
        <f t="shared" si="122"/>
        <v>242.16879565187844</v>
      </c>
      <c r="N1180">
        <f t="shared" si="123"/>
        <v>150.13787904830923</v>
      </c>
    </row>
    <row r="1181" spans="1:14" x14ac:dyDescent="0.45">
      <c r="A1181" s="15">
        <v>44897</v>
      </c>
      <c r="B1181">
        <v>184.11999499999999</v>
      </c>
      <c r="E1181" s="15">
        <v>44908</v>
      </c>
      <c r="F1181">
        <f t="shared" si="119"/>
        <v>205.449997</v>
      </c>
      <c r="G1181">
        <v>1727.160034</v>
      </c>
      <c r="I1181" s="13">
        <f t="shared" si="120"/>
        <v>1.3316877928483351E-2</v>
      </c>
      <c r="J1181" s="13">
        <f t="shared" si="121"/>
        <v>1.3544011194272843E-2</v>
      </c>
      <c r="L1181" s="15">
        <v>44908</v>
      </c>
      <c r="M1181">
        <f t="shared" si="122"/>
        <v>245.39372794166235</v>
      </c>
      <c r="N1181">
        <f t="shared" si="123"/>
        <v>152.1713481628239</v>
      </c>
    </row>
    <row r="1182" spans="1:14" x14ac:dyDescent="0.45">
      <c r="A1182" s="15">
        <v>44900</v>
      </c>
      <c r="B1182">
        <v>189</v>
      </c>
      <c r="E1182" s="15">
        <v>44909</v>
      </c>
      <c r="F1182">
        <f t="shared" si="119"/>
        <v>205.949997</v>
      </c>
      <c r="G1182">
        <v>1735.3599850000001</v>
      </c>
      <c r="I1182" s="13">
        <f t="shared" si="120"/>
        <v>2.433682196646636E-3</v>
      </c>
      <c r="J1182" s="13">
        <f t="shared" si="121"/>
        <v>4.7476498057967831E-3</v>
      </c>
      <c r="L1182" s="15">
        <v>44909</v>
      </c>
      <c r="M1182">
        <f t="shared" si="122"/>
        <v>245.99093828852273</v>
      </c>
      <c r="N1182">
        <f t="shared" si="123"/>
        <v>152.89380443437696</v>
      </c>
    </row>
    <row r="1183" spans="1:14" x14ac:dyDescent="0.45">
      <c r="A1183" s="15">
        <v>44901</v>
      </c>
      <c r="B1183">
        <v>186.96000699999999</v>
      </c>
      <c r="E1183" s="15">
        <v>44910</v>
      </c>
      <c r="F1183">
        <f t="shared" si="119"/>
        <v>201.64999399999999</v>
      </c>
      <c r="G1183">
        <v>1706.579956</v>
      </c>
      <c r="I1183" s="13">
        <f t="shared" si="120"/>
        <v>-2.0878868961576202E-2</v>
      </c>
      <c r="J1183" s="13">
        <f t="shared" si="121"/>
        <v>-1.6584471953235647E-2</v>
      </c>
      <c r="L1183" s="15">
        <v>44910</v>
      </c>
      <c r="M1183">
        <f t="shared" si="122"/>
        <v>240.85492572226147</v>
      </c>
      <c r="N1183">
        <f t="shared" si="123"/>
        <v>150.35814142291153</v>
      </c>
    </row>
    <row r="1184" spans="1:14" x14ac:dyDescent="0.45">
      <c r="A1184" s="15">
        <v>44902</v>
      </c>
      <c r="B1184">
        <v>185.679993</v>
      </c>
      <c r="E1184" s="15">
        <v>44911</v>
      </c>
      <c r="F1184">
        <f t="shared" si="119"/>
        <v>193.61999499999999</v>
      </c>
      <c r="G1184">
        <v>1676.26001</v>
      </c>
      <c r="I1184" s="13">
        <f t="shared" si="120"/>
        <v>-3.9821469074777127E-2</v>
      </c>
      <c r="J1184" s="13">
        <f t="shared" si="121"/>
        <v>-1.7766496022293632E-2</v>
      </c>
      <c r="L1184" s="15">
        <v>44911</v>
      </c>
      <c r="M1184">
        <f t="shared" si="122"/>
        <v>231.2637287461047</v>
      </c>
      <c r="N1184">
        <f t="shared" si="123"/>
        <v>147.68680410140192</v>
      </c>
    </row>
    <row r="1185" spans="1:14" x14ac:dyDescent="0.45">
      <c r="A1185" s="15">
        <v>44903</v>
      </c>
      <c r="B1185">
        <v>191</v>
      </c>
      <c r="E1185" s="15">
        <v>44914</v>
      </c>
      <c r="F1185">
        <f t="shared" si="119"/>
        <v>196.83999600000001</v>
      </c>
      <c r="G1185">
        <v>1678.900024</v>
      </c>
      <c r="I1185" s="13">
        <f t="shared" si="120"/>
        <v>1.6630518970935926E-2</v>
      </c>
      <c r="J1185" s="13">
        <f t="shared" si="121"/>
        <v>1.5749430185356683E-3</v>
      </c>
      <c r="L1185" s="15">
        <v>44914</v>
      </c>
      <c r="M1185">
        <f t="shared" si="122"/>
        <v>235.10976457430618</v>
      </c>
      <c r="N1185">
        <f t="shared" si="123"/>
        <v>147.91940240245125</v>
      </c>
    </row>
    <row r="1186" spans="1:14" x14ac:dyDescent="0.45">
      <c r="A1186" s="15">
        <v>44904</v>
      </c>
      <c r="B1186">
        <v>203.300003</v>
      </c>
      <c r="E1186" s="15">
        <v>44915</v>
      </c>
      <c r="F1186">
        <f t="shared" si="119"/>
        <v>191</v>
      </c>
      <c r="G1186">
        <v>1671.160034</v>
      </c>
      <c r="I1186" s="13">
        <f t="shared" si="120"/>
        <v>-2.9668746792699707E-2</v>
      </c>
      <c r="J1186" s="13">
        <f t="shared" si="121"/>
        <v>-4.6101553930290029E-3</v>
      </c>
      <c r="L1186" s="15">
        <v>44915</v>
      </c>
      <c r="M1186">
        <f t="shared" si="122"/>
        <v>228.13435250065984</v>
      </c>
      <c r="N1186">
        <f t="shared" si="123"/>
        <v>147.23747097173197</v>
      </c>
    </row>
    <row r="1187" spans="1:14" x14ac:dyDescent="0.45">
      <c r="A1187" s="15">
        <v>44907</v>
      </c>
      <c r="B1187">
        <v>202.75</v>
      </c>
      <c r="E1187" s="15">
        <v>44916</v>
      </c>
      <c r="F1187">
        <f t="shared" si="119"/>
        <v>193.759995</v>
      </c>
      <c r="G1187">
        <v>1686.829956</v>
      </c>
      <c r="I1187" s="13">
        <f t="shared" si="120"/>
        <v>1.4450235602094352E-2</v>
      </c>
      <c r="J1187" s="13">
        <f t="shared" si="121"/>
        <v>9.3766734969680243E-3</v>
      </c>
      <c r="L1187" s="15">
        <v>44916</v>
      </c>
      <c r="M1187">
        <f t="shared" si="122"/>
        <v>231.43094764322561</v>
      </c>
      <c r="N1187">
        <f t="shared" si="123"/>
        <v>148.6180686635532</v>
      </c>
    </row>
    <row r="1188" spans="1:14" x14ac:dyDescent="0.45">
      <c r="A1188" s="15">
        <v>44908</v>
      </c>
      <c r="B1188">
        <v>205.449997</v>
      </c>
      <c r="E1188" s="15">
        <v>44917</v>
      </c>
      <c r="F1188">
        <f t="shared" si="119"/>
        <v>196.240005</v>
      </c>
      <c r="G1188">
        <v>1684.630005</v>
      </c>
      <c r="I1188" s="13">
        <f t="shared" si="120"/>
        <v>1.2799391329463949E-2</v>
      </c>
      <c r="J1188" s="13">
        <f t="shared" si="121"/>
        <v>-1.3041925134035237E-3</v>
      </c>
      <c r="L1188" s="15">
        <v>44917</v>
      </c>
      <c r="M1188">
        <f t="shared" si="122"/>
        <v>234.39312290785995</v>
      </c>
      <c r="N1188">
        <f t="shared" si="123"/>
        <v>148.4242420910457</v>
      </c>
    </row>
    <row r="1189" spans="1:14" x14ac:dyDescent="0.45">
      <c r="A1189" s="15">
        <v>44909</v>
      </c>
      <c r="B1189">
        <v>205.949997</v>
      </c>
      <c r="E1189" s="15">
        <v>44918</v>
      </c>
      <c r="F1189">
        <f t="shared" si="119"/>
        <v>198.240005</v>
      </c>
      <c r="G1189">
        <v>1695.1999510000001</v>
      </c>
      <c r="I1189" s="13">
        <f t="shared" si="120"/>
        <v>1.019160186018131E-2</v>
      </c>
      <c r="J1189" s="13">
        <f t="shared" si="121"/>
        <v>6.2743427153906239E-3</v>
      </c>
      <c r="L1189" s="15">
        <v>44918</v>
      </c>
      <c r="M1189">
        <f t="shared" si="122"/>
        <v>236.78196429530141</v>
      </c>
      <c r="N1189">
        <f t="shared" si="123"/>
        <v>149.35550665319704</v>
      </c>
    </row>
    <row r="1190" spans="1:14" x14ac:dyDescent="0.45">
      <c r="A1190" s="15">
        <v>44910</v>
      </c>
      <c r="B1190">
        <v>201.64999399999999</v>
      </c>
      <c r="E1190" s="15">
        <v>44922</v>
      </c>
      <c r="F1190">
        <f t="shared" si="119"/>
        <v>201.199997</v>
      </c>
      <c r="G1190">
        <v>1701.630005</v>
      </c>
      <c r="I1190" s="13">
        <f t="shared" si="120"/>
        <v>1.493135555560543E-2</v>
      </c>
      <c r="J1190" s="13">
        <f t="shared" si="121"/>
        <v>3.7930947297437623E-3</v>
      </c>
      <c r="L1190" s="15">
        <v>44922</v>
      </c>
      <c r="M1190">
        <f t="shared" si="122"/>
        <v>240.31743999334921</v>
      </c>
      <c r="N1190">
        <f t="shared" si="123"/>
        <v>149.92202623834149</v>
      </c>
    </row>
    <row r="1191" spans="1:14" x14ac:dyDescent="0.45">
      <c r="A1191" s="15">
        <v>44911</v>
      </c>
      <c r="B1191">
        <v>193.61999499999999</v>
      </c>
      <c r="E1191" s="15">
        <v>44923</v>
      </c>
      <c r="F1191">
        <f t="shared" si="119"/>
        <v>199.699997</v>
      </c>
      <c r="G1191">
        <v>1695.209961</v>
      </c>
      <c r="I1191" s="13">
        <f t="shared" si="120"/>
        <v>-7.4552685008241193E-3</v>
      </c>
      <c r="J1191" s="13">
        <f t="shared" si="121"/>
        <v>-3.772878934395596E-3</v>
      </c>
      <c r="L1191" s="15">
        <v>44923</v>
      </c>
      <c r="M1191">
        <f t="shared" si="122"/>
        <v>238.5258089527681</v>
      </c>
      <c r="N1191">
        <f t="shared" si="123"/>
        <v>149.35638858374494</v>
      </c>
    </row>
    <row r="1192" spans="1:14" x14ac:dyDescent="0.45">
      <c r="A1192" s="15">
        <v>44914</v>
      </c>
      <c r="B1192">
        <v>196.83999600000001</v>
      </c>
      <c r="E1192" s="15">
        <v>44924</v>
      </c>
      <c r="F1192">
        <f t="shared" si="119"/>
        <v>203.75</v>
      </c>
      <c r="G1192">
        <v>1712.839966</v>
      </c>
      <c r="I1192" s="13">
        <f t="shared" si="120"/>
        <v>2.0280435958143883E-2</v>
      </c>
      <c r="J1192" s="13">
        <f t="shared" si="121"/>
        <v>1.0399894647622254E-2</v>
      </c>
      <c r="L1192" s="15">
        <v>44924</v>
      </c>
      <c r="M1192">
        <f t="shared" si="122"/>
        <v>243.36321634559917</v>
      </c>
      <c r="N1192">
        <f t="shared" si="123"/>
        <v>150.90967928996523</v>
      </c>
    </row>
    <row r="1193" spans="1:14" x14ac:dyDescent="0.45">
      <c r="A1193" s="15">
        <v>44915</v>
      </c>
      <c r="B1193">
        <v>191</v>
      </c>
      <c r="E1193" s="15">
        <v>44925</v>
      </c>
      <c r="F1193">
        <f t="shared" si="119"/>
        <v>202.10000600000001</v>
      </c>
      <c r="G1193">
        <v>1700.5600589999999</v>
      </c>
      <c r="I1193" s="13">
        <f t="shared" si="120"/>
        <v>-8.0981300613496288E-3</v>
      </c>
      <c r="J1193" s="13">
        <f t="shared" si="121"/>
        <v>-7.1693253565757731E-3</v>
      </c>
      <c r="L1193" s="15">
        <v>44925</v>
      </c>
      <c r="M1193">
        <f t="shared" si="122"/>
        <v>241.39242936748414</v>
      </c>
      <c r="N1193">
        <f t="shared" si="123"/>
        <v>149.82775869967895</v>
      </c>
    </row>
    <row r="1194" spans="1:14" x14ac:dyDescent="0.45">
      <c r="A1194" s="15">
        <v>44916</v>
      </c>
      <c r="B1194">
        <v>193.759995</v>
      </c>
      <c r="E1194" s="15">
        <v>44928</v>
      </c>
      <c r="F1194">
        <f t="shared" si="119"/>
        <v>201.699997</v>
      </c>
      <c r="G1194">
        <v>1731.150024</v>
      </c>
      <c r="I1194" s="13">
        <f t="shared" si="120"/>
        <v>-1.9792626824564064E-3</v>
      </c>
      <c r="J1194" s="13">
        <f t="shared" si="121"/>
        <v>1.7988170919401858E-2</v>
      </c>
      <c r="L1194" s="15">
        <v>44928</v>
      </c>
      <c r="M1194">
        <f t="shared" si="122"/>
        <v>240.91465034020959</v>
      </c>
      <c r="N1194">
        <f t="shared" si="123"/>
        <v>152.52288603163967</v>
      </c>
    </row>
    <row r="1195" spans="1:14" x14ac:dyDescent="0.45">
      <c r="A1195" s="15">
        <v>44917</v>
      </c>
      <c r="B1195">
        <v>196.240005</v>
      </c>
      <c r="E1195" s="15">
        <v>44929</v>
      </c>
      <c r="F1195">
        <f t="shared" si="119"/>
        <v>200.75</v>
      </c>
      <c r="G1195">
        <v>1742.4799800000001</v>
      </c>
      <c r="I1195" s="13">
        <f t="shared" si="120"/>
        <v>-4.709950491471715E-3</v>
      </c>
      <c r="J1195" s="13">
        <f t="shared" si="121"/>
        <v>6.5447568627363673E-3</v>
      </c>
      <c r="L1195" s="15">
        <v>44929</v>
      </c>
      <c r="M1195">
        <f t="shared" si="122"/>
        <v>239.77995426443698</v>
      </c>
      <c r="N1195">
        <f t="shared" si="123"/>
        <v>153.52111123671961</v>
      </c>
    </row>
    <row r="1196" spans="1:14" x14ac:dyDescent="0.45">
      <c r="A1196" s="15">
        <v>44918</v>
      </c>
      <c r="B1196">
        <v>198.240005</v>
      </c>
      <c r="E1196" s="15">
        <v>44930</v>
      </c>
      <c r="F1196">
        <f t="shared" si="119"/>
        <v>191.55999800000001</v>
      </c>
      <c r="G1196">
        <v>1728.599976</v>
      </c>
      <c r="I1196" s="13">
        <f t="shared" si="120"/>
        <v>-4.5778341220423346E-2</v>
      </c>
      <c r="J1196" s="13">
        <f t="shared" si="121"/>
        <v>-7.965660529425489E-3</v>
      </c>
      <c r="L1196" s="15">
        <v>44930</v>
      </c>
      <c r="M1196">
        <f t="shared" si="122"/>
        <v>228.80322570030208</v>
      </c>
      <c r="N1196">
        <f t="shared" si="123"/>
        <v>152.29821418050773</v>
      </c>
    </row>
    <row r="1197" spans="1:14" x14ac:dyDescent="0.45">
      <c r="A1197" s="15">
        <v>44922</v>
      </c>
      <c r="B1197">
        <v>201.199997</v>
      </c>
      <c r="E1197" s="15">
        <v>44931</v>
      </c>
      <c r="F1197">
        <f t="shared" si="119"/>
        <v>194.60000600000001</v>
      </c>
      <c r="G1197">
        <v>1717.849976</v>
      </c>
      <c r="I1197" s="13">
        <f t="shared" si="120"/>
        <v>1.5869743327101116E-2</v>
      </c>
      <c r="J1197" s="13">
        <f t="shared" si="121"/>
        <v>-6.2189055589805253E-3</v>
      </c>
      <c r="L1197" s="15">
        <v>44931</v>
      </c>
      <c r="M1197">
        <f t="shared" si="122"/>
        <v>232.43427416457865</v>
      </c>
      <c r="N1197">
        <f t="shared" si="123"/>
        <v>151.35108596971776</v>
      </c>
    </row>
    <row r="1198" spans="1:14" x14ac:dyDescent="0.45">
      <c r="A1198" s="15">
        <v>44923</v>
      </c>
      <c r="B1198">
        <v>199.699997</v>
      </c>
      <c r="E1198" s="15">
        <v>44935</v>
      </c>
      <c r="F1198">
        <f t="shared" si="119"/>
        <v>202.85000600000001</v>
      </c>
      <c r="G1198">
        <v>1740.5699460000001</v>
      </c>
      <c r="I1198" s="13">
        <f t="shared" si="120"/>
        <v>4.2394654396876064E-2</v>
      </c>
      <c r="J1198" s="13">
        <f t="shared" si="121"/>
        <v>1.3225817339942214E-2</v>
      </c>
      <c r="L1198" s="15">
        <v>44935</v>
      </c>
      <c r="M1198">
        <f t="shared" si="122"/>
        <v>242.28824488777471</v>
      </c>
      <c r="N1198">
        <f t="shared" si="123"/>
        <v>153.35282778695515</v>
      </c>
    </row>
    <row r="1199" spans="1:14" x14ac:dyDescent="0.45">
      <c r="A1199" s="15">
        <v>44924</v>
      </c>
      <c r="B1199">
        <v>203.75</v>
      </c>
      <c r="E1199" s="15">
        <v>44936</v>
      </c>
      <c r="F1199">
        <f t="shared" si="119"/>
        <v>198.699997</v>
      </c>
      <c r="G1199">
        <v>1715.030029</v>
      </c>
      <c r="I1199" s="13">
        <f t="shared" si="120"/>
        <v>-2.045851061005155E-2</v>
      </c>
      <c r="J1199" s="13">
        <f t="shared" si="121"/>
        <v>-1.4673306900819028E-2</v>
      </c>
      <c r="L1199" s="15">
        <v>44936</v>
      </c>
      <c r="M1199">
        <f t="shared" si="122"/>
        <v>237.3313882590474</v>
      </c>
      <c r="N1199">
        <f t="shared" si="123"/>
        <v>151.1026346807287</v>
      </c>
    </row>
    <row r="1200" spans="1:14" x14ac:dyDescent="0.45">
      <c r="A1200" s="15">
        <v>44925</v>
      </c>
      <c r="B1200">
        <v>202.10000600000001</v>
      </c>
      <c r="E1200" s="15">
        <v>44937</v>
      </c>
      <c r="F1200">
        <f t="shared" si="119"/>
        <v>210.699997</v>
      </c>
      <c r="G1200">
        <v>1717.1899410000001</v>
      </c>
      <c r="I1200" s="13">
        <f t="shared" si="120"/>
        <v>6.0392552497119611E-2</v>
      </c>
      <c r="J1200" s="13">
        <f t="shared" si="121"/>
        <v>1.2594018550564634E-3</v>
      </c>
      <c r="L1200" s="15">
        <v>44937</v>
      </c>
      <c r="M1200">
        <f t="shared" si="122"/>
        <v>251.66443658369619</v>
      </c>
      <c r="N1200">
        <f t="shared" si="123"/>
        <v>151.29293361914952</v>
      </c>
    </row>
    <row r="1201" spans="1:14" x14ac:dyDescent="0.45">
      <c r="A1201" s="15">
        <v>44928</v>
      </c>
      <c r="B1201">
        <v>201.699997</v>
      </c>
      <c r="E1201" s="15">
        <v>44938</v>
      </c>
      <c r="F1201">
        <f t="shared" si="119"/>
        <v>213.89999399999999</v>
      </c>
      <c r="G1201">
        <v>1722.959961</v>
      </c>
      <c r="I1201" s="13">
        <f t="shared" si="120"/>
        <v>1.5187456314961434E-2</v>
      </c>
      <c r="J1201" s="13">
        <f t="shared" si="121"/>
        <v>3.3601524573569908E-3</v>
      </c>
      <c r="L1201" s="15">
        <v>44938</v>
      </c>
      <c r="M1201">
        <f t="shared" si="122"/>
        <v>255.48657922034045</v>
      </c>
      <c r="N1201">
        <f t="shared" si="123"/>
        <v>151.80130094183065</v>
      </c>
    </row>
    <row r="1202" spans="1:14" x14ac:dyDescent="0.45">
      <c r="A1202" s="15">
        <v>44929</v>
      </c>
      <c r="B1202">
        <v>200.75</v>
      </c>
      <c r="E1202" s="15">
        <v>44939</v>
      </c>
      <c r="F1202">
        <f t="shared" si="119"/>
        <v>214.300003</v>
      </c>
      <c r="G1202">
        <v>1721.5699460000001</v>
      </c>
      <c r="I1202" s="13">
        <f t="shared" si="120"/>
        <v>1.8700748537656686E-3</v>
      </c>
      <c r="J1202" s="13">
        <f t="shared" si="121"/>
        <v>-8.0675989661027625E-4</v>
      </c>
      <c r="L1202" s="15">
        <v>44939</v>
      </c>
      <c r="M1202">
        <f t="shared" si="122"/>
        <v>255.96435824761502</v>
      </c>
      <c r="N1202">
        <f t="shared" si="123"/>
        <v>151.67883373997751</v>
      </c>
    </row>
    <row r="1203" spans="1:14" x14ac:dyDescent="0.45">
      <c r="A1203" s="15">
        <v>44930</v>
      </c>
      <c r="B1203">
        <v>191.55999800000001</v>
      </c>
      <c r="E1203" s="15">
        <v>44942</v>
      </c>
      <c r="F1203">
        <f t="shared" si="119"/>
        <v>216.199997</v>
      </c>
      <c r="G1203">
        <v>1753.400024</v>
      </c>
      <c r="I1203" s="13">
        <f t="shared" si="120"/>
        <v>8.8660474727104699E-3</v>
      </c>
      <c r="J1203" s="13">
        <f t="shared" si="121"/>
        <v>1.8488983310818163E-2</v>
      </c>
      <c r="L1203" s="15">
        <v>44942</v>
      </c>
      <c r="M1203">
        <f t="shared" si="122"/>
        <v>258.23375039916027</v>
      </c>
      <c r="N1203">
        <f t="shared" si="123"/>
        <v>154.48322116560033</v>
      </c>
    </row>
    <row r="1204" spans="1:14" x14ac:dyDescent="0.45">
      <c r="A1204" s="15">
        <v>44931</v>
      </c>
      <c r="B1204">
        <v>194.60000600000001</v>
      </c>
      <c r="E1204" s="15">
        <v>44943</v>
      </c>
      <c r="F1204">
        <f t="shared" si="119"/>
        <v>213.89999399999999</v>
      </c>
      <c r="G1204">
        <v>1754.709961</v>
      </c>
      <c r="I1204" s="13">
        <f t="shared" si="120"/>
        <v>-1.0638311895998842E-2</v>
      </c>
      <c r="J1204" s="13">
        <f t="shared" si="121"/>
        <v>7.4708394095468478E-4</v>
      </c>
      <c r="L1204" s="15">
        <v>44943</v>
      </c>
      <c r="M1204">
        <f t="shared" si="122"/>
        <v>255.4865792203405</v>
      </c>
      <c r="N1204">
        <f t="shared" si="123"/>
        <v>154.59863309928011</v>
      </c>
    </row>
    <row r="1205" spans="1:14" x14ac:dyDescent="0.45">
      <c r="A1205" s="15">
        <v>44935</v>
      </c>
      <c r="B1205">
        <v>202.85000600000001</v>
      </c>
      <c r="E1205" s="15">
        <v>44944</v>
      </c>
      <c r="F1205">
        <f t="shared" si="119"/>
        <v>210.60000600000001</v>
      </c>
      <c r="G1205">
        <v>1758.160034</v>
      </c>
      <c r="I1205" s="13">
        <f t="shared" si="120"/>
        <v>-1.542771431774792E-2</v>
      </c>
      <c r="J1205" s="13">
        <f t="shared" si="121"/>
        <v>1.9661785005391508E-3</v>
      </c>
      <c r="L1205" s="15">
        <v>44944</v>
      </c>
      <c r="M1205">
        <f t="shared" si="122"/>
        <v>251.54500526411042</v>
      </c>
      <c r="N1205">
        <f t="shared" si="123"/>
        <v>154.90260160789265</v>
      </c>
    </row>
    <row r="1206" spans="1:14" x14ac:dyDescent="0.45">
      <c r="A1206" s="15">
        <v>44936</v>
      </c>
      <c r="B1206">
        <v>198.699997</v>
      </c>
      <c r="E1206" s="15">
        <v>44945</v>
      </c>
      <c r="F1206">
        <f t="shared" si="119"/>
        <v>201.14999399999999</v>
      </c>
      <c r="G1206">
        <v>1723.6899410000001</v>
      </c>
      <c r="I1206" s="13">
        <f t="shared" si="120"/>
        <v>-4.4871850573451666E-2</v>
      </c>
      <c r="J1206" s="13">
        <f t="shared" si="121"/>
        <v>-1.960577668323904E-2</v>
      </c>
      <c r="L1206" s="15">
        <v>44945</v>
      </c>
      <c r="M1206">
        <f t="shared" si="122"/>
        <v>240.25771537540115</v>
      </c>
      <c r="N1206">
        <f t="shared" si="123"/>
        <v>151.86561579311555</v>
      </c>
    </row>
    <row r="1207" spans="1:14" x14ac:dyDescent="0.45">
      <c r="A1207" s="15">
        <v>44937</v>
      </c>
      <c r="B1207">
        <v>210.699997</v>
      </c>
      <c r="E1207" s="15">
        <v>44946</v>
      </c>
      <c r="F1207">
        <f t="shared" si="119"/>
        <v>202.050003</v>
      </c>
      <c r="G1207">
        <v>1722.8599850000001</v>
      </c>
      <c r="I1207" s="13">
        <f t="shared" si="120"/>
        <v>4.4743178068402667E-3</v>
      </c>
      <c r="J1207" s="13">
        <f t="shared" si="121"/>
        <v>-4.8149959007048881E-4</v>
      </c>
      <c r="L1207" s="15">
        <v>44946</v>
      </c>
      <c r="M1207">
        <f t="shared" si="122"/>
        <v>241.33270474953608</v>
      </c>
      <c r="N1207">
        <f t="shared" si="123"/>
        <v>151.79249256136538</v>
      </c>
    </row>
    <row r="1208" spans="1:14" x14ac:dyDescent="0.45">
      <c r="A1208" s="15">
        <v>44938</v>
      </c>
      <c r="B1208">
        <v>213.89999399999999</v>
      </c>
      <c r="E1208" s="15">
        <v>44949</v>
      </c>
      <c r="F1208">
        <f t="shared" si="119"/>
        <v>202.949997</v>
      </c>
      <c r="G1208">
        <v>1729.48999</v>
      </c>
      <c r="I1208" s="13">
        <f t="shared" si="120"/>
        <v>4.4543132226531057E-3</v>
      </c>
      <c r="J1208" s="13">
        <f t="shared" si="121"/>
        <v>3.8482552602787656E-3</v>
      </c>
      <c r="L1208" s="15">
        <v>44949</v>
      </c>
      <c r="M1208">
        <f t="shared" si="122"/>
        <v>242.40767620736057</v>
      </c>
      <c r="N1208">
        <f t="shared" si="123"/>
        <v>152.37662881933548</v>
      </c>
    </row>
    <row r="1209" spans="1:14" x14ac:dyDescent="0.45">
      <c r="A1209" s="15">
        <v>44939</v>
      </c>
      <c r="B1209">
        <v>214.300003</v>
      </c>
      <c r="E1209" s="15">
        <v>44950</v>
      </c>
      <c r="F1209">
        <f t="shared" si="119"/>
        <v>201.75</v>
      </c>
      <c r="G1209">
        <v>1720.540039</v>
      </c>
      <c r="I1209" s="13">
        <f t="shared" si="120"/>
        <v>-5.9127717060276641E-3</v>
      </c>
      <c r="J1209" s="13">
        <f t="shared" si="121"/>
        <v>-5.1749076616511847E-3</v>
      </c>
      <c r="L1209" s="15">
        <v>44950</v>
      </c>
      <c r="M1209">
        <f t="shared" si="122"/>
        <v>240.97437495815777</v>
      </c>
      <c r="N1209">
        <f t="shared" si="123"/>
        <v>151.58809383540171</v>
      </c>
    </row>
    <row r="1210" spans="1:14" x14ac:dyDescent="0.45">
      <c r="A1210" s="15">
        <v>44942</v>
      </c>
      <c r="B1210">
        <v>216.199997</v>
      </c>
      <c r="E1210" s="15">
        <v>44951</v>
      </c>
      <c r="F1210">
        <f t="shared" si="119"/>
        <v>196.679993</v>
      </c>
      <c r="G1210">
        <v>1681.23999</v>
      </c>
      <c r="I1210" s="13">
        <f t="shared" si="120"/>
        <v>-2.5130146220570082E-2</v>
      </c>
      <c r="J1210" s="13">
        <f t="shared" si="121"/>
        <v>-2.2841693950256259E-2</v>
      </c>
      <c r="L1210" s="15">
        <v>44951</v>
      </c>
      <c r="M1210">
        <f t="shared" si="122"/>
        <v>234.91865368004878</v>
      </c>
      <c r="N1210">
        <f t="shared" si="123"/>
        <v>148.12556498951074</v>
      </c>
    </row>
    <row r="1211" spans="1:14" x14ac:dyDescent="0.45">
      <c r="A1211" s="15">
        <v>44943</v>
      </c>
      <c r="B1211">
        <v>213.89999399999999</v>
      </c>
      <c r="E1211" s="15">
        <v>44952</v>
      </c>
      <c r="F1211">
        <f t="shared" si="119"/>
        <v>197.53999300000001</v>
      </c>
      <c r="G1211">
        <v>1692.1800539999999</v>
      </c>
      <c r="I1211" s="13">
        <f t="shared" si="120"/>
        <v>4.3725850651215037E-3</v>
      </c>
      <c r="J1211" s="13">
        <f t="shared" si="121"/>
        <v>6.5071400068230645E-3</v>
      </c>
      <c r="L1211" s="15">
        <v>44952</v>
      </c>
      <c r="M1211">
        <f t="shared" si="122"/>
        <v>235.9458554766486</v>
      </c>
      <c r="N1211">
        <f t="shared" si="123"/>
        <v>149.08943877948724</v>
      </c>
    </row>
    <row r="1212" spans="1:14" x14ac:dyDescent="0.45">
      <c r="A1212" s="15">
        <v>44944</v>
      </c>
      <c r="B1212">
        <v>210.60000600000001</v>
      </c>
      <c r="E1212" s="15">
        <v>44953</v>
      </c>
      <c r="F1212">
        <f t="shared" si="119"/>
        <v>192.259995</v>
      </c>
      <c r="G1212">
        <v>1691.130005</v>
      </c>
      <c r="I1212" s="13">
        <f t="shared" si="120"/>
        <v>-2.6728754617299177E-2</v>
      </c>
      <c r="J1212" s="13">
        <f t="shared" si="121"/>
        <v>-6.2053030203124138E-4</v>
      </c>
      <c r="L1212" s="15">
        <v>44953</v>
      </c>
      <c r="M1212">
        <f t="shared" si="122"/>
        <v>229.63931660264453</v>
      </c>
      <c r="N1212">
        <f t="shared" si="123"/>
        <v>148.99692426501173</v>
      </c>
    </row>
    <row r="1213" spans="1:14" x14ac:dyDescent="0.45">
      <c r="A1213" s="15">
        <v>44945</v>
      </c>
      <c r="B1213">
        <v>201.14999399999999</v>
      </c>
      <c r="E1213" s="15">
        <v>44956</v>
      </c>
      <c r="F1213">
        <f t="shared" si="119"/>
        <v>193.94000199999999</v>
      </c>
      <c r="G1213">
        <v>1701.2299800000001</v>
      </c>
      <c r="I1213" s="13">
        <f t="shared" si="120"/>
        <v>8.7382037017111891E-3</v>
      </c>
      <c r="J1213" s="13">
        <f t="shared" si="121"/>
        <v>5.9723232218329425E-3</v>
      </c>
      <c r="L1213" s="15">
        <v>44956</v>
      </c>
      <c r="M1213">
        <f t="shared" si="122"/>
        <v>231.64595172904018</v>
      </c>
      <c r="N1213">
        <f t="shared" si="123"/>
        <v>149.88678205578134</v>
      </c>
    </row>
    <row r="1214" spans="1:14" x14ac:dyDescent="0.45">
      <c r="A1214" s="15">
        <v>44946</v>
      </c>
      <c r="B1214">
        <v>202.050003</v>
      </c>
      <c r="E1214" s="15">
        <v>44957</v>
      </c>
      <c r="F1214">
        <f t="shared" si="119"/>
        <v>198.779999</v>
      </c>
      <c r="G1214">
        <v>1698.420044</v>
      </c>
      <c r="I1214" s="13">
        <f t="shared" si="120"/>
        <v>2.495615628590131E-2</v>
      </c>
      <c r="J1214" s="13">
        <f t="shared" si="121"/>
        <v>-1.6517084891720657E-3</v>
      </c>
      <c r="L1214" s="15">
        <v>44957</v>
      </c>
      <c r="M1214">
        <f t="shared" si="122"/>
        <v>237.42694430338645</v>
      </c>
      <c r="N1214">
        <f t="shared" si="123"/>
        <v>149.63921278544512</v>
      </c>
    </row>
    <row r="1215" spans="1:14" x14ac:dyDescent="0.45">
      <c r="A1215" s="15">
        <v>44949</v>
      </c>
      <c r="B1215">
        <v>202.949997</v>
      </c>
      <c r="E1215" s="15">
        <v>44958</v>
      </c>
      <c r="F1215">
        <f t="shared" si="119"/>
        <v>197.820007</v>
      </c>
      <c r="G1215">
        <v>1716.8900149999999</v>
      </c>
      <c r="I1215" s="13">
        <f t="shared" si="120"/>
        <v>-4.8294194829933135E-3</v>
      </c>
      <c r="J1215" s="13">
        <f t="shared" si="121"/>
        <v>1.0874795705131168E-2</v>
      </c>
      <c r="L1215" s="15">
        <v>44958</v>
      </c>
      <c r="M1215">
        <f t="shared" si="122"/>
        <v>236.2803099927801</v>
      </c>
      <c r="N1215">
        <f t="shared" si="123"/>
        <v>151.26650865396348</v>
      </c>
    </row>
    <row r="1216" spans="1:14" x14ac:dyDescent="0.45">
      <c r="A1216" s="15">
        <v>44950</v>
      </c>
      <c r="B1216">
        <v>201.75</v>
      </c>
      <c r="E1216" s="15">
        <v>44959</v>
      </c>
      <c r="F1216">
        <f t="shared" si="119"/>
        <v>204.800003</v>
      </c>
      <c r="G1216">
        <v>1750.6099850000001</v>
      </c>
      <c r="I1216" s="13">
        <f t="shared" si="120"/>
        <v>3.5284580694610934E-2</v>
      </c>
      <c r="J1216" s="13">
        <f t="shared" si="121"/>
        <v>1.9640145673513132E-2</v>
      </c>
      <c r="L1216" s="15">
        <v>44959</v>
      </c>
      <c r="M1216">
        <f t="shared" si="122"/>
        <v>244.61736165726805</v>
      </c>
      <c r="N1216">
        <f t="shared" si="123"/>
        <v>154.23740491945105</v>
      </c>
    </row>
    <row r="1217" spans="1:14" x14ac:dyDescent="0.45">
      <c r="A1217" s="15">
        <v>44951</v>
      </c>
      <c r="B1217">
        <v>196.679993</v>
      </c>
      <c r="E1217" s="15">
        <v>44960</v>
      </c>
      <c r="F1217">
        <f t="shared" si="119"/>
        <v>201.699997</v>
      </c>
      <c r="G1217">
        <v>1766.4799800000001</v>
      </c>
      <c r="I1217" s="13">
        <f t="shared" si="120"/>
        <v>-1.5136747825145291E-2</v>
      </c>
      <c r="J1217" s="13">
        <f t="shared" si="121"/>
        <v>9.0654087066686095E-3</v>
      </c>
      <c r="L1217" s="15">
        <v>44960</v>
      </c>
      <c r="M1217">
        <f t="shared" si="122"/>
        <v>240.91465034020962</v>
      </c>
      <c r="N1217">
        <f t="shared" si="123"/>
        <v>155.63563003290182</v>
      </c>
    </row>
    <row r="1218" spans="1:14" x14ac:dyDescent="0.45">
      <c r="A1218" s="15">
        <v>44952</v>
      </c>
      <c r="B1218">
        <v>197.53999300000001</v>
      </c>
      <c r="E1218" s="15">
        <v>44963</v>
      </c>
      <c r="F1218">
        <f t="shared" si="119"/>
        <v>201.25</v>
      </c>
      <c r="G1218">
        <v>1758.4300539999999</v>
      </c>
      <c r="I1218" s="13">
        <f t="shared" si="120"/>
        <v>-2.2310213519735056E-3</v>
      </c>
      <c r="J1218" s="13">
        <f t="shared" si="121"/>
        <v>-4.5570434373108926E-3</v>
      </c>
      <c r="L1218" s="15">
        <v>44963</v>
      </c>
      <c r="M1218">
        <f t="shared" si="122"/>
        <v>240.37716461129739</v>
      </c>
      <c r="N1218">
        <f t="shared" si="123"/>
        <v>154.92639170644864</v>
      </c>
    </row>
    <row r="1219" spans="1:14" x14ac:dyDescent="0.45">
      <c r="A1219" s="15">
        <v>44953</v>
      </c>
      <c r="B1219">
        <v>192.259995</v>
      </c>
      <c r="E1219" s="15">
        <v>44964</v>
      </c>
      <c r="F1219">
        <f t="shared" ref="F1219:F1234" si="124">VLOOKUP(E1219,A1219:B2458,2,0)</f>
        <v>199.58000200000001</v>
      </c>
      <c r="G1219">
        <v>1757.1099850000001</v>
      </c>
      <c r="I1219" s="13">
        <f t="shared" si="120"/>
        <v>-8.2981267080745047E-3</v>
      </c>
      <c r="J1219" s="13">
        <f t="shared" si="121"/>
        <v>-7.5070884792771686E-4</v>
      </c>
      <c r="L1219" s="15">
        <v>44964</v>
      </c>
      <c r="M1219">
        <f t="shared" si="122"/>
        <v>238.38248444162517</v>
      </c>
      <c r="N1219">
        <f t="shared" si="123"/>
        <v>154.81008709341708</v>
      </c>
    </row>
    <row r="1220" spans="1:14" x14ac:dyDescent="0.45">
      <c r="A1220" s="15">
        <v>44956</v>
      </c>
      <c r="B1220">
        <v>193.94000199999999</v>
      </c>
      <c r="E1220" s="15">
        <v>44965</v>
      </c>
      <c r="F1220">
        <f t="shared" si="124"/>
        <v>208.5</v>
      </c>
      <c r="G1220">
        <v>1775.030029</v>
      </c>
      <c r="I1220" s="13">
        <f t="shared" ref="I1220:I1234" si="125">F1220/F1219-1</f>
        <v>4.4693846630986522E-2</v>
      </c>
      <c r="J1220" s="13">
        <f t="shared" ref="J1220:J1234" si="126">G1220/G1219-1</f>
        <v>1.0198589816789339E-2</v>
      </c>
      <c r="L1220" s="15">
        <v>44965</v>
      </c>
      <c r="M1220">
        <f t="shared" ref="M1220:M1234" si="127">M1219*(1+I1220)</f>
        <v>249.03671464077269</v>
      </c>
      <c r="N1220">
        <f t="shared" ref="N1220:N1234" si="128">N1219*(1+J1220)</f>
        <v>156.38893167118428</v>
      </c>
    </row>
    <row r="1221" spans="1:14" x14ac:dyDescent="0.45">
      <c r="A1221" s="15">
        <v>44957</v>
      </c>
      <c r="B1221">
        <v>198.779999</v>
      </c>
      <c r="E1221" s="15">
        <v>44966</v>
      </c>
      <c r="F1221">
        <f t="shared" si="124"/>
        <v>215.89999399999999</v>
      </c>
      <c r="G1221">
        <v>1789.3000489999999</v>
      </c>
      <c r="I1221" s="13">
        <f t="shared" si="125"/>
        <v>3.5491577937649899E-2</v>
      </c>
      <c r="J1221" s="13">
        <f t="shared" si="126"/>
        <v>8.0393118802837282E-3</v>
      </c>
      <c r="L1221" s="15">
        <v>44966</v>
      </c>
      <c r="M1221">
        <f t="shared" si="127"/>
        <v>257.87542060778196</v>
      </c>
      <c r="N1221">
        <f t="shared" si="128"/>
        <v>157.64619106751331</v>
      </c>
    </row>
    <row r="1222" spans="1:14" x14ac:dyDescent="0.45">
      <c r="A1222" s="15">
        <v>44958</v>
      </c>
      <c r="B1222">
        <v>197.820007</v>
      </c>
      <c r="E1222" s="15">
        <v>44967</v>
      </c>
      <c r="F1222">
        <f t="shared" si="124"/>
        <v>213.10000600000001</v>
      </c>
      <c r="G1222">
        <v>1765.630005</v>
      </c>
      <c r="I1222" s="13">
        <f t="shared" si="125"/>
        <v>-1.2968911893531554E-2</v>
      </c>
      <c r="J1222" s="13">
        <f t="shared" si="126"/>
        <v>-1.3228661125465613E-2</v>
      </c>
      <c r="L1222" s="15">
        <v>44967</v>
      </c>
      <c r="M1222">
        <f t="shared" si="127"/>
        <v>254.53105699841225</v>
      </c>
      <c r="N1222">
        <f t="shared" si="128"/>
        <v>155.56074302816077</v>
      </c>
    </row>
    <row r="1223" spans="1:14" x14ac:dyDescent="0.45">
      <c r="A1223" s="15">
        <v>44959</v>
      </c>
      <c r="B1223">
        <v>204.800003</v>
      </c>
      <c r="E1223" s="15">
        <v>44970</v>
      </c>
      <c r="F1223">
        <f t="shared" si="124"/>
        <v>211.75</v>
      </c>
      <c r="G1223">
        <v>1777.4300539999999</v>
      </c>
      <c r="I1223" s="13">
        <f t="shared" si="125"/>
        <v>-6.3350819427007155E-3</v>
      </c>
      <c r="J1223" s="13">
        <f t="shared" si="126"/>
        <v>6.6831946481336058E-3</v>
      </c>
      <c r="L1223" s="15">
        <v>44970</v>
      </c>
      <c r="M1223">
        <f t="shared" si="127"/>
        <v>252.91858189536509</v>
      </c>
      <c r="N1223">
        <f t="shared" si="128"/>
        <v>156.60038575342625</v>
      </c>
    </row>
    <row r="1224" spans="1:14" x14ac:dyDescent="0.45">
      <c r="A1224" s="15">
        <v>44960</v>
      </c>
      <c r="B1224">
        <v>201.699997</v>
      </c>
      <c r="E1224" s="15">
        <v>44971</v>
      </c>
      <c r="F1224">
        <f t="shared" si="124"/>
        <v>208.199997</v>
      </c>
      <c r="G1224">
        <v>1776.530029</v>
      </c>
      <c r="I1224" s="13">
        <f t="shared" si="125"/>
        <v>-1.6765067296340086E-2</v>
      </c>
      <c r="J1224" s="13">
        <f t="shared" si="126"/>
        <v>-5.0636310440144161E-4</v>
      </c>
      <c r="L1224" s="15">
        <v>44971</v>
      </c>
      <c r="M1224">
        <f t="shared" si="127"/>
        <v>248.6783848493944</v>
      </c>
      <c r="N1224">
        <f t="shared" si="128"/>
        <v>156.52108909594568</v>
      </c>
    </row>
    <row r="1225" spans="1:14" x14ac:dyDescent="0.45">
      <c r="A1225" s="15">
        <v>44963</v>
      </c>
      <c r="B1225">
        <v>201.25</v>
      </c>
      <c r="E1225" s="15">
        <v>44972</v>
      </c>
      <c r="F1225">
        <f t="shared" si="124"/>
        <v>207.800003</v>
      </c>
      <c r="G1225">
        <v>1780.719971</v>
      </c>
      <c r="I1225" s="13">
        <f t="shared" si="125"/>
        <v>-1.9212007961748601E-3</v>
      </c>
      <c r="J1225" s="13">
        <f t="shared" si="126"/>
        <v>2.3584977071051672E-3</v>
      </c>
      <c r="L1225" s="15">
        <v>44972</v>
      </c>
      <c r="M1225">
        <f t="shared" si="127"/>
        <v>248.20062373843027</v>
      </c>
      <c r="N1225">
        <f t="shared" si="128"/>
        <v>156.89024372569207</v>
      </c>
    </row>
    <row r="1226" spans="1:14" x14ac:dyDescent="0.45">
      <c r="A1226" s="15">
        <v>44964</v>
      </c>
      <c r="B1226">
        <v>199.58000200000001</v>
      </c>
      <c r="E1226" s="15">
        <v>44973</v>
      </c>
      <c r="F1226">
        <f t="shared" si="124"/>
        <v>206.550003</v>
      </c>
      <c r="G1226">
        <v>1783.119995</v>
      </c>
      <c r="I1226" s="13">
        <f t="shared" si="125"/>
        <v>-6.0153993356776292E-3</v>
      </c>
      <c r="J1226" s="13">
        <f t="shared" si="126"/>
        <v>1.3477829412180675E-3</v>
      </c>
      <c r="L1226" s="15">
        <v>44973</v>
      </c>
      <c r="M1226">
        <f t="shared" si="127"/>
        <v>246.70759787127935</v>
      </c>
      <c r="N1226">
        <f t="shared" si="128"/>
        <v>157.1016977198291</v>
      </c>
    </row>
    <row r="1227" spans="1:14" x14ac:dyDescent="0.45">
      <c r="A1227" s="15">
        <v>44965</v>
      </c>
      <c r="B1227">
        <v>208.5</v>
      </c>
      <c r="E1227" s="15">
        <v>44974</v>
      </c>
      <c r="F1227">
        <f t="shared" si="124"/>
        <v>205</v>
      </c>
      <c r="G1227">
        <v>1784.790039</v>
      </c>
      <c r="I1227" s="13">
        <f t="shared" si="125"/>
        <v>-7.5042506777402984E-3</v>
      </c>
      <c r="J1227" s="13">
        <f t="shared" si="126"/>
        <v>9.3658531376616949E-4</v>
      </c>
      <c r="L1227" s="15">
        <v>44974</v>
      </c>
      <c r="M1227">
        <f t="shared" si="127"/>
        <v>244.85624221275012</v>
      </c>
      <c r="N1227">
        <f t="shared" si="128"/>
        <v>157.24883686268123</v>
      </c>
    </row>
    <row r="1228" spans="1:14" x14ac:dyDescent="0.45">
      <c r="A1228" s="15">
        <v>44966</v>
      </c>
      <c r="B1228">
        <v>215.89999399999999</v>
      </c>
      <c r="E1228" s="15">
        <v>44977</v>
      </c>
      <c r="F1228">
        <f t="shared" si="124"/>
        <v>205.10000600000001</v>
      </c>
      <c r="G1228">
        <v>1791.5699460000001</v>
      </c>
      <c r="I1228" s="13">
        <f t="shared" si="125"/>
        <v>4.8783414634145927E-4</v>
      </c>
      <c r="J1228" s="13">
        <f t="shared" si="126"/>
        <v>3.798714051429064E-3</v>
      </c>
      <c r="L1228" s="15">
        <v>44977</v>
      </c>
      <c r="M1228">
        <f t="shared" si="127"/>
        <v>244.97569144864636</v>
      </c>
      <c r="N1228">
        <f t="shared" si="128"/>
        <v>157.84618022884237</v>
      </c>
    </row>
    <row r="1229" spans="1:14" x14ac:dyDescent="0.45">
      <c r="A1229" s="15">
        <v>44967</v>
      </c>
      <c r="B1229">
        <v>213.10000600000001</v>
      </c>
      <c r="E1229" s="15">
        <v>44978</v>
      </c>
      <c r="F1229">
        <f t="shared" si="124"/>
        <v>203.25</v>
      </c>
      <c r="G1229">
        <v>1793.459961</v>
      </c>
      <c r="I1229" s="13">
        <f t="shared" si="125"/>
        <v>-9.0200192388097955E-3</v>
      </c>
      <c r="J1229" s="13">
        <f t="shared" si="126"/>
        <v>1.0549490429998531E-3</v>
      </c>
      <c r="L1229" s="15">
        <v>44978</v>
      </c>
      <c r="M1229">
        <f t="shared" si="127"/>
        <v>242.76600599873885</v>
      </c>
      <c r="N1229">
        <f t="shared" si="128"/>
        <v>158.01269990561596</v>
      </c>
    </row>
    <row r="1230" spans="1:14" x14ac:dyDescent="0.45">
      <c r="A1230" s="15">
        <v>44970</v>
      </c>
      <c r="B1230">
        <v>211.75</v>
      </c>
      <c r="E1230" s="15">
        <v>44979</v>
      </c>
      <c r="F1230">
        <f t="shared" si="124"/>
        <v>197.46000699999999</v>
      </c>
      <c r="G1230">
        <v>1775.959961</v>
      </c>
      <c r="I1230" s="13">
        <f t="shared" si="125"/>
        <v>-2.8487050430504368E-2</v>
      </c>
      <c r="J1230" s="13">
        <f t="shared" si="126"/>
        <v>-9.7576753206368716E-3</v>
      </c>
      <c r="L1230" s="15">
        <v>44979</v>
      </c>
      <c r="M1230">
        <f t="shared" si="127"/>
        <v>235.85031854304066</v>
      </c>
      <c r="N1230">
        <f t="shared" si="128"/>
        <v>156.47086328339972</v>
      </c>
    </row>
    <row r="1231" spans="1:14" x14ac:dyDescent="0.45">
      <c r="A1231" s="15">
        <v>44971</v>
      </c>
      <c r="B1231">
        <v>208.199997</v>
      </c>
      <c r="E1231" s="15">
        <v>44980</v>
      </c>
      <c r="F1231">
        <f t="shared" si="124"/>
        <v>201</v>
      </c>
      <c r="G1231">
        <v>1779.869995</v>
      </c>
      <c r="I1231" s="13">
        <f t="shared" si="125"/>
        <v>1.7927645470001474E-2</v>
      </c>
      <c r="J1231" s="13">
        <f t="shared" si="126"/>
        <v>2.2016453556747972E-3</v>
      </c>
      <c r="L1231" s="15">
        <v>44980</v>
      </c>
      <c r="M1231">
        <f t="shared" si="127"/>
        <v>240.0785594378672</v>
      </c>
      <c r="N1231">
        <f t="shared" si="128"/>
        <v>156.81535663284603</v>
      </c>
    </row>
    <row r="1232" spans="1:14" x14ac:dyDescent="0.45">
      <c r="A1232" s="15">
        <v>44972</v>
      </c>
      <c r="B1232">
        <v>207.800003</v>
      </c>
      <c r="E1232" s="15">
        <v>44981</v>
      </c>
      <c r="F1232">
        <f t="shared" si="124"/>
        <v>198.41999799999999</v>
      </c>
      <c r="G1232">
        <v>1772.660034</v>
      </c>
      <c r="I1232" s="13">
        <f t="shared" si="125"/>
        <v>-1.2835830845771223E-2</v>
      </c>
      <c r="J1232" s="13">
        <f t="shared" si="126"/>
        <v>-4.0508357465737221E-3</v>
      </c>
      <c r="L1232" s="15">
        <v>44981</v>
      </c>
      <c r="M1232">
        <f t="shared" si="127"/>
        <v>236.99695165922631</v>
      </c>
      <c r="N1232">
        <f t="shared" si="128"/>
        <v>156.180123380586</v>
      </c>
    </row>
    <row r="1233" spans="1:14" x14ac:dyDescent="0.45">
      <c r="A1233" s="15">
        <v>44973</v>
      </c>
      <c r="B1233">
        <v>206.550003</v>
      </c>
      <c r="E1233" s="15">
        <v>44984</v>
      </c>
      <c r="F1233">
        <f t="shared" si="124"/>
        <v>198.13999899999999</v>
      </c>
      <c r="G1233">
        <v>1784.969971</v>
      </c>
      <c r="I1233" s="13">
        <f t="shared" si="125"/>
        <v>-1.4111430441603456E-3</v>
      </c>
      <c r="J1233" s="13">
        <f t="shared" si="126"/>
        <v>6.9443304208887113E-3</v>
      </c>
      <c r="L1233" s="15">
        <v>44984</v>
      </c>
      <c r="M1233">
        <f t="shared" si="127"/>
        <v>236.66251505940519</v>
      </c>
      <c r="N1233">
        <f t="shared" si="128"/>
        <v>157.26468976251596</v>
      </c>
    </row>
    <row r="1234" spans="1:14" x14ac:dyDescent="0.45">
      <c r="A1234" s="15">
        <v>44974</v>
      </c>
      <c r="B1234">
        <v>205</v>
      </c>
      <c r="E1234" s="15">
        <v>44985</v>
      </c>
      <c r="F1234">
        <f t="shared" si="124"/>
        <v>200.60000600000001</v>
      </c>
      <c r="G1234">
        <v>1780.329956</v>
      </c>
      <c r="I1234" s="13">
        <f t="shared" si="125"/>
        <v>1.2415499204681213E-2</v>
      </c>
      <c r="J1234" s="13">
        <f t="shared" si="126"/>
        <v>-2.5994919104439518E-3</v>
      </c>
      <c r="L1234" s="15">
        <v>44985</v>
      </c>
      <c r="M1234">
        <f t="shared" si="127"/>
        <v>239.60079832690309</v>
      </c>
      <c r="N1234">
        <f t="shared" si="128"/>
        <v>156.85588147367983</v>
      </c>
    </row>
    <row r="1235" spans="1:14" x14ac:dyDescent="0.45">
      <c r="A1235" s="15">
        <v>44977</v>
      </c>
      <c r="B1235">
        <v>205.10000600000001</v>
      </c>
    </row>
    <row r="1236" spans="1:14" x14ac:dyDescent="0.45">
      <c r="A1236" s="15">
        <v>44978</v>
      </c>
      <c r="B1236">
        <v>203.25</v>
      </c>
      <c r="C1236">
        <f t="shared" ref="C1236:C1241" si="129">B1236*0.14</f>
        <v>28.455000000000002</v>
      </c>
    </row>
    <row r="1237" spans="1:14" x14ac:dyDescent="0.45">
      <c r="A1237" s="15">
        <v>44979</v>
      </c>
      <c r="B1237">
        <v>197.46000699999999</v>
      </c>
      <c r="C1237">
        <f t="shared" si="129"/>
        <v>27.64440098</v>
      </c>
    </row>
    <row r="1238" spans="1:14" x14ac:dyDescent="0.45">
      <c r="A1238" s="15">
        <v>44980</v>
      </c>
      <c r="B1238">
        <v>201</v>
      </c>
      <c r="C1238">
        <f t="shared" si="129"/>
        <v>28.140000000000004</v>
      </c>
    </row>
    <row r="1239" spans="1:14" x14ac:dyDescent="0.45">
      <c r="A1239" s="15">
        <v>44981</v>
      </c>
      <c r="B1239">
        <v>198.41999799999999</v>
      </c>
      <c r="C1239">
        <f t="shared" si="129"/>
        <v>27.778799720000002</v>
      </c>
    </row>
    <row r="1240" spans="1:14" x14ac:dyDescent="0.45">
      <c r="A1240" s="15">
        <v>44984</v>
      </c>
      <c r="B1240">
        <v>198.13999899999999</v>
      </c>
      <c r="C1240">
        <f t="shared" si="129"/>
        <v>27.739599860000002</v>
      </c>
    </row>
    <row r="1241" spans="1:14" x14ac:dyDescent="0.45">
      <c r="A1241" s="15">
        <v>44985</v>
      </c>
      <c r="B1241">
        <v>200.60000600000001</v>
      </c>
      <c r="C1241">
        <f t="shared" si="129"/>
        <v>28.084000840000005</v>
      </c>
      <c r="D1241" t="s">
        <v>1240</v>
      </c>
    </row>
  </sheetData>
  <autoFilter ref="E1:G1243" xr:uid="{1140BF94-A683-4C26-A569-72616914F5DE}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8F8F-9B4D-4701-B706-EC586CB7434B}">
  <dimension ref="A2:AE101"/>
  <sheetViews>
    <sheetView showGridLines="0" topLeftCell="A9" zoomScale="85" zoomScaleNormal="85" workbookViewId="0">
      <selection activeCell="A94" sqref="A94:G101"/>
    </sheetView>
  </sheetViews>
  <sheetFormatPr defaultColWidth="9.59765625" defaultRowHeight="15.75" outlineLevelRow="1" outlineLevelCol="1" x14ac:dyDescent="0.55000000000000004"/>
  <cols>
    <col min="1" max="1" width="3.59765625" style="45" customWidth="1"/>
    <col min="2" max="2" width="9.6640625" style="45" bestFit="1" customWidth="1"/>
    <col min="3" max="3" width="10.33203125" style="45" bestFit="1" customWidth="1"/>
    <col min="4" max="4" width="9.6640625" style="45" bestFit="1" customWidth="1"/>
    <col min="5" max="5" width="13.6640625" style="45" customWidth="1" outlineLevel="1"/>
    <col min="6" max="7" width="9.59765625" style="45" customWidth="1" outlineLevel="1"/>
    <col min="8" max="8" width="10.46484375" style="45" customWidth="1" outlineLevel="1"/>
    <col min="9" max="9" width="11.59765625" style="45" customWidth="1" outlineLevel="1"/>
    <col min="10" max="10" width="14.1328125" style="45" customWidth="1" outlineLevel="1"/>
    <col min="11" max="11" width="12.46484375" style="45" bestFit="1" customWidth="1"/>
    <col min="12" max="12" width="14.46484375" style="45" bestFit="1" customWidth="1"/>
    <col min="13" max="13" width="12.46484375" style="45" bestFit="1" customWidth="1"/>
    <col min="14" max="14" width="17.1328125" style="45" bestFit="1" customWidth="1"/>
    <col min="15" max="16" width="14.46484375" style="45" bestFit="1" customWidth="1"/>
    <col min="17" max="18" width="9.59765625" style="45" customWidth="1"/>
    <col min="19" max="19" width="21.1328125" style="45" bestFit="1" customWidth="1"/>
    <col min="20" max="20" width="9.59765625" style="45"/>
    <col min="21" max="21" width="34.265625" style="45" bestFit="1" customWidth="1"/>
    <col min="22" max="22" width="7" style="45" bestFit="1" customWidth="1"/>
    <col min="23" max="27" width="10.46484375" style="45" bestFit="1" customWidth="1"/>
    <col min="28" max="28" width="12" style="45" bestFit="1" customWidth="1"/>
    <col min="29" max="30" width="9.59765625" style="45"/>
    <col min="31" max="31" width="10.33203125" style="45" bestFit="1" customWidth="1"/>
    <col min="32" max="16384" width="9.59765625" style="45"/>
  </cols>
  <sheetData>
    <row r="2" spans="1:18" s="64" customFormat="1" ht="23.65" x14ac:dyDescent="0.85">
      <c r="B2" s="65" t="s">
        <v>1242</v>
      </c>
      <c r="G2" s="625">
        <f ca="1">G4-G5</f>
        <v>0.38893910297400336</v>
      </c>
    </row>
    <row r="4" spans="1:18" x14ac:dyDescent="0.55000000000000004">
      <c r="A4" s="45" t="s">
        <v>6</v>
      </c>
      <c r="B4" s="45" t="s">
        <v>7</v>
      </c>
      <c r="C4" s="66" t="s">
        <v>1241</v>
      </c>
      <c r="E4" s="45" t="s">
        <v>9</v>
      </c>
      <c r="G4" s="67">
        <f ca="1">E81</f>
        <v>1.3433391029740034</v>
      </c>
      <c r="M4" s="68"/>
      <c r="R4" s="69"/>
    </row>
    <row r="5" spans="1:18" x14ac:dyDescent="0.55000000000000004">
      <c r="B5" s="45" t="s">
        <v>10</v>
      </c>
      <c r="C5" s="70">
        <v>44986</v>
      </c>
      <c r="E5" s="45" t="s">
        <v>11</v>
      </c>
      <c r="G5" s="67">
        <v>0.95440000000000003</v>
      </c>
      <c r="H5" s="45" t="s">
        <v>1240</v>
      </c>
      <c r="I5" s="45" t="s">
        <v>12</v>
      </c>
      <c r="K5" s="71">
        <f ca="1">G4/G5-1</f>
        <v>0.40752211124686011</v>
      </c>
      <c r="M5" s="68"/>
    </row>
    <row r="6" spans="1:18" x14ac:dyDescent="0.55000000000000004">
      <c r="G6" s="72"/>
      <c r="K6" s="73"/>
      <c r="M6" s="68"/>
    </row>
    <row r="8" spans="1:18" x14ac:dyDescent="0.55000000000000004">
      <c r="A8" s="45" t="s">
        <v>6</v>
      </c>
      <c r="B8" s="49" t="s">
        <v>13</v>
      </c>
      <c r="C8" s="50"/>
      <c r="D8" s="50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1:18" x14ac:dyDescent="0.55000000000000004">
      <c r="B9" s="74" t="s">
        <v>14</v>
      </c>
      <c r="F9" s="74" t="s">
        <v>15</v>
      </c>
      <c r="J9" s="74" t="s">
        <v>16</v>
      </c>
      <c r="N9" s="74" t="s">
        <v>17</v>
      </c>
    </row>
    <row r="10" spans="1:18" x14ac:dyDescent="0.55000000000000004">
      <c r="B10" s="45" t="s">
        <v>1</v>
      </c>
      <c r="D10" s="75">
        <v>2</v>
      </c>
      <c r="F10" s="45" t="s">
        <v>18</v>
      </c>
      <c r="H10" s="76">
        <v>-0.02</v>
      </c>
      <c r="N10" s="45" t="s">
        <v>18</v>
      </c>
      <c r="P10" s="76">
        <v>0.04</v>
      </c>
    </row>
    <row r="11" spans="1:18" x14ac:dyDescent="0.55000000000000004">
      <c r="B11" s="45" t="s">
        <v>19</v>
      </c>
      <c r="D11" s="75">
        <v>2</v>
      </c>
      <c r="F11" s="45" t="s">
        <v>20</v>
      </c>
      <c r="H11" s="77">
        <v>1.1000000000000001</v>
      </c>
      <c r="J11" s="45" t="s">
        <v>20</v>
      </c>
      <c r="L11" s="76">
        <f>K21-1%</f>
        <v>1.36</v>
      </c>
      <c r="N11" s="45" t="s">
        <v>20</v>
      </c>
      <c r="P11" s="77">
        <v>1.5</v>
      </c>
    </row>
    <row r="12" spans="1:18" x14ac:dyDescent="0.55000000000000004">
      <c r="B12" s="45" t="s">
        <v>21</v>
      </c>
      <c r="D12" s="75">
        <v>2</v>
      </c>
      <c r="F12" s="45" t="s">
        <v>22</v>
      </c>
      <c r="H12" s="76">
        <v>-5.0000000000000001E-3</v>
      </c>
      <c r="N12" s="45" t="s">
        <v>22</v>
      </c>
      <c r="P12" s="76">
        <v>5.0000000000000001E-3</v>
      </c>
    </row>
    <row r="13" spans="1:18" x14ac:dyDescent="0.55000000000000004">
      <c r="B13" s="45" t="s">
        <v>23</v>
      </c>
      <c r="D13" s="75">
        <v>2</v>
      </c>
      <c r="F13" s="45" t="s">
        <v>24</v>
      </c>
      <c r="H13" s="76">
        <v>0.08</v>
      </c>
      <c r="J13" s="45" t="s">
        <v>24</v>
      </c>
      <c r="L13" s="76">
        <v>0.1</v>
      </c>
      <c r="N13" s="45" t="s">
        <v>24</v>
      </c>
      <c r="P13" s="76">
        <v>0.12</v>
      </c>
    </row>
    <row r="14" spans="1:18" x14ac:dyDescent="0.55000000000000004">
      <c r="F14" s="45" t="s">
        <v>21</v>
      </c>
      <c r="H14" s="76">
        <f>L14+0.5%</f>
        <v>0.11191603170590046</v>
      </c>
      <c r="J14" s="45" t="s">
        <v>21</v>
      </c>
      <c r="L14" s="76">
        <f>'DCF-Nuvve'!T90</f>
        <v>0.10691603170590046</v>
      </c>
      <c r="N14" s="45" t="s">
        <v>21</v>
      </c>
      <c r="P14" s="76">
        <f>L14-1%</f>
        <v>9.6916031705900463E-2</v>
      </c>
    </row>
    <row r="15" spans="1:18" x14ac:dyDescent="0.55000000000000004">
      <c r="B15" s="45" t="s">
        <v>21</v>
      </c>
      <c r="D15" s="76">
        <f>CHOOSE(wacc,H14,L14,P14)</f>
        <v>0.10691603170590046</v>
      </c>
      <c r="F15" s="45" t="s">
        <v>23</v>
      </c>
      <c r="H15" s="76">
        <f>L15-0.5%</f>
        <v>0.02</v>
      </c>
      <c r="J15" s="45" t="s">
        <v>23</v>
      </c>
      <c r="L15" s="76">
        <v>2.5000000000000001E-2</v>
      </c>
      <c r="N15" s="45" t="s">
        <v>23</v>
      </c>
      <c r="P15" s="76">
        <f>L15+0.5%</f>
        <v>3.0000000000000002E-2</v>
      </c>
    </row>
    <row r="16" spans="1:18" x14ac:dyDescent="0.55000000000000004">
      <c r="B16" s="45" t="s">
        <v>23</v>
      </c>
      <c r="D16" s="76">
        <f>CHOOSE(tgr,H15,L15,P15)</f>
        <v>2.5000000000000001E-2</v>
      </c>
    </row>
    <row r="18" spans="1:16" hidden="1" outlineLevel="1" x14ac:dyDescent="0.55000000000000004">
      <c r="F18" s="45" t="s">
        <v>26</v>
      </c>
    </row>
    <row r="19" spans="1:16" hidden="1" outlineLevel="1" x14ac:dyDescent="0.55000000000000004">
      <c r="A19" s="45" t="s">
        <v>6</v>
      </c>
      <c r="B19" s="49" t="s">
        <v>27</v>
      </c>
      <c r="C19" s="50"/>
      <c r="D19" s="50"/>
      <c r="E19" s="49">
        <v>2020</v>
      </c>
      <c r="F19" s="51">
        <f t="shared" ref="F19:K19" si="0">E19+1</f>
        <v>2021</v>
      </c>
      <c r="G19" s="49">
        <f t="shared" si="0"/>
        <v>2022</v>
      </c>
      <c r="H19" s="49">
        <f t="shared" si="0"/>
        <v>2023</v>
      </c>
      <c r="I19" s="49">
        <f t="shared" si="0"/>
        <v>2024</v>
      </c>
      <c r="J19" s="49">
        <f t="shared" si="0"/>
        <v>2025</v>
      </c>
      <c r="K19" s="49">
        <f t="shared" si="0"/>
        <v>2026</v>
      </c>
    </row>
    <row r="20" spans="1:16" s="78" customFormat="1" hidden="1" outlineLevel="1" x14ac:dyDescent="0.55000000000000004">
      <c r="B20" s="78" t="s">
        <v>1</v>
      </c>
      <c r="E20" s="79">
        <f>NUVVE_IS!C32/10^3</f>
        <v>1943.1510000000001</v>
      </c>
      <c r="F20" s="80">
        <f>NUVVE_IS!B32/10^3</f>
        <v>2920.627</v>
      </c>
      <c r="G20" s="79">
        <f>F20*(1+G21)</f>
        <v>5841.2539999999999</v>
      </c>
      <c r="H20" s="79">
        <f>G20*(1+H21)</f>
        <v>12850.758800000001</v>
      </c>
      <c r="I20" s="79">
        <f>H20*(1+I21)</f>
        <v>29556.74524</v>
      </c>
      <c r="J20" s="81">
        <f>I20*(1+J21)</f>
        <v>69458.351314</v>
      </c>
      <c r="K20" s="81">
        <f>J20*(1+K21)</f>
        <v>164616.29261418001</v>
      </c>
    </row>
    <row r="21" spans="1:16" s="78" customFormat="1" hidden="1" outlineLevel="1" x14ac:dyDescent="0.55000000000000004">
      <c r="B21" s="82" t="s">
        <v>2</v>
      </c>
      <c r="E21" s="83"/>
      <c r="F21" s="84">
        <f>F20/E20-1</f>
        <v>0.50303656277870323</v>
      </c>
      <c r="G21" s="85">
        <v>1</v>
      </c>
      <c r="H21" s="83">
        <f>G21+20%</f>
        <v>1.2</v>
      </c>
      <c r="I21" s="83">
        <f>H21+10%</f>
        <v>1.3</v>
      </c>
      <c r="J21" s="86">
        <f>I21+5%</f>
        <v>1.35</v>
      </c>
      <c r="K21" s="87">
        <f>J21+2%</f>
        <v>1.37</v>
      </c>
    </row>
    <row r="22" spans="1:16" s="78" customFormat="1" hidden="1" outlineLevel="1" x14ac:dyDescent="0.55000000000000004">
      <c r="B22" s="88"/>
      <c r="F22" s="89"/>
    </row>
    <row r="23" spans="1:16" s="78" customFormat="1" hidden="1" outlineLevel="1" x14ac:dyDescent="0.55000000000000004">
      <c r="B23" s="78" t="s">
        <v>19</v>
      </c>
      <c r="E23" s="79">
        <f>(NUVVE_IS!C18-NUVVE_IS!C12-NUVVE_IS!C13-NUVVE_IS!C14-NUVVE_IS!C15)/10^3</f>
        <v>-4533.0230000000001</v>
      </c>
      <c r="F23" s="80">
        <f>(NUVVE_IS!B18-NUVVE_IS!B12-NUVVE_IS!B13-NUVVE_IS!B14-NUVVE_IS!B15)/10^3</f>
        <v>-26949.618999999999</v>
      </c>
      <c r="G23" s="79">
        <f>G24*G20</f>
        <v>-31989.06756</v>
      </c>
      <c r="H23" s="79">
        <f>H24*H20</f>
        <v>-34224.167406</v>
      </c>
      <c r="I23" s="79">
        <f>I24*I20</f>
        <v>-23282.853820600001</v>
      </c>
      <c r="J23" s="81">
        <f>J24*J20</f>
        <v>10418.752697100001</v>
      </c>
      <c r="K23" s="81">
        <f>K24*K20</f>
        <v>24692.443892127001</v>
      </c>
    </row>
    <row r="24" spans="1:16" s="78" customFormat="1" hidden="1" outlineLevel="1" x14ac:dyDescent="0.55000000000000004">
      <c r="B24" s="82" t="s">
        <v>28</v>
      </c>
      <c r="E24" s="83">
        <f>E23/E20</f>
        <v>-2.3328207638006515</v>
      </c>
      <c r="F24" s="84">
        <f>F23/F20</f>
        <v>-9.2273402252324583</v>
      </c>
      <c r="G24" s="85">
        <f>F24+($K$24-F24)/(($K$19-F19)/2)</f>
        <v>-5.4764041351394752</v>
      </c>
      <c r="H24" s="83">
        <f>G24+($K$24-G24)/(($K$19-G19)/2)</f>
        <v>-2.6632020675697374</v>
      </c>
      <c r="I24" s="83">
        <f>H24+($K$24-H24)/(($K$19-H19)/2)</f>
        <v>-0.78773402252324587</v>
      </c>
      <c r="J24" s="86">
        <f>I24+($K$24-I24)/(($K$19-I19)/2)</f>
        <v>0.15000000000000002</v>
      </c>
      <c r="K24" s="86">
        <v>0.15</v>
      </c>
      <c r="M24" s="390">
        <f>$K$24-F24</f>
        <v>9.3773402252324587</v>
      </c>
      <c r="N24" s="390">
        <f>$K$24-G24</f>
        <v>5.6264041351394756</v>
      </c>
      <c r="O24" s="390">
        <f>$K$24-H24</f>
        <v>2.8132020675697373</v>
      </c>
      <c r="P24" s="390">
        <f>$K$24-I24</f>
        <v>0.93773402252324589</v>
      </c>
    </row>
    <row r="25" spans="1:16" s="78" customFormat="1" hidden="1" outlineLevel="1" x14ac:dyDescent="0.55000000000000004">
      <c r="F25" s="89"/>
      <c r="M25" s="391">
        <f>M24/5</f>
        <v>1.8754680450464918</v>
      </c>
      <c r="N25" s="391">
        <f>N24/4</f>
        <v>1.4066010337848689</v>
      </c>
      <c r="O25" s="391">
        <f>O24/3</f>
        <v>0.93773402252324578</v>
      </c>
      <c r="P25" s="391">
        <f>P24/2</f>
        <v>0.46886701126162295</v>
      </c>
    </row>
    <row r="26" spans="1:16" s="78" customFormat="1" hidden="1" outlineLevel="1" x14ac:dyDescent="0.55000000000000004">
      <c r="B26" s="78" t="s">
        <v>29</v>
      </c>
      <c r="E26" s="79">
        <f>NUVVE_IS!C19/10^3</f>
        <v>1</v>
      </c>
      <c r="F26" s="80">
        <f>NUVVE_IS!B19/10^3</f>
        <v>1</v>
      </c>
      <c r="G26" s="79">
        <f>F26</f>
        <v>1</v>
      </c>
      <c r="H26" s="79">
        <f>G26</f>
        <v>1</v>
      </c>
      <c r="I26" s="79">
        <f>H26</f>
        <v>1</v>
      </c>
      <c r="J26" s="79">
        <f>I26</f>
        <v>1</v>
      </c>
      <c r="K26" s="79">
        <f>J26</f>
        <v>1</v>
      </c>
      <c r="M26" s="390">
        <f>F24+M25</f>
        <v>-7.3518721801859668</v>
      </c>
      <c r="N26" s="390">
        <f>G24+N25</f>
        <v>-4.0698031013546068</v>
      </c>
      <c r="O26" s="390">
        <f>H24+O25</f>
        <v>-1.7254680450464916</v>
      </c>
      <c r="P26" s="390">
        <f>I24+P25</f>
        <v>-0.31886701126162292</v>
      </c>
    </row>
    <row r="27" spans="1:16" s="78" customFormat="1" hidden="1" outlineLevel="1" x14ac:dyDescent="0.55000000000000004">
      <c r="B27" s="82" t="s">
        <v>30</v>
      </c>
      <c r="E27" s="83">
        <f t="shared" ref="E27:K27" si="1">E26/E23</f>
        <v>-2.2060333689019447E-4</v>
      </c>
      <c r="F27" s="84">
        <f t="shared" si="1"/>
        <v>-3.710627597369744E-5</v>
      </c>
      <c r="G27" s="85">
        <f t="shared" si="1"/>
        <v>-3.1260679859591383E-5</v>
      </c>
      <c r="H27" s="83">
        <f t="shared" si="1"/>
        <v>-2.9219118412349901E-5</v>
      </c>
      <c r="I27" s="83">
        <f t="shared" si="1"/>
        <v>-4.2950061350092257E-5</v>
      </c>
      <c r="J27" s="83">
        <f t="shared" si="1"/>
        <v>9.5980778992704583E-5</v>
      </c>
      <c r="K27" s="83">
        <f t="shared" si="1"/>
        <v>4.0498218984263541E-5</v>
      </c>
    </row>
    <row r="28" spans="1:16" s="78" customFormat="1" hidden="1" outlineLevel="1" x14ac:dyDescent="0.55000000000000004">
      <c r="F28" s="89"/>
    </row>
    <row r="29" spans="1:16" hidden="1" outlineLevel="1" x14ac:dyDescent="0.55000000000000004">
      <c r="A29" s="45" t="s">
        <v>6</v>
      </c>
      <c r="B29" s="49" t="s">
        <v>31</v>
      </c>
      <c r="C29" s="50"/>
      <c r="D29" s="50"/>
      <c r="E29" s="49">
        <v>2020</v>
      </c>
      <c r="F29" s="51">
        <f t="shared" ref="F29:K29" si="2">E29+1</f>
        <v>2021</v>
      </c>
      <c r="G29" s="49">
        <f t="shared" si="2"/>
        <v>2022</v>
      </c>
      <c r="H29" s="49">
        <f t="shared" si="2"/>
        <v>2023</v>
      </c>
      <c r="I29" s="49">
        <f t="shared" si="2"/>
        <v>2024</v>
      </c>
      <c r="J29" s="49">
        <f t="shared" si="2"/>
        <v>2025</v>
      </c>
      <c r="K29" s="49">
        <f t="shared" si="2"/>
        <v>2026</v>
      </c>
    </row>
    <row r="30" spans="1:16" s="78" customFormat="1" hidden="1" outlineLevel="1" x14ac:dyDescent="0.55000000000000004">
      <c r="B30" s="78" t="s">
        <v>32</v>
      </c>
      <c r="E30" s="79">
        <f>NUVVE_CF!C6/10^3</f>
        <v>164.98599999999999</v>
      </c>
      <c r="F30" s="80">
        <f>NUVVE_CF!B6/10^3</f>
        <v>167.55799999999999</v>
      </c>
      <c r="G30" s="79">
        <f>G31*G20</f>
        <v>271.164648</v>
      </c>
      <c r="H30" s="79">
        <f>H31*H20</f>
        <v>491.04249480000004</v>
      </c>
      <c r="I30" s="79">
        <f>I31*I20</f>
        <v>967.60081748000005</v>
      </c>
      <c r="J30" s="81">
        <f>J31*J20</f>
        <v>2083.7505394199998</v>
      </c>
      <c r="K30" s="81">
        <f>K31*K20</f>
        <v>4938.4887784254006</v>
      </c>
    </row>
    <row r="31" spans="1:16" s="78" customFormat="1" hidden="1" outlineLevel="1" x14ac:dyDescent="0.55000000000000004">
      <c r="B31" s="90" t="s">
        <v>28</v>
      </c>
      <c r="E31" s="83">
        <f>E30/E20</f>
        <v>8.490642260946267E-2</v>
      </c>
      <c r="F31" s="84">
        <f>F30/F20</f>
        <v>5.7370557760371317E-2</v>
      </c>
      <c r="G31" s="85">
        <f>F31+($K$31-F31)/(($K$29-F29)/2)</f>
        <v>4.6422334656222794E-2</v>
      </c>
      <c r="H31" s="83">
        <f>G31+($K$31-G31)/(($K$29-G29)/2)</f>
        <v>3.8211167328111396E-2</v>
      </c>
      <c r="I31" s="83">
        <f>H31+($K$31-H31)/(($K$29-H29)/2)</f>
        <v>3.2737055776037131E-2</v>
      </c>
      <c r="J31" s="86">
        <f>I31+($K$31-I31)/(($K$29-I29)/2)</f>
        <v>0.03</v>
      </c>
      <c r="K31" s="86">
        <v>0.03</v>
      </c>
    </row>
    <row r="32" spans="1:16" s="78" customFormat="1" hidden="1" outlineLevel="1" x14ac:dyDescent="0.55000000000000004">
      <c r="B32" s="90" t="s">
        <v>33</v>
      </c>
      <c r="E32" s="83">
        <f t="shared" ref="E32:K32" si="3">E30/E34</f>
        <v>7.3314077497333798</v>
      </c>
      <c r="F32" s="84">
        <f t="shared" si="3"/>
        <v>0.61348691436856506</v>
      </c>
      <c r="G32" s="85">
        <f t="shared" si="3"/>
        <v>0.92844669312445582</v>
      </c>
      <c r="H32" s="83">
        <f t="shared" si="3"/>
        <v>0.84913705173580878</v>
      </c>
      <c r="I32" s="83">
        <f t="shared" si="3"/>
        <v>0.78568933862489121</v>
      </c>
      <c r="J32" s="86">
        <f t="shared" si="3"/>
        <v>0.74999999999999989</v>
      </c>
      <c r="K32" s="86">
        <f t="shared" si="3"/>
        <v>0.75</v>
      </c>
    </row>
    <row r="33" spans="1:28" s="78" customFormat="1" hidden="1" outlineLevel="1" x14ac:dyDescent="0.55000000000000004">
      <c r="E33" s="91"/>
      <c r="F33" s="92"/>
      <c r="G33" s="91"/>
      <c r="H33" s="91"/>
      <c r="I33" s="91"/>
      <c r="J33" s="91"/>
      <c r="K33" s="91"/>
    </row>
    <row r="34" spans="1:28" s="78" customFormat="1" hidden="1" outlineLevel="1" x14ac:dyDescent="0.55000000000000004">
      <c r="B34" s="78" t="s">
        <v>34</v>
      </c>
      <c r="E34" s="79">
        <f>-NUVVE_CF!C27/10^3</f>
        <v>22.504000000000001</v>
      </c>
      <c r="F34" s="47">
        <f>-NUVVE_CF!B27/10^3</f>
        <v>273.12400000000002</v>
      </c>
      <c r="G34" s="79">
        <f>G35*G20</f>
        <v>292.06270000000001</v>
      </c>
      <c r="H34" s="79">
        <f>H35*H20</f>
        <v>578.28414600000008</v>
      </c>
      <c r="I34" s="79">
        <f>I35*I20</f>
        <v>1231.5310516666666</v>
      </c>
      <c r="J34" s="81">
        <f>J35*J20</f>
        <v>2778.3340525600001</v>
      </c>
      <c r="K34" s="81">
        <f>K35*K20</f>
        <v>6584.6517045672008</v>
      </c>
    </row>
    <row r="35" spans="1:28" s="78" customFormat="1" hidden="1" outlineLevel="1" x14ac:dyDescent="0.55000000000000004">
      <c r="B35" s="90" t="s">
        <v>28</v>
      </c>
      <c r="E35" s="83">
        <f>E34/E20</f>
        <v>1.1581189521555454E-2</v>
      </c>
      <c r="F35" s="84">
        <f>F34/F20</f>
        <v>9.3515536218763989E-2</v>
      </c>
      <c r="G35" s="85">
        <v>0.05</v>
      </c>
      <c r="H35" s="83">
        <f>G35+($K$35-G35)/(($K$29-G29)/2)</f>
        <v>4.4999999999999998E-2</v>
      </c>
      <c r="I35" s="83">
        <f>H35+($K$35-H35)/(($K$29-H29)/2)</f>
        <v>4.1666666666666664E-2</v>
      </c>
      <c r="J35" s="86">
        <f>I35+($K$35-I35)/(($K$29-I29)/2)</f>
        <v>0.04</v>
      </c>
      <c r="K35" s="86">
        <v>0.04</v>
      </c>
    </row>
    <row r="36" spans="1:28" s="78" customFormat="1" hidden="1" outlineLevel="1" x14ac:dyDescent="0.55000000000000004">
      <c r="E36" s="91"/>
      <c r="F36" s="92"/>
      <c r="G36" s="91"/>
      <c r="H36" s="91"/>
      <c r="I36" s="91"/>
      <c r="J36" s="91"/>
      <c r="K36" s="91"/>
    </row>
    <row r="37" spans="1:28" s="78" customFormat="1" hidden="1" outlineLevel="1" x14ac:dyDescent="0.55000000000000004">
      <c r="B37" s="78" t="s">
        <v>35</v>
      </c>
      <c r="E37" s="93">
        <f>NUVVE_CF!C17/10^3</f>
        <v>719.01</v>
      </c>
      <c r="F37" s="94">
        <f>NUVVE_CF!B17/10^3</f>
        <v>-6101.4340000000002</v>
      </c>
      <c r="G37" s="91"/>
      <c r="H37" s="91"/>
      <c r="I37" s="91"/>
      <c r="J37" s="91"/>
      <c r="K37" s="91"/>
    </row>
    <row r="38" spans="1:28" s="78" customFormat="1" hidden="1" outlineLevel="1" x14ac:dyDescent="0.55000000000000004">
      <c r="B38" s="90" t="s">
        <v>28</v>
      </c>
      <c r="E38" s="95">
        <f>E37/E20</f>
        <v>0.37002271053561969</v>
      </c>
      <c r="F38" s="96">
        <f>F37/F20</f>
        <v>-2.0890836111560978</v>
      </c>
      <c r="G38" s="85"/>
      <c r="H38" s="83"/>
      <c r="I38" s="83"/>
      <c r="J38" s="83"/>
      <c r="K38" s="83"/>
    </row>
    <row r="39" spans="1:28" s="78" customFormat="1" hidden="1" outlineLevel="1" x14ac:dyDescent="0.55000000000000004">
      <c r="B39" s="90" t="s">
        <v>36</v>
      </c>
      <c r="E39" s="95"/>
      <c r="F39" s="96">
        <f>F37/(F20-E20)</f>
        <v>-6.2420294718233498</v>
      </c>
      <c r="G39" s="85"/>
      <c r="H39" s="83"/>
      <c r="I39" s="83"/>
      <c r="J39" s="83"/>
      <c r="K39" s="83"/>
    </row>
    <row r="40" spans="1:28" s="78" customFormat="1" hidden="1" outlineLevel="1" x14ac:dyDescent="0.55000000000000004">
      <c r="B40" s="90"/>
      <c r="E40" s="95"/>
      <c r="F40" s="96"/>
      <c r="G40" s="85"/>
      <c r="H40" s="83"/>
      <c r="I40" s="83"/>
      <c r="J40" s="83"/>
      <c r="K40" s="83"/>
    </row>
    <row r="41" spans="1:28" collapsed="1" x14ac:dyDescent="0.55000000000000004">
      <c r="F41" s="97"/>
      <c r="G41" s="45">
        <v>1</v>
      </c>
      <c r="H41" s="45">
        <f>G41+1</f>
        <v>2</v>
      </c>
      <c r="I41" s="45">
        <f>H41+1</f>
        <v>3</v>
      </c>
      <c r="J41" s="45">
        <f>I41+1</f>
        <v>4</v>
      </c>
      <c r="K41" s="45">
        <f>J41+1</f>
        <v>5</v>
      </c>
    </row>
    <row r="42" spans="1:28" x14ac:dyDescent="0.55000000000000004">
      <c r="A42" s="45" t="s">
        <v>6</v>
      </c>
      <c r="B42" s="49" t="s">
        <v>0</v>
      </c>
      <c r="C42" s="50"/>
      <c r="D42" s="50"/>
      <c r="E42" s="49">
        <f t="shared" ref="E42:K42" si="4">E29</f>
        <v>2020</v>
      </c>
      <c r="F42" s="51">
        <f t="shared" si="4"/>
        <v>2021</v>
      </c>
      <c r="G42" s="49">
        <f t="shared" si="4"/>
        <v>2022</v>
      </c>
      <c r="H42" s="49">
        <f t="shared" si="4"/>
        <v>2023</v>
      </c>
      <c r="I42" s="49">
        <f t="shared" si="4"/>
        <v>2024</v>
      </c>
      <c r="J42" s="49">
        <f t="shared" si="4"/>
        <v>2025</v>
      </c>
      <c r="K42" s="49">
        <f t="shared" si="4"/>
        <v>2026</v>
      </c>
      <c r="L42" s="49" t="s">
        <v>1322</v>
      </c>
    </row>
    <row r="43" spans="1:28" x14ac:dyDescent="0.55000000000000004">
      <c r="B43" s="45" t="s">
        <v>1</v>
      </c>
      <c r="E43" s="54">
        <f>E20</f>
        <v>1943.1510000000001</v>
      </c>
      <c r="F43" s="419">
        <f>F20</f>
        <v>2920.627</v>
      </c>
      <c r="G43" s="54">
        <f ca="1">F43*(1+G44)</f>
        <v>5841.2539999999999</v>
      </c>
      <c r="H43" s="54">
        <f ca="1">G43*(1+H44)</f>
        <v>12792.34626</v>
      </c>
      <c r="I43" s="54">
        <f ca="1">H43*(1+I44)</f>
        <v>29294.472935400001</v>
      </c>
      <c r="J43" s="54">
        <f ca="1">I43*(1+J44)</f>
        <v>68109.649574805007</v>
      </c>
      <c r="K43" s="54">
        <f ca="1">J43*(1+K44)</f>
        <v>160738.77299653983</v>
      </c>
      <c r="L43" s="370">
        <f ca="1">((K43/G43)^(1/4))-1</f>
        <v>1.2903594146229378</v>
      </c>
    </row>
    <row r="44" spans="1:28" x14ac:dyDescent="0.55000000000000004">
      <c r="B44" s="376" t="s">
        <v>2</v>
      </c>
      <c r="C44" s="377"/>
      <c r="D44" s="377"/>
      <c r="E44" s="420"/>
      <c r="F44" s="421">
        <f>F43/E43-1</f>
        <v>0.50303656277870323</v>
      </c>
      <c r="G44" s="422">
        <f ca="1">OFFSET(G44,$D$10,0)</f>
        <v>1</v>
      </c>
      <c r="H44" s="420">
        <f ca="1">OFFSET(H44,$D$10,0)</f>
        <v>1.19</v>
      </c>
      <c r="I44" s="420">
        <f ca="1">OFFSET(I44,$D$10,0)</f>
        <v>1.29</v>
      </c>
      <c r="J44" s="420">
        <f ca="1">OFFSET(J44,$D$10,0)</f>
        <v>1.3250000000000002</v>
      </c>
      <c r="K44" s="420">
        <f ca="1">OFFSET(K44,$D$10,0)</f>
        <v>1.36</v>
      </c>
      <c r="U44" s="78"/>
      <c r="V44" s="78"/>
      <c r="Z44" s="63"/>
      <c r="AA44" s="63"/>
      <c r="AB44" s="63"/>
    </row>
    <row r="45" spans="1:28" hidden="1" outlineLevel="1" x14ac:dyDescent="0.55000000000000004">
      <c r="B45" s="55" t="s">
        <v>15</v>
      </c>
      <c r="E45" s="56"/>
      <c r="F45" s="57"/>
      <c r="G45" s="373">
        <f>G46</f>
        <v>1</v>
      </c>
      <c r="H45" s="374">
        <f>H46+$H$10</f>
        <v>1.17</v>
      </c>
      <c r="I45" s="374">
        <f>I46+$H$10</f>
        <v>1.27</v>
      </c>
      <c r="J45" s="375">
        <f>I45-(I45-$K$45)/($K$42-I42)</f>
        <v>1.1850000000000001</v>
      </c>
      <c r="K45" s="374">
        <f>H11</f>
        <v>1.1000000000000001</v>
      </c>
      <c r="U45" s="78"/>
      <c r="V45" s="78"/>
      <c r="Z45" s="63"/>
      <c r="AA45" s="63"/>
      <c r="AB45" s="63"/>
    </row>
    <row r="46" spans="1:28" hidden="1" outlineLevel="1" x14ac:dyDescent="0.55000000000000004">
      <c r="B46" s="55" t="s">
        <v>37</v>
      </c>
      <c r="E46" s="56"/>
      <c r="F46" s="57"/>
      <c r="G46" s="98">
        <f>G21</f>
        <v>1</v>
      </c>
      <c r="H46" s="101">
        <f>H21-1%</f>
        <v>1.19</v>
      </c>
      <c r="I46" s="101">
        <f>I21-1%</f>
        <v>1.29</v>
      </c>
      <c r="J46" s="100">
        <f>I46-(I46-$K$46)/($K$42-I42)</f>
        <v>1.3250000000000002</v>
      </c>
      <c r="K46" s="98">
        <f>L11</f>
        <v>1.36</v>
      </c>
      <c r="U46" s="78"/>
      <c r="V46" s="78"/>
      <c r="Z46" s="63"/>
      <c r="AA46" s="63"/>
      <c r="AB46" s="63"/>
    </row>
    <row r="47" spans="1:28" hidden="1" outlineLevel="1" x14ac:dyDescent="0.55000000000000004">
      <c r="B47" s="55" t="s">
        <v>38</v>
      </c>
      <c r="E47" s="56"/>
      <c r="F47" s="57"/>
      <c r="G47" s="98">
        <f>G46</f>
        <v>1</v>
      </c>
      <c r="H47" s="99">
        <f>H46+$P$10</f>
        <v>1.23</v>
      </c>
      <c r="I47" s="99">
        <f>I46+$P$10</f>
        <v>1.33</v>
      </c>
      <c r="J47" s="100">
        <f>I47-(I47-$K$47)/($K$42-I42)</f>
        <v>1.415</v>
      </c>
      <c r="K47" s="99">
        <f>P11</f>
        <v>1.5</v>
      </c>
      <c r="U47" s="78"/>
      <c r="V47" s="78"/>
      <c r="Z47" s="63"/>
      <c r="AA47" s="63"/>
      <c r="AB47" s="63"/>
    </row>
    <row r="48" spans="1:28" hidden="1" outlineLevel="1" x14ac:dyDescent="0.55000000000000004">
      <c r="F48" s="97"/>
      <c r="Z48" s="63"/>
      <c r="AA48" s="63"/>
      <c r="AB48" s="63"/>
    </row>
    <row r="49" spans="1:31" collapsed="1" x14ac:dyDescent="0.55000000000000004">
      <c r="B49" s="45" t="s">
        <v>19</v>
      </c>
      <c r="E49" s="54">
        <f>E23</f>
        <v>-4533.0230000000001</v>
      </c>
      <c r="F49" s="419">
        <f>F23</f>
        <v>-26949.618999999999</v>
      </c>
      <c r="G49" s="54">
        <f ca="1">G50*G43</f>
        <v>-31989.06756</v>
      </c>
      <c r="H49" s="54">
        <f ca="1">H50*H43</f>
        <v>-34132.564739999994</v>
      </c>
      <c r="I49" s="54">
        <f ca="1">I50*I43</f>
        <v>-23076.253003100999</v>
      </c>
      <c r="J49" s="54">
        <f ca="1">J50*J43</f>
        <v>-23420.661637364665</v>
      </c>
      <c r="K49" s="54">
        <f ca="1">K50*K43</f>
        <v>16073.877299653985</v>
      </c>
      <c r="W49" s="102"/>
      <c r="X49" s="102"/>
      <c r="Y49" s="102"/>
      <c r="Z49" s="102"/>
      <c r="AA49" s="102"/>
      <c r="AB49" s="102"/>
    </row>
    <row r="50" spans="1:31" x14ac:dyDescent="0.55000000000000004">
      <c r="B50" s="376" t="s">
        <v>39</v>
      </c>
      <c r="C50" s="377"/>
      <c r="D50" s="377"/>
      <c r="E50" s="420">
        <f>E49/E43</f>
        <v>-2.3328207638006515</v>
      </c>
      <c r="F50" s="421">
        <f>F49/F43</f>
        <v>-9.2273402252324583</v>
      </c>
      <c r="G50" s="422">
        <f ca="1">OFFSET(G50,$D$11,0)</f>
        <v>-5.4764041351394752</v>
      </c>
      <c r="H50" s="420">
        <f ca="1">OFFSET(H50,$D$11,0)</f>
        <v>-2.6682020675697373</v>
      </c>
      <c r="I50" s="420">
        <f ca="1">OFFSET(I50,$D$11,0)</f>
        <v>-0.78773402252324587</v>
      </c>
      <c r="J50" s="420">
        <f ca="1">OFFSET(J50,$D$11,0)</f>
        <v>-0.34386701126162295</v>
      </c>
      <c r="K50" s="420">
        <f ca="1">OFFSET(K50,$D$11,0)</f>
        <v>0.1</v>
      </c>
      <c r="W50" s="46"/>
      <c r="X50" s="46"/>
      <c r="Y50" s="46"/>
      <c r="Z50" s="46"/>
      <c r="AA50" s="46"/>
      <c r="AB50" s="46"/>
    </row>
    <row r="51" spans="1:31" hidden="1" outlineLevel="1" x14ac:dyDescent="0.55000000000000004">
      <c r="B51" s="55" t="s">
        <v>15</v>
      </c>
      <c r="E51" s="56"/>
      <c r="F51" s="57"/>
      <c r="G51" s="373">
        <f>G52</f>
        <v>-5.4764041351394752</v>
      </c>
      <c r="H51" s="374">
        <f>H52+$H$12</f>
        <v>-2.6732020675697372</v>
      </c>
      <c r="I51" s="374">
        <f>I52+$H$12</f>
        <v>-0.79273402252324587</v>
      </c>
      <c r="J51" s="378">
        <f>$I51+($K51-$I51)/($K$42-$I$42)</f>
        <v>-0.35636701126162296</v>
      </c>
      <c r="K51" s="374">
        <f>H13</f>
        <v>0.08</v>
      </c>
      <c r="U51" s="78"/>
      <c r="V51" s="78"/>
      <c r="Z51" s="63"/>
      <c r="AA51" s="63"/>
      <c r="AB51" s="63"/>
    </row>
    <row r="52" spans="1:31" hidden="1" outlineLevel="1" x14ac:dyDescent="0.55000000000000004">
      <c r="B52" s="55" t="s">
        <v>37</v>
      </c>
      <c r="E52" s="56"/>
      <c r="F52" s="57"/>
      <c r="G52" s="98">
        <f>G24</f>
        <v>-5.4764041351394752</v>
      </c>
      <c r="H52" s="101">
        <f>H24-0.5%</f>
        <v>-2.6682020675697373</v>
      </c>
      <c r="I52" s="101">
        <f>I24</f>
        <v>-0.78773402252324587</v>
      </c>
      <c r="J52" s="103">
        <f>$I52+($K52-$I52)/($K$42-$I$42)</f>
        <v>-0.34386701126162295</v>
      </c>
      <c r="K52" s="98">
        <v>0.1</v>
      </c>
      <c r="U52" s="78"/>
      <c r="V52" s="78"/>
      <c r="Z52" s="63"/>
      <c r="AA52" s="63"/>
      <c r="AB52" s="63"/>
    </row>
    <row r="53" spans="1:31" hidden="1" outlineLevel="1" x14ac:dyDescent="0.55000000000000004">
      <c r="B53" s="55" t="s">
        <v>38</v>
      </c>
      <c r="E53" s="56"/>
      <c r="F53" s="57"/>
      <c r="G53" s="98">
        <f>G52</f>
        <v>-5.4764041351394752</v>
      </c>
      <c r="H53" s="99">
        <f>H52+$P$12</f>
        <v>-2.6632020675697374</v>
      </c>
      <c r="I53" s="99">
        <f>I52+$P$12</f>
        <v>-0.78273402252324586</v>
      </c>
      <c r="J53" s="103">
        <f>$I53+($K53-$I53)/($K$42-$I$42)</f>
        <v>-0.33136701126162293</v>
      </c>
      <c r="K53" s="99">
        <f>P13</f>
        <v>0.12</v>
      </c>
      <c r="U53" s="78"/>
      <c r="V53" s="78"/>
      <c r="Z53" s="63"/>
      <c r="AA53" s="63"/>
      <c r="AB53" s="63"/>
    </row>
    <row r="54" spans="1:31" hidden="1" outlineLevel="1" x14ac:dyDescent="0.55000000000000004">
      <c r="F54" s="97"/>
      <c r="H54" s="104"/>
      <c r="I54" s="104"/>
      <c r="U54" s="78"/>
      <c r="V54" s="78"/>
      <c r="Z54" s="91"/>
      <c r="AA54" s="91"/>
      <c r="AB54" s="91"/>
      <c r="AC54" s="78"/>
      <c r="AD54" s="78"/>
      <c r="AE54" s="78"/>
    </row>
    <row r="55" spans="1:31" collapsed="1" x14ac:dyDescent="0.55000000000000004">
      <c r="B55" s="45" t="s">
        <v>29</v>
      </c>
      <c r="E55" s="54">
        <f>E26</f>
        <v>1</v>
      </c>
      <c r="F55" s="419">
        <f>F26</f>
        <v>1</v>
      </c>
      <c r="G55" s="54">
        <f>G26</f>
        <v>1</v>
      </c>
      <c r="H55" s="54">
        <f>H26</f>
        <v>1</v>
      </c>
      <c r="I55" s="54">
        <f>I26</f>
        <v>1</v>
      </c>
      <c r="J55" s="54">
        <f ca="1">J56*J49</f>
        <v>1.0149248075160808</v>
      </c>
      <c r="K55" s="54">
        <f ca="1">K56*K49</f>
        <v>3696.9917789204164</v>
      </c>
      <c r="U55" s="78"/>
      <c r="V55" s="78"/>
      <c r="Z55" s="91"/>
      <c r="AA55" s="91"/>
      <c r="AB55" s="91"/>
      <c r="AC55" s="78"/>
      <c r="AD55" s="78"/>
      <c r="AE55" s="78"/>
    </row>
    <row r="56" spans="1:31" hidden="1" outlineLevel="1" x14ac:dyDescent="0.55000000000000004">
      <c r="B56" s="55" t="s">
        <v>30</v>
      </c>
      <c r="E56" s="56">
        <f>E55/E49</f>
        <v>-2.2060333689019447E-4</v>
      </c>
      <c r="F56" s="57">
        <f>F55/F49</f>
        <v>-3.710627597369744E-5</v>
      </c>
      <c r="G56" s="105">
        <f ca="1">G55/G49</f>
        <v>-3.1260679859591383E-5</v>
      </c>
      <c r="H56" s="105">
        <f ca="1">H55/H49</f>
        <v>-2.9297534703804394E-5</v>
      </c>
      <c r="I56" s="105">
        <f ca="1">I55/I49</f>
        <v>-4.3334591619602174E-5</v>
      </c>
      <c r="J56" s="105">
        <f ca="1">I56</f>
        <v>-4.3334591619602174E-5</v>
      </c>
      <c r="K56" s="105">
        <v>0.23</v>
      </c>
      <c r="U56" s="78"/>
      <c r="V56" s="78"/>
      <c r="Z56" s="106"/>
      <c r="AA56" s="106"/>
      <c r="AB56" s="106"/>
      <c r="AC56" s="78"/>
      <c r="AD56" s="78"/>
      <c r="AE56" s="78"/>
    </row>
    <row r="57" spans="1:31" hidden="1" outlineLevel="1" x14ac:dyDescent="0.55000000000000004">
      <c r="F57" s="97"/>
      <c r="U57" s="78"/>
      <c r="V57" s="78"/>
      <c r="Z57" s="107"/>
      <c r="AA57" s="107"/>
      <c r="AB57" s="107"/>
      <c r="AC57" s="107"/>
      <c r="AD57" s="107"/>
      <c r="AE57" s="107"/>
    </row>
    <row r="58" spans="1:31" collapsed="1" x14ac:dyDescent="0.55000000000000004">
      <c r="A58" s="45" t="s">
        <v>6</v>
      </c>
      <c r="B58" s="108" t="s">
        <v>40</v>
      </c>
      <c r="C58" s="109"/>
      <c r="D58" s="109"/>
      <c r="E58" s="423">
        <f t="shared" ref="E58:K58" si="5">E49-E55</f>
        <v>-4534.0230000000001</v>
      </c>
      <c r="F58" s="424">
        <f t="shared" si="5"/>
        <v>-26950.618999999999</v>
      </c>
      <c r="G58" s="423">
        <f t="shared" ca="1" si="5"/>
        <v>-31990.06756</v>
      </c>
      <c r="H58" s="423">
        <f t="shared" ca="1" si="5"/>
        <v>-34133.564739999994</v>
      </c>
      <c r="I58" s="423">
        <f t="shared" ca="1" si="5"/>
        <v>-23077.253003100999</v>
      </c>
      <c r="J58" s="423">
        <f t="shared" ca="1" si="5"/>
        <v>-23421.676562172182</v>
      </c>
      <c r="K58" s="424">
        <f t="shared" ca="1" si="5"/>
        <v>12376.885520733569</v>
      </c>
      <c r="U58" s="78"/>
      <c r="V58" s="78"/>
      <c r="Z58" s="106"/>
      <c r="AA58" s="106"/>
      <c r="AB58" s="106"/>
      <c r="AC58" s="106"/>
      <c r="AD58" s="106"/>
      <c r="AE58" s="106"/>
    </row>
    <row r="59" spans="1:31" hidden="1" outlineLevel="1" x14ac:dyDescent="0.55000000000000004">
      <c r="F59" s="97"/>
      <c r="H59" s="102"/>
      <c r="U59" s="78"/>
      <c r="V59" s="78"/>
      <c r="Z59" s="78"/>
      <c r="AA59" s="78"/>
      <c r="AB59" s="78"/>
      <c r="AC59" s="78"/>
      <c r="AD59" s="78"/>
      <c r="AE59" s="78"/>
    </row>
    <row r="60" spans="1:31" collapsed="1" x14ac:dyDescent="0.55000000000000004">
      <c r="B60" s="45" t="s">
        <v>32</v>
      </c>
      <c r="E60" s="54">
        <f>E30</f>
        <v>164.98599999999999</v>
      </c>
      <c r="F60" s="419">
        <f>F30</f>
        <v>167.55799999999999</v>
      </c>
      <c r="G60" s="54">
        <f>G30</f>
        <v>271.164648</v>
      </c>
      <c r="H60" s="54">
        <f>H30</f>
        <v>491.04249480000004</v>
      </c>
      <c r="I60" s="54">
        <f>I30</f>
        <v>967.60081748000005</v>
      </c>
      <c r="J60" s="54">
        <f ca="1">J61*J43</f>
        <v>2487.0289418165999</v>
      </c>
      <c r="K60" s="54">
        <f ca="1">K61*K43</f>
        <v>6429.5509198615937</v>
      </c>
      <c r="U60" s="78"/>
      <c r="V60" s="78"/>
    </row>
    <row r="61" spans="1:31" hidden="1" outlineLevel="1" x14ac:dyDescent="0.55000000000000004">
      <c r="B61" s="55" t="s">
        <v>28</v>
      </c>
      <c r="E61" s="56">
        <f>E60/E$43</f>
        <v>8.490642260946267E-2</v>
      </c>
      <c r="F61" s="57">
        <f>F60/F$43</f>
        <v>5.7370557760371317E-2</v>
      </c>
      <c r="G61" s="111">
        <f ca="1">G60/G$43</f>
        <v>4.6422334656222794E-2</v>
      </c>
      <c r="H61" s="111">
        <f ca="1">H60/H$43</f>
        <v>3.8385647544221496E-2</v>
      </c>
      <c r="I61" s="111">
        <f ca="1">I60/I$43</f>
        <v>3.3030149394179156E-2</v>
      </c>
      <c r="J61" s="100">
        <f ca="1">I61-(I61-$K$61)/($K$42-$I$42)</f>
        <v>3.6515074697089575E-2</v>
      </c>
      <c r="K61" s="99">
        <v>0.04</v>
      </c>
      <c r="U61" s="78"/>
      <c r="V61" s="78"/>
      <c r="Z61" s="106"/>
      <c r="AA61" s="106"/>
      <c r="AB61" s="106"/>
    </row>
    <row r="62" spans="1:31" hidden="1" outlineLevel="1" x14ac:dyDescent="0.55000000000000004">
      <c r="F62" s="97"/>
    </row>
    <row r="63" spans="1:31" collapsed="1" x14ac:dyDescent="0.55000000000000004">
      <c r="B63" s="45" t="s">
        <v>34</v>
      </c>
      <c r="E63" s="54">
        <f>E34</f>
        <v>22.504000000000001</v>
      </c>
      <c r="F63" s="419">
        <f>F34</f>
        <v>273.12400000000002</v>
      </c>
      <c r="G63" s="54">
        <f>G34</f>
        <v>292.06270000000001</v>
      </c>
      <c r="H63" s="54">
        <f>H34</f>
        <v>578.28414600000008</v>
      </c>
      <c r="I63" s="54">
        <f>I34</f>
        <v>1231.5310516666666</v>
      </c>
      <c r="J63" s="54">
        <f ca="1">J64*J43</f>
        <v>2453.2995911845751</v>
      </c>
      <c r="K63" s="54">
        <f ca="1">K64*K43</f>
        <v>4822.163189896195</v>
      </c>
      <c r="U63" s="78"/>
      <c r="V63" s="78"/>
    </row>
    <row r="64" spans="1:31" hidden="1" outlineLevel="1" x14ac:dyDescent="0.55000000000000004">
      <c r="B64" s="55" t="s">
        <v>28</v>
      </c>
      <c r="E64" s="56">
        <f>E63/E$43</f>
        <v>1.1581189521555454E-2</v>
      </c>
      <c r="F64" s="57">
        <f>F63/F$43</f>
        <v>9.3515536218763989E-2</v>
      </c>
      <c r="G64" s="111">
        <f ca="1">G63/G$43</f>
        <v>0.05</v>
      </c>
      <c r="H64" s="111">
        <f ca="1">H63/H$43</f>
        <v>4.5205479452054803E-2</v>
      </c>
      <c r="I64" s="111">
        <f ca="1">I63/I$43</f>
        <v>4.2039706752274794E-2</v>
      </c>
      <c r="J64" s="100">
        <f ca="1">I64-(I64-$K$64)/($K$42-$I$42)</f>
        <v>3.6019853376137397E-2</v>
      </c>
      <c r="K64" s="99">
        <v>0.03</v>
      </c>
      <c r="U64" s="78"/>
      <c r="V64" s="78"/>
      <c r="Z64" s="104"/>
      <c r="AA64" s="104"/>
      <c r="AB64" s="104"/>
      <c r="AC64" s="104"/>
      <c r="AD64" s="104"/>
      <c r="AE64" s="104"/>
    </row>
    <row r="65" spans="1:28" hidden="1" outlineLevel="1" x14ac:dyDescent="0.55000000000000004">
      <c r="F65" s="97"/>
    </row>
    <row r="66" spans="1:28" collapsed="1" x14ac:dyDescent="0.55000000000000004">
      <c r="B66" s="45" t="s">
        <v>35</v>
      </c>
      <c r="E66" s="112">
        <f>E37</f>
        <v>719.01</v>
      </c>
      <c r="F66" s="425">
        <f>F37</f>
        <v>-6101.4340000000002</v>
      </c>
      <c r="G66" s="112">
        <f ca="1">G67*G43</f>
        <v>29.20627</v>
      </c>
      <c r="H66" s="112">
        <f ca="1">H67*H43</f>
        <v>63.961731300000004</v>
      </c>
      <c r="I66" s="112">
        <f ca="1">I67*I43</f>
        <v>146.472364677</v>
      </c>
      <c r="J66" s="112">
        <f ca="1">J67*J43</f>
        <v>340.54824787402504</v>
      </c>
      <c r="K66" s="112">
        <f ca="1">K67*K43</f>
        <v>803.69386498269921</v>
      </c>
      <c r="U66" s="78"/>
      <c r="V66" s="78"/>
      <c r="Z66" s="104"/>
      <c r="AA66" s="104"/>
      <c r="AB66" s="104"/>
    </row>
    <row r="67" spans="1:28" hidden="1" outlineLevel="1" x14ac:dyDescent="0.55000000000000004">
      <c r="B67" s="55" t="s">
        <v>28</v>
      </c>
      <c r="E67" s="113">
        <f>E66/E$43</f>
        <v>0.37002271053561969</v>
      </c>
      <c r="F67" s="96">
        <f>F66/F$43</f>
        <v>-2.0890836111560978</v>
      </c>
      <c r="G67" s="114">
        <v>5.0000000000000001E-3</v>
      </c>
      <c r="H67" s="113">
        <f>G67</f>
        <v>5.0000000000000001E-3</v>
      </c>
      <c r="I67" s="113">
        <f>H67</f>
        <v>5.0000000000000001E-3</v>
      </c>
      <c r="J67" s="113">
        <f>I67</f>
        <v>5.0000000000000001E-3</v>
      </c>
      <c r="K67" s="113">
        <f>J67</f>
        <v>5.0000000000000001E-3</v>
      </c>
    </row>
    <row r="68" spans="1:28" hidden="1" outlineLevel="1" x14ac:dyDescent="0.55000000000000004">
      <c r="F68" s="115"/>
    </row>
    <row r="69" spans="1:28" collapsed="1" x14ac:dyDescent="0.55000000000000004">
      <c r="A69" s="45" t="s">
        <v>6</v>
      </c>
      <c r="B69" s="25" t="s">
        <v>41</v>
      </c>
      <c r="C69" s="26"/>
      <c r="D69" s="26"/>
      <c r="E69" s="426">
        <f t="shared" ref="E69:K69" si="6">E58+E60-E63-E66</f>
        <v>-5110.5510000000004</v>
      </c>
      <c r="F69" s="427">
        <f t="shared" si="6"/>
        <v>-20954.750999999997</v>
      </c>
      <c r="G69" s="426">
        <f t="shared" ca="1" si="6"/>
        <v>-32040.171881999995</v>
      </c>
      <c r="H69" s="426">
        <f t="shared" ca="1" si="6"/>
        <v>-34284.768122499991</v>
      </c>
      <c r="I69" s="426">
        <f t="shared" ca="1" si="6"/>
        <v>-23487.655601964663</v>
      </c>
      <c r="J69" s="426">
        <f t="shared" ca="1" si="6"/>
        <v>-23728.495459414182</v>
      </c>
      <c r="K69" s="427">
        <f t="shared" ca="1" si="6"/>
        <v>13180.57938571627</v>
      </c>
      <c r="M69" s="118"/>
    </row>
    <row r="70" spans="1:28" x14ac:dyDescent="0.55000000000000004">
      <c r="B70" s="108" t="s">
        <v>42</v>
      </c>
      <c r="C70" s="109"/>
      <c r="D70" s="109"/>
      <c r="E70" s="428"/>
      <c r="F70" s="429"/>
      <c r="G70" s="423">
        <f ca="1">G69/(1+WACCC)^G41</f>
        <v>-28945.440272124306</v>
      </c>
      <c r="H70" s="423">
        <f ca="1">H69/(1+WACCC)^H41</f>
        <v>-27981.556032816086</v>
      </c>
      <c r="I70" s="423">
        <f ca="1">I69/(1+WACCC)^I41</f>
        <v>-17317.91636084158</v>
      </c>
      <c r="J70" s="423">
        <f ca="1">J69/(1+WACCC)^J41</f>
        <v>-15805.618388617329</v>
      </c>
      <c r="K70" s="424">
        <f ca="1">K69/(1+WACCC)^K41</f>
        <v>7931.6056565646004</v>
      </c>
    </row>
    <row r="71" spans="1:28" hidden="1" outlineLevel="1" x14ac:dyDescent="0.55000000000000004">
      <c r="G71" s="119"/>
    </row>
    <row r="72" spans="1:28" collapsed="1" x14ac:dyDescent="0.55000000000000004">
      <c r="A72" s="45" t="s">
        <v>6</v>
      </c>
      <c r="B72" s="45" t="s">
        <v>43</v>
      </c>
      <c r="E72" s="430"/>
      <c r="F72" s="430"/>
      <c r="G72" s="431"/>
      <c r="H72" s="430"/>
      <c r="I72" s="430"/>
      <c r="J72" s="430"/>
      <c r="K72" s="112">
        <f ca="1">(K69*(1+TGRR))/(WACCC-TGRR)</f>
        <v>164926.12726729579</v>
      </c>
    </row>
    <row r="73" spans="1:28" x14ac:dyDescent="0.55000000000000004">
      <c r="B73" s="64" t="s">
        <v>44</v>
      </c>
      <c r="C73" s="64"/>
      <c r="D73" s="64"/>
      <c r="E73" s="432"/>
      <c r="F73" s="432"/>
      <c r="G73" s="432"/>
      <c r="H73" s="432"/>
      <c r="I73" s="432"/>
      <c r="J73" s="432"/>
      <c r="K73" s="120">
        <f ca="1">K72/(1+WACCC)^K41</f>
        <v>99246.699683489598</v>
      </c>
    </row>
    <row r="74" spans="1:28" x14ac:dyDescent="0.55000000000000004">
      <c r="K74" s="112"/>
    </row>
    <row r="75" spans="1:28" x14ac:dyDescent="0.55000000000000004">
      <c r="B75" s="30" t="s">
        <v>45</v>
      </c>
      <c r="C75" s="30"/>
      <c r="D75" s="30"/>
      <c r="E75" s="31">
        <f ca="1">SUM(G70:K70,K73)</f>
        <v>17127.774285654901</v>
      </c>
      <c r="F75"/>
      <c r="G75"/>
      <c r="H75"/>
      <c r="I75"/>
      <c r="J75"/>
      <c r="K75"/>
      <c r="L75"/>
      <c r="M75"/>
      <c r="N75"/>
      <c r="O75"/>
      <c r="R75" s="20" t="s">
        <v>21</v>
      </c>
      <c r="S75" s="21"/>
      <c r="T75" s="640" t="s">
        <v>1436</v>
      </c>
      <c r="U75" s="20" t="s">
        <v>1246</v>
      </c>
    </row>
    <row r="76" spans="1:28" x14ac:dyDescent="0.55000000000000004">
      <c r="B76" s="32" t="s">
        <v>21</v>
      </c>
      <c r="C76" s="33"/>
      <c r="D76" s="33"/>
      <c r="E76" s="34">
        <f>'DCF-Nuvve'!T90</f>
        <v>0.10691603170590046</v>
      </c>
      <c r="F76"/>
      <c r="G76"/>
      <c r="H76"/>
      <c r="I76"/>
      <c r="J76"/>
      <c r="K76"/>
      <c r="L76"/>
      <c r="M76"/>
      <c r="N76"/>
      <c r="O76"/>
      <c r="R76" s="19" t="s">
        <v>66</v>
      </c>
      <c r="S76" s="19"/>
      <c r="T76" s="23">
        <v>5950</v>
      </c>
      <c r="U76" s="19"/>
    </row>
    <row r="77" spans="1:28" x14ac:dyDescent="0.55000000000000004">
      <c r="B77" s="35" t="s">
        <v>46</v>
      </c>
      <c r="C77" s="22"/>
      <c r="D77" s="22"/>
      <c r="E77" s="36">
        <f>21.64*10^3</f>
        <v>21640</v>
      </c>
      <c r="F77"/>
      <c r="G77"/>
      <c r="H77"/>
      <c r="I77"/>
      <c r="J77"/>
      <c r="K77"/>
      <c r="L77"/>
      <c r="M77"/>
      <c r="N77"/>
      <c r="O77"/>
      <c r="R77" s="19" t="s">
        <v>50</v>
      </c>
      <c r="S77" s="19"/>
      <c r="T77" s="126">
        <f>T76/T88</f>
        <v>0.20328675390344733</v>
      </c>
    </row>
    <row r="78" spans="1:28" x14ac:dyDescent="0.55000000000000004">
      <c r="B78" s="37" t="s">
        <v>47</v>
      </c>
      <c r="C78" s="29"/>
      <c r="D78" s="29"/>
      <c r="E78" s="38">
        <f>'DCF-Nuvve'!T76</f>
        <v>5950</v>
      </c>
      <c r="F78"/>
      <c r="G78"/>
      <c r="H78"/>
      <c r="I78"/>
      <c r="J78"/>
      <c r="K78"/>
      <c r="L78"/>
      <c r="M78"/>
      <c r="N78"/>
      <c r="O78"/>
      <c r="R78" s="19" t="s">
        <v>51</v>
      </c>
      <c r="S78" s="19"/>
      <c r="T78" s="127">
        <v>3.7499999999999999E-2</v>
      </c>
      <c r="U78" s="19" t="s">
        <v>1247</v>
      </c>
      <c r="W78" s="45" t="s">
        <v>1244</v>
      </c>
    </row>
    <row r="79" spans="1:28" x14ac:dyDescent="0.55000000000000004">
      <c r="B79" s="33" t="s">
        <v>48</v>
      </c>
      <c r="C79" s="33"/>
      <c r="D79" s="33"/>
      <c r="E79" s="39">
        <f ca="1">E75+E77-E78</f>
        <v>32817.774285654901</v>
      </c>
      <c r="F79"/>
      <c r="G79"/>
      <c r="H79"/>
      <c r="I79"/>
      <c r="J79"/>
      <c r="K79"/>
      <c r="L79"/>
      <c r="M79"/>
      <c r="N79"/>
      <c r="O79"/>
      <c r="R79" s="19" t="s">
        <v>52</v>
      </c>
      <c r="S79" s="19"/>
      <c r="T79" s="127">
        <v>0.21</v>
      </c>
      <c r="U79" s="19" t="s">
        <v>1247</v>
      </c>
      <c r="W79" s="45" t="s">
        <v>1244</v>
      </c>
    </row>
    <row r="80" spans="1:28" x14ac:dyDescent="0.55000000000000004">
      <c r="B80" s="29" t="s">
        <v>49</v>
      </c>
      <c r="C80" s="29"/>
      <c r="D80" s="29"/>
      <c r="E80" s="38">
        <f>24.43*10^3</f>
        <v>24430</v>
      </c>
      <c r="F80"/>
      <c r="G80"/>
      <c r="H80"/>
      <c r="I80"/>
      <c r="J80"/>
      <c r="K80"/>
      <c r="L80"/>
      <c r="M80"/>
      <c r="N80"/>
      <c r="O80"/>
      <c r="R80" s="19"/>
      <c r="S80" s="19"/>
      <c r="T80" s="19"/>
    </row>
    <row r="81" spans="1:23" ht="16.149999999999999" thickBot="1" x14ac:dyDescent="0.6">
      <c r="A81" s="45" t="s">
        <v>6</v>
      </c>
      <c r="B81" s="40" t="s">
        <v>9</v>
      </c>
      <c r="C81" s="40"/>
      <c r="D81" s="40"/>
      <c r="E81" s="626">
        <f ca="1">E79/E80</f>
        <v>1.3433391029740034</v>
      </c>
      <c r="F81"/>
      <c r="G81"/>
      <c r="H81"/>
      <c r="I81"/>
      <c r="J81"/>
      <c r="K81"/>
      <c r="L81"/>
      <c r="M81"/>
      <c r="N81"/>
      <c r="O81"/>
      <c r="R81" s="19" t="s">
        <v>67</v>
      </c>
      <c r="S81" s="19"/>
      <c r="T81" s="23">
        <v>23319</v>
      </c>
      <c r="U81" s="19" t="s">
        <v>1434</v>
      </c>
      <c r="W81" s="44" t="s">
        <v>1243</v>
      </c>
    </row>
    <row r="82" spans="1:23" ht="16.149999999999999" thickTop="1" x14ac:dyDescent="0.55000000000000004">
      <c r="R82" s="19" t="s">
        <v>53</v>
      </c>
      <c r="S82" s="19"/>
      <c r="T82" s="126">
        <f>T81/T88</f>
        <v>0.7967132460965527</v>
      </c>
    </row>
    <row r="83" spans="1:23" x14ac:dyDescent="0.55000000000000004">
      <c r="R83" s="19" t="s">
        <v>54</v>
      </c>
      <c r="S83" s="19"/>
      <c r="T83" s="24">
        <f>T84+(T85*T86)</f>
        <v>0.12462800000000002</v>
      </c>
    </row>
    <row r="84" spans="1:23" x14ac:dyDescent="0.55000000000000004">
      <c r="B84" s="121" t="s">
        <v>45</v>
      </c>
      <c r="C84" s="121"/>
      <c r="D84" s="121"/>
      <c r="E84" s="121"/>
      <c r="F84" s="121"/>
      <c r="G84" s="121"/>
      <c r="R84" s="19" t="s">
        <v>55</v>
      </c>
      <c r="S84" s="19"/>
      <c r="T84" s="127">
        <v>4.0500000000000001E-2</v>
      </c>
      <c r="U84" s="19" t="s">
        <v>1250</v>
      </c>
      <c r="W84" s="44" t="s">
        <v>1062</v>
      </c>
    </row>
    <row r="85" spans="1:23" ht="14.25" customHeight="1" x14ac:dyDescent="0.55000000000000004">
      <c r="A85" s="796" t="s">
        <v>21</v>
      </c>
      <c r="B85" s="122" t="s">
        <v>65</v>
      </c>
      <c r="C85" s="122"/>
      <c r="D85" s="122"/>
      <c r="E85" s="123"/>
      <c r="F85" s="123"/>
      <c r="G85" s="123"/>
      <c r="R85" s="19" t="s">
        <v>56</v>
      </c>
      <c r="S85" s="19"/>
      <c r="T85" s="129">
        <v>1.76</v>
      </c>
      <c r="U85" s="19" t="s">
        <v>1249</v>
      </c>
      <c r="W85" s="44" t="s">
        <v>1243</v>
      </c>
    </row>
    <row r="86" spans="1:23" x14ac:dyDescent="0.55000000000000004">
      <c r="A86" s="796"/>
      <c r="B86" s="124">
        <f ca="1">E75</f>
        <v>17127.774285654901</v>
      </c>
      <c r="C86" s="623">
        <v>1.4999999999999999E-2</v>
      </c>
      <c r="D86" s="623">
        <v>0.02</v>
      </c>
      <c r="E86" s="623">
        <v>2.5000000000000001E-2</v>
      </c>
      <c r="F86" s="623">
        <v>0.03</v>
      </c>
      <c r="G86" s="623">
        <v>3.5000000000000003E-2</v>
      </c>
      <c r="R86" s="19" t="s">
        <v>57</v>
      </c>
      <c r="S86" s="19"/>
      <c r="T86" s="127">
        <v>4.7800000000000002E-2</v>
      </c>
      <c r="U86" s="19" t="s">
        <v>1435</v>
      </c>
      <c r="W86" s="44" t="s">
        <v>1064</v>
      </c>
    </row>
    <row r="87" spans="1:23" x14ac:dyDescent="0.55000000000000004">
      <c r="A87" s="796"/>
      <c r="B87" s="551">
        <f>B88-0.5%</f>
        <v>9.6916031705900449E-2</v>
      </c>
      <c r="C87" s="371">
        <f t="dataTable" ref="C87:G91" dt2D="1" dtr="1" r1="D16" r2="D15" ca="1"/>
        <v>19251.243128981223</v>
      </c>
      <c r="D87" s="371">
        <v>26476.032575867197</v>
      </c>
      <c r="E87" s="371">
        <v>34705.436609446653</v>
      </c>
      <c r="F87" s="371">
        <v>44164.651171801655</v>
      </c>
      <c r="G87" s="371">
        <v>55151.614574277133</v>
      </c>
      <c r="R87" s="19"/>
      <c r="S87" s="19"/>
      <c r="T87" s="19"/>
    </row>
    <row r="88" spans="1:23" x14ac:dyDescent="0.55000000000000004">
      <c r="A88" s="796"/>
      <c r="B88" s="551">
        <f>B89-0.5%</f>
        <v>0.10191603170590045</v>
      </c>
      <c r="C88" s="372">
        <v>11896.567272150874</v>
      </c>
      <c r="D88" s="371">
        <v>18174.862065929483</v>
      </c>
      <c r="E88" s="371">
        <v>25269.409941742313</v>
      </c>
      <c r="F88" s="371">
        <v>33350.462176531175</v>
      </c>
      <c r="G88" s="371">
        <v>42639.155096037503</v>
      </c>
      <c r="R88" s="19" t="s">
        <v>58</v>
      </c>
      <c r="S88" s="19"/>
      <c r="T88" s="23">
        <f>T76+T81</f>
        <v>29269</v>
      </c>
    </row>
    <row r="89" spans="1:23" x14ac:dyDescent="0.55000000000000004">
      <c r="A89" s="796"/>
      <c r="B89" s="551">
        <v>0.10691603170590046</v>
      </c>
      <c r="C89" s="372">
        <v>5467.3160009687563</v>
      </c>
      <c r="D89" s="372">
        <v>10962.150796152113</v>
      </c>
      <c r="E89" s="624">
        <v>17127.774285654901</v>
      </c>
      <c r="F89" s="371">
        <v>24095.002246001706</v>
      </c>
      <c r="G89" s="371">
        <v>32031.030596898316</v>
      </c>
      <c r="R89" s="19"/>
      <c r="S89" s="19"/>
      <c r="T89" s="19"/>
    </row>
    <row r="90" spans="1:23" x14ac:dyDescent="0.55000000000000004">
      <c r="A90" s="796"/>
      <c r="B90" s="551">
        <f>B89+0.5%</f>
        <v>0.11191603170590046</v>
      </c>
      <c r="C90" s="372">
        <v>-182.82852050088695</v>
      </c>
      <c r="D90" s="372">
        <v>4656.9963619920018</v>
      </c>
      <c r="E90" s="372">
        <v>10053.660389979894</v>
      </c>
      <c r="F90" s="372">
        <v>16109.128795523968</v>
      </c>
      <c r="G90" s="371">
        <v>22951.880199324907</v>
      </c>
      <c r="R90" s="130" t="s">
        <v>21</v>
      </c>
      <c r="S90" s="131"/>
      <c r="T90" s="433">
        <f>(T78*T77)+(T82*T83)</f>
        <v>0.10691603170590046</v>
      </c>
    </row>
    <row r="91" spans="1:23" x14ac:dyDescent="0.55000000000000004">
      <c r="A91" s="796"/>
      <c r="B91" s="551">
        <f>B90+0.5%</f>
        <v>0.11691603170590047</v>
      </c>
      <c r="C91" s="372">
        <v>-5171.3810348697734</v>
      </c>
      <c r="D91" s="372">
        <v>-884.07704261949402</v>
      </c>
      <c r="E91" s="372">
        <v>3869.663969667512</v>
      </c>
      <c r="F91" s="372">
        <v>9170.339870603435</v>
      </c>
      <c r="G91" s="372">
        <v>15118.102280803694</v>
      </c>
    </row>
    <row r="94" spans="1:23" ht="13.9" customHeight="1" x14ac:dyDescent="0.55000000000000004">
      <c r="A94" s="622"/>
      <c r="B94" s="121" t="s">
        <v>9</v>
      </c>
      <c r="C94" s="121"/>
      <c r="D94" s="121"/>
      <c r="E94" s="121"/>
      <c r="F94" s="121"/>
      <c r="G94" s="121"/>
    </row>
    <row r="95" spans="1:23" x14ac:dyDescent="0.55000000000000004">
      <c r="A95" s="796" t="s">
        <v>21</v>
      </c>
      <c r="B95" s="122" t="s">
        <v>65</v>
      </c>
      <c r="C95" s="122"/>
      <c r="D95" s="122"/>
      <c r="E95" s="123"/>
      <c r="F95" s="123"/>
      <c r="G95" s="123"/>
    </row>
    <row r="96" spans="1:23" x14ac:dyDescent="0.55000000000000004">
      <c r="A96" s="796"/>
      <c r="B96" s="125">
        <f ca="1">E81</f>
        <v>1.3433391029740034</v>
      </c>
      <c r="C96" s="623">
        <v>1.4999999999999999E-2</v>
      </c>
      <c r="D96" s="623">
        <v>0.02</v>
      </c>
      <c r="E96" s="623">
        <v>2.5000000000000001E-2</v>
      </c>
      <c r="F96" s="623">
        <v>0.03</v>
      </c>
      <c r="G96" s="623">
        <v>3.5000000000000003E-2</v>
      </c>
    </row>
    <row r="97" spans="1:10" x14ac:dyDescent="0.55000000000000004">
      <c r="A97" s="796"/>
      <c r="B97" s="551">
        <f>B98-0.5%</f>
        <v>9.6916031705900449E-2</v>
      </c>
      <c r="C97" s="627">
        <f t="dataTable" ref="C97:G101" dt2D="1" dtr="1" r1="D16" r2="D15" ca="1"/>
        <v>1.4302596450667713</v>
      </c>
      <c r="D97" s="627">
        <v>1.7259939654468768</v>
      </c>
      <c r="E97" s="627">
        <v>2.0628504547460769</v>
      </c>
      <c r="F97" s="627">
        <v>2.4500471212362527</v>
      </c>
      <c r="G97" s="627">
        <v>2.8997795568676681</v>
      </c>
    </row>
    <row r="98" spans="1:10" x14ac:dyDescent="0.55000000000000004">
      <c r="A98" s="796"/>
      <c r="B98" s="551">
        <f>B99-0.5%</f>
        <v>0.10191603170590045</v>
      </c>
      <c r="C98" s="628">
        <v>1.1292086480618451</v>
      </c>
      <c r="D98" s="627">
        <v>1.386199838965595</v>
      </c>
      <c r="E98" s="627">
        <v>1.6766029448113922</v>
      </c>
      <c r="F98" s="627">
        <v>2.0073869085767981</v>
      </c>
      <c r="G98" s="627">
        <v>2.3876035651263816</v>
      </c>
    </row>
    <row r="99" spans="1:10" x14ac:dyDescent="0.55000000000000004">
      <c r="A99" s="796"/>
      <c r="B99" s="551">
        <v>0.10691603170590046</v>
      </c>
      <c r="C99" s="628">
        <v>0.86603831358856964</v>
      </c>
      <c r="D99" s="628">
        <v>1.0909599179759359</v>
      </c>
      <c r="E99" s="629">
        <v>1.3433391029740034</v>
      </c>
      <c r="F99" s="627">
        <v>1.6285305872288869</v>
      </c>
      <c r="G99" s="627">
        <v>1.9533782479287072</v>
      </c>
      <c r="J99" s="45">
        <v>3</v>
      </c>
    </row>
    <row r="100" spans="1:10" x14ac:dyDescent="0.55000000000000004">
      <c r="A100" s="796"/>
      <c r="B100" s="551">
        <f>B99+0.5%</f>
        <v>0.11191603170590046</v>
      </c>
      <c r="C100" s="628">
        <v>0.63475937288166651</v>
      </c>
      <c r="D100" s="628">
        <v>0.83286927392517407</v>
      </c>
      <c r="E100" s="628">
        <v>1.0537724269332744</v>
      </c>
      <c r="F100" s="628">
        <v>1.3016426031733102</v>
      </c>
      <c r="G100" s="627">
        <v>1.581738853840561</v>
      </c>
    </row>
    <row r="101" spans="1:10" x14ac:dyDescent="0.55000000000000004">
      <c r="A101" s="796"/>
      <c r="B101" s="551">
        <f>B100+0.5%</f>
        <v>0.11691603170590047</v>
      </c>
      <c r="C101" s="628">
        <v>0.43056156222391428</v>
      </c>
      <c r="D101" s="628">
        <v>0.60605497164881317</v>
      </c>
      <c r="E101" s="628">
        <v>0.80064117763681997</v>
      </c>
      <c r="F101" s="628">
        <v>1.0176152218830714</v>
      </c>
      <c r="G101" s="628">
        <v>1.2610766385920464</v>
      </c>
    </row>
  </sheetData>
  <mergeCells count="2">
    <mergeCell ref="A95:A101"/>
    <mergeCell ref="A85:A91"/>
  </mergeCells>
  <hyperlinks>
    <hyperlink ref="W86" r:id="rId1" xr:uid="{3CE8D5F9-BB53-4BE1-92A9-C968A5923D1A}"/>
    <hyperlink ref="W85" r:id="rId2" xr:uid="{E288F1F7-9409-4EF6-BFAA-5B67ABBE1D05}"/>
    <hyperlink ref="W84" r:id="rId3" xr:uid="{B294F655-1A34-4D27-AC1E-420F998AE412}"/>
    <hyperlink ref="W81" r:id="rId4" xr:uid="{51DAD7B3-7871-4CFA-96A1-2D48F49B71C4}"/>
  </hyperlinks>
  <pageMargins left="0.7" right="0.7" top="0.75" bottom="0.75" header="0.3" footer="0.3"/>
  <pageSetup orientation="portrait" r:id="rId5"/>
  <ignoredErrors>
    <ignoredError xmlns:x16r3="http://schemas.microsoft.com/office/spreadsheetml/2018/08/main" sqref="B96" x16r3:misleadingFormat="1"/>
  </ignoredErrors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174-6449-4EEE-897D-39CE8077852C}">
  <dimension ref="B3:R37"/>
  <sheetViews>
    <sheetView showGridLines="0" workbookViewId="0">
      <selection activeCell="E17" sqref="E17"/>
    </sheetView>
  </sheetViews>
  <sheetFormatPr defaultRowHeight="15.75" x14ac:dyDescent="0.45"/>
  <cols>
    <col min="1" max="1" width="9.06640625" style="644"/>
    <col min="2" max="2" width="23.265625" style="663" bestFit="1" customWidth="1"/>
    <col min="3" max="4" width="10.19921875" style="644" bestFit="1" customWidth="1"/>
    <col min="5" max="5" width="9.53125" style="644" bestFit="1" customWidth="1"/>
    <col min="6" max="10" width="9.06640625" style="644"/>
    <col min="11" max="11" width="17.46484375" style="663" bestFit="1" customWidth="1"/>
    <col min="12" max="12" width="9.06640625" style="644"/>
    <col min="13" max="13" width="12.33203125" style="644" bestFit="1" customWidth="1"/>
    <col min="14" max="19" width="9.06640625" style="644"/>
    <col min="20" max="20" width="13.1328125" style="644" bestFit="1" customWidth="1"/>
    <col min="21" max="16384" width="9.06640625" style="644"/>
  </cols>
  <sheetData>
    <row r="3" spans="2:16" x14ac:dyDescent="0.45">
      <c r="B3" s="663" t="s">
        <v>1423</v>
      </c>
      <c r="C3" s="645"/>
      <c r="D3" s="645">
        <v>1</v>
      </c>
    </row>
    <row r="4" spans="2:16" x14ac:dyDescent="0.45">
      <c r="B4" s="663" t="s">
        <v>1424</v>
      </c>
      <c r="C4" s="646"/>
      <c r="D4" s="646" t="s">
        <v>0</v>
      </c>
      <c r="E4" s="644" t="s">
        <v>85</v>
      </c>
    </row>
    <row r="5" spans="2:16" x14ac:dyDescent="0.45">
      <c r="B5" s="663" t="s">
        <v>45</v>
      </c>
      <c r="C5" s="647"/>
      <c r="D5" s="647">
        <f ca="1">'DCF-Nuvve'!E75</f>
        <v>17127.774285654901</v>
      </c>
      <c r="E5" s="647">
        <f ca="1">AVERAGE(C5:D5)</f>
        <v>17127.774285654901</v>
      </c>
    </row>
    <row r="6" spans="2:16" x14ac:dyDescent="0.45">
      <c r="B6" s="664" t="s">
        <v>1422</v>
      </c>
      <c r="C6" s="649"/>
      <c r="D6" s="649">
        <f ca="1">D5*D3</f>
        <v>17127.774285654901</v>
      </c>
      <c r="E6" s="649">
        <f ca="1">C6+D6</f>
        <v>17127.774285654901</v>
      </c>
      <c r="K6" s="663" t="s">
        <v>1286</v>
      </c>
      <c r="M6" s="647">
        <f ca="1">E22</f>
        <v>32817.774285654901</v>
      </c>
    </row>
    <row r="7" spans="2:16" x14ac:dyDescent="0.45">
      <c r="C7" s="647"/>
      <c r="D7" s="647"/>
      <c r="E7" s="647"/>
      <c r="K7" s="669" t="s">
        <v>1432</v>
      </c>
      <c r="M7" s="647">
        <f>E23</f>
        <v>7134.6935520000006</v>
      </c>
    </row>
    <row r="8" spans="2:16" x14ac:dyDescent="0.45">
      <c r="B8" s="665" t="s">
        <v>101</v>
      </c>
      <c r="C8" s="650"/>
      <c r="D8" s="650"/>
      <c r="E8" s="651">
        <f>'DCF-Nuvve'!E77</f>
        <v>21640</v>
      </c>
      <c r="K8" s="669" t="s">
        <v>1288</v>
      </c>
      <c r="M8" s="652">
        <f>-E20</f>
        <v>-23315.992000000002</v>
      </c>
    </row>
    <row r="9" spans="2:16" x14ac:dyDescent="0.45">
      <c r="B9" s="666" t="s">
        <v>100</v>
      </c>
      <c r="C9" s="653"/>
      <c r="D9" s="653"/>
      <c r="E9" s="654">
        <f>-'DCF-Nuvve'!E78</f>
        <v>-5950</v>
      </c>
      <c r="K9" s="669" t="s">
        <v>1289</v>
      </c>
      <c r="M9" s="652">
        <f>M8*D30</f>
        <v>-7134.6935520000006</v>
      </c>
    </row>
    <row r="10" spans="2:16" x14ac:dyDescent="0.45">
      <c r="C10" s="647"/>
      <c r="D10" s="647"/>
      <c r="E10" s="647"/>
      <c r="K10" s="669" t="s">
        <v>1290</v>
      </c>
      <c r="M10" s="652"/>
    </row>
    <row r="11" spans="2:16" x14ac:dyDescent="0.45">
      <c r="B11" s="664" t="s">
        <v>1259</v>
      </c>
      <c r="C11" s="648"/>
      <c r="D11" s="648"/>
      <c r="E11" s="649">
        <f ca="1">E6+E8+E9</f>
        <v>32817.774285654901</v>
      </c>
      <c r="G11" s="647"/>
      <c r="K11" s="670" t="s">
        <v>103</v>
      </c>
      <c r="L11" s="646"/>
      <c r="M11" s="655">
        <f ca="1">SUM(M6:M10)</f>
        <v>9501.7822856548955</v>
      </c>
    </row>
    <row r="12" spans="2:16" x14ac:dyDescent="0.45">
      <c r="B12" s="667" t="s">
        <v>1430</v>
      </c>
      <c r="C12" s="653"/>
      <c r="D12" s="653"/>
      <c r="E12" s="654">
        <f>'DCF-Nuvve'!E80</f>
        <v>24430</v>
      </c>
    </row>
    <row r="13" spans="2:16" ht="16.149999999999999" thickBot="1" x14ac:dyDescent="0.5">
      <c r="B13" s="668" t="s">
        <v>1257</v>
      </c>
      <c r="C13" s="656"/>
      <c r="D13" s="656"/>
      <c r="E13" s="657">
        <f ca="1">E11/E12</f>
        <v>1.3433391029740034</v>
      </c>
      <c r="K13" s="663" t="s">
        <v>1301</v>
      </c>
      <c r="M13" s="652">
        <f>M8+M9+M10</f>
        <v>-30450.685552000003</v>
      </c>
      <c r="N13" s="652"/>
    </row>
    <row r="14" spans="2:16" ht="16.149999999999999" thickTop="1" x14ac:dyDescent="0.45">
      <c r="K14" s="663" t="s">
        <v>1303</v>
      </c>
      <c r="M14" s="652">
        <f>M13*D32</f>
        <v>-304.50685552000004</v>
      </c>
    </row>
    <row r="15" spans="2:16" x14ac:dyDescent="0.45">
      <c r="B15" s="667" t="s">
        <v>1258</v>
      </c>
      <c r="C15" s="653"/>
      <c r="D15" s="653"/>
      <c r="E15" s="658">
        <f>'DCF-Nuvve'!G5</f>
        <v>0.95440000000000003</v>
      </c>
      <c r="K15" s="663" t="s">
        <v>85</v>
      </c>
      <c r="M15" s="652">
        <f>-(M13+M14)</f>
        <v>30755.192407520004</v>
      </c>
      <c r="N15" s="694">
        <f>(M15/10^3)/L19</f>
        <v>2.9388621507424753E-3</v>
      </c>
      <c r="O15" s="670" t="s">
        <v>1433</v>
      </c>
    </row>
    <row r="16" spans="2:16" ht="16.149999999999999" thickBot="1" x14ac:dyDescent="0.5">
      <c r="B16" s="668" t="s">
        <v>12</v>
      </c>
      <c r="C16" s="656"/>
      <c r="D16" s="656"/>
      <c r="E16" s="659">
        <f ca="1">E13/E15-1</f>
        <v>0.40752211124686011</v>
      </c>
      <c r="K16" s="663" t="s">
        <v>1321</v>
      </c>
      <c r="M16" s="657">
        <f>-M13/E12</f>
        <v>1.2464464000000002</v>
      </c>
      <c r="N16" s="660">
        <f>M16/E15-1</f>
        <v>0.30600000000000005</v>
      </c>
      <c r="O16" s="660">
        <f ca="1">M16/E13-1</f>
        <v>-7.2128253215806404E-2</v>
      </c>
      <c r="P16" s="660">
        <f ca="1">M16/E27-1</f>
        <v>-0.23782716813051374</v>
      </c>
    </row>
    <row r="17" spans="2:18" ht="16.149999999999999" thickTop="1" x14ac:dyDescent="0.45"/>
    <row r="18" spans="2:18" x14ac:dyDescent="0.45">
      <c r="K18" s="663" t="s">
        <v>1078</v>
      </c>
    </row>
    <row r="19" spans="2:18" x14ac:dyDescent="0.45">
      <c r="K19" s="663" t="s">
        <v>101</v>
      </c>
      <c r="L19" s="661">
        <v>10465</v>
      </c>
    </row>
    <row r="20" spans="2:18" x14ac:dyDescent="0.45">
      <c r="B20" s="663" t="s">
        <v>1280</v>
      </c>
      <c r="E20" s="652">
        <f>E15*E12</f>
        <v>23315.992000000002</v>
      </c>
      <c r="K20" s="663" t="s">
        <v>100</v>
      </c>
      <c r="L20" s="661">
        <f>'Acq Feasibility'!D4</f>
        <v>50636</v>
      </c>
      <c r="O20" s="652"/>
    </row>
    <row r="21" spans="2:18" x14ac:dyDescent="0.45">
      <c r="B21" s="663" t="s">
        <v>1437</v>
      </c>
      <c r="E21" s="647">
        <f ca="1">E22-E20</f>
        <v>9501.7822856548992</v>
      </c>
      <c r="L21" s="661"/>
    </row>
    <row r="22" spans="2:18" x14ac:dyDescent="0.45">
      <c r="B22" s="663" t="s">
        <v>48</v>
      </c>
      <c r="E22" s="647">
        <f ca="1">E11</f>
        <v>32817.774285654901</v>
      </c>
      <c r="L22" s="661"/>
      <c r="M22" s="661"/>
      <c r="R22" s="652"/>
    </row>
    <row r="23" spans="2:18" x14ac:dyDescent="0.45">
      <c r="B23" s="663" t="s">
        <v>1431</v>
      </c>
      <c r="E23" s="647">
        <f>E20*(30.6%)</f>
        <v>7134.6935520000006</v>
      </c>
      <c r="L23" s="661"/>
      <c r="M23" s="661"/>
      <c r="R23" s="652"/>
    </row>
    <row r="24" spans="2:18" x14ac:dyDescent="0.45">
      <c r="B24" s="663" t="s">
        <v>1283</v>
      </c>
      <c r="E24" s="647">
        <f ca="1">E22+E23</f>
        <v>39952.467837654898</v>
      </c>
      <c r="L24" s="661"/>
      <c r="M24" s="661"/>
    </row>
    <row r="25" spans="2:18" x14ac:dyDescent="0.45">
      <c r="L25" s="661"/>
      <c r="M25" s="661"/>
    </row>
    <row r="26" spans="2:18" x14ac:dyDescent="0.45">
      <c r="B26" s="667" t="s">
        <v>1260</v>
      </c>
      <c r="C26" s="653"/>
      <c r="D26" s="653"/>
      <c r="E26" s="654">
        <f>E12</f>
        <v>24430</v>
      </c>
      <c r="L26" s="661"/>
    </row>
    <row r="27" spans="2:18" ht="16.149999999999999" thickBot="1" x14ac:dyDescent="0.5">
      <c r="B27" s="668" t="s">
        <v>1257</v>
      </c>
      <c r="C27" s="656"/>
      <c r="D27" s="656"/>
      <c r="E27" s="657">
        <f ca="1">E24/E26</f>
        <v>1.6353855029740032</v>
      </c>
      <c r="F27" s="660">
        <f ca="1">E27/E13-1</f>
        <v>0.21740333423886904</v>
      </c>
      <c r="G27" s="660">
        <f ca="1">E27/E15-1</f>
        <v>0.71352211124685994</v>
      </c>
      <c r="L27" s="661"/>
      <c r="M27" s="662"/>
    </row>
    <row r="28" spans="2:18" ht="16.149999999999999" thickTop="1" x14ac:dyDescent="0.45">
      <c r="M28" s="662"/>
    </row>
    <row r="30" spans="2:18" x14ac:dyDescent="0.45">
      <c r="B30" s="663" t="s">
        <v>1284</v>
      </c>
      <c r="D30" s="645">
        <v>0.30599999999999999</v>
      </c>
      <c r="L30" s="661"/>
    </row>
    <row r="31" spans="2:18" x14ac:dyDescent="0.45">
      <c r="B31" s="663" t="s">
        <v>1285</v>
      </c>
      <c r="D31" s="645">
        <v>0.05</v>
      </c>
      <c r="L31" s="661"/>
    </row>
    <row r="32" spans="2:18" x14ac:dyDescent="0.45">
      <c r="B32" s="663" t="s">
        <v>1303</v>
      </c>
      <c r="D32" s="645">
        <v>0.01</v>
      </c>
      <c r="L32" s="661"/>
    </row>
    <row r="33" spans="12:13" x14ac:dyDescent="0.45">
      <c r="L33" s="661"/>
    </row>
    <row r="34" spans="12:13" x14ac:dyDescent="0.45">
      <c r="L34" s="661"/>
    </row>
    <row r="35" spans="12:13" x14ac:dyDescent="0.45">
      <c r="L35" s="661"/>
    </row>
    <row r="36" spans="12:13" x14ac:dyDescent="0.45">
      <c r="L36" s="661"/>
    </row>
    <row r="37" spans="12:13" x14ac:dyDescent="0.45">
      <c r="L37" s="661"/>
      <c r="M37" s="66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0B1B-3639-4DC6-A7F5-24AD6042852B}">
  <dimension ref="A1:C48"/>
  <sheetViews>
    <sheetView topLeftCell="A11" workbookViewId="0"/>
  </sheetViews>
  <sheetFormatPr defaultRowHeight="14.25" x14ac:dyDescent="0.45"/>
  <cols>
    <col min="1" max="1" width="80" customWidth="1"/>
    <col min="2" max="3" width="14" customWidth="1"/>
  </cols>
  <sheetData>
    <row r="1" spans="1:3" x14ac:dyDescent="0.45">
      <c r="A1" s="383" t="s">
        <v>1103</v>
      </c>
      <c r="B1" s="384" t="s">
        <v>1104</v>
      </c>
      <c r="C1" s="384" t="s">
        <v>1105</v>
      </c>
    </row>
    <row r="2" spans="1:3" x14ac:dyDescent="0.45">
      <c r="A2" s="385" t="s">
        <v>1106</v>
      </c>
    </row>
    <row r="3" spans="1:3" x14ac:dyDescent="0.45">
      <c r="A3" s="386" t="s">
        <v>101</v>
      </c>
      <c r="B3" s="387">
        <v>32360520</v>
      </c>
      <c r="C3" s="387">
        <v>2275895</v>
      </c>
    </row>
    <row r="4" spans="1:3" x14ac:dyDescent="0.45">
      <c r="A4" s="386" t="s">
        <v>1107</v>
      </c>
      <c r="B4" s="388">
        <v>380000</v>
      </c>
      <c r="C4" s="388">
        <v>0</v>
      </c>
    </row>
    <row r="5" spans="1:3" x14ac:dyDescent="0.45">
      <c r="A5" s="386" t="s">
        <v>1108</v>
      </c>
      <c r="B5" s="388">
        <v>1886708</v>
      </c>
      <c r="C5" s="388">
        <v>999897</v>
      </c>
    </row>
    <row r="6" spans="1:3" x14ac:dyDescent="0.45">
      <c r="A6" s="386" t="s">
        <v>1109</v>
      </c>
      <c r="B6" s="388">
        <v>11118188</v>
      </c>
      <c r="C6" s="388">
        <v>1052478</v>
      </c>
    </row>
    <row r="7" spans="1:3" x14ac:dyDescent="0.45">
      <c r="A7" s="386" t="s">
        <v>1110</v>
      </c>
      <c r="B7" s="388">
        <v>0</v>
      </c>
      <c r="C7" s="388">
        <v>20427</v>
      </c>
    </row>
    <row r="8" spans="1:3" x14ac:dyDescent="0.45">
      <c r="A8" s="386" t="s">
        <v>1111</v>
      </c>
      <c r="B8" s="388">
        <v>1036645</v>
      </c>
      <c r="C8" s="388">
        <v>416985</v>
      </c>
    </row>
    <row r="9" spans="1:3" x14ac:dyDescent="0.45">
      <c r="A9" s="386" t="s">
        <v>1112</v>
      </c>
      <c r="B9" s="388">
        <v>46782061</v>
      </c>
      <c r="C9" s="388">
        <v>4765682</v>
      </c>
    </row>
    <row r="10" spans="1:3" x14ac:dyDescent="0.45">
      <c r="A10" s="386" t="s">
        <v>1113</v>
      </c>
      <c r="B10" s="388">
        <v>356194</v>
      </c>
      <c r="C10" s="388">
        <v>95231</v>
      </c>
    </row>
    <row r="11" spans="1:3" x14ac:dyDescent="0.45">
      <c r="A11" s="386" t="s">
        <v>1114</v>
      </c>
      <c r="B11" s="388">
        <v>1481077</v>
      </c>
      <c r="C11" s="388">
        <v>1620514</v>
      </c>
    </row>
    <row r="12" spans="1:3" x14ac:dyDescent="0.45">
      <c r="A12" s="386" t="s">
        <v>1115</v>
      </c>
      <c r="B12" s="388">
        <v>670951</v>
      </c>
      <c r="C12" s="388">
        <v>670951</v>
      </c>
    </row>
    <row r="13" spans="1:3" x14ac:dyDescent="0.45">
      <c r="A13" s="386" t="s">
        <v>1116</v>
      </c>
      <c r="B13" s="388">
        <v>3483042</v>
      </c>
      <c r="C13" s="388">
        <v>0</v>
      </c>
    </row>
    <row r="14" spans="1:3" x14ac:dyDescent="0.45">
      <c r="A14" s="386" t="s">
        <v>1117</v>
      </c>
      <c r="B14" s="388">
        <v>43562847</v>
      </c>
      <c r="C14" s="388">
        <v>0</v>
      </c>
    </row>
    <row r="15" spans="1:3" x14ac:dyDescent="0.45">
      <c r="A15" s="386" t="s">
        <v>1118</v>
      </c>
      <c r="B15" s="388">
        <v>138161</v>
      </c>
      <c r="C15" s="388">
        <v>0</v>
      </c>
    </row>
    <row r="16" spans="1:3" x14ac:dyDescent="0.45">
      <c r="A16" s="386" t="s">
        <v>1119</v>
      </c>
      <c r="B16" s="388">
        <v>3057</v>
      </c>
      <c r="C16" s="388">
        <v>3057</v>
      </c>
    </row>
    <row r="17" spans="1:3" x14ac:dyDescent="0.45">
      <c r="A17" s="386" t="s">
        <v>282</v>
      </c>
      <c r="B17" s="388">
        <v>96477390</v>
      </c>
      <c r="C17" s="388">
        <v>7155435</v>
      </c>
    </row>
    <row r="18" spans="1:3" x14ac:dyDescent="0.45">
      <c r="A18" s="385" t="s">
        <v>288</v>
      </c>
    </row>
    <row r="19" spans="1:3" x14ac:dyDescent="0.45">
      <c r="A19" s="386" t="s">
        <v>1120</v>
      </c>
      <c r="B19" s="388">
        <v>5738873</v>
      </c>
      <c r="C19" s="388">
        <v>2960249</v>
      </c>
    </row>
    <row r="20" spans="1:3" x14ac:dyDescent="0.45">
      <c r="A20" s="386" t="s">
        <v>1121</v>
      </c>
      <c r="B20" s="388">
        <v>2874018</v>
      </c>
      <c r="C20" s="388">
        <v>586396</v>
      </c>
    </row>
    <row r="21" spans="1:3" x14ac:dyDescent="0.45">
      <c r="A21" s="386" t="s">
        <v>1122</v>
      </c>
      <c r="B21" s="388">
        <v>719771</v>
      </c>
      <c r="C21" s="388">
        <v>196446</v>
      </c>
    </row>
    <row r="22" spans="1:3" x14ac:dyDescent="0.45">
      <c r="A22" s="386" t="s">
        <v>100</v>
      </c>
      <c r="B22" s="388">
        <v>0</v>
      </c>
      <c r="C22" s="388">
        <v>4294054</v>
      </c>
    </row>
    <row r="23" spans="1:3" x14ac:dyDescent="0.45">
      <c r="A23" s="386" t="s">
        <v>1123</v>
      </c>
      <c r="B23" s="388">
        <v>41513</v>
      </c>
      <c r="C23" s="388">
        <v>0</v>
      </c>
    </row>
    <row r="24" spans="1:3" x14ac:dyDescent="0.45">
      <c r="A24" s="386" t="s">
        <v>1124</v>
      </c>
      <c r="B24" s="388">
        <v>110574</v>
      </c>
      <c r="C24" s="388">
        <v>0</v>
      </c>
    </row>
    <row r="25" spans="1:3" x14ac:dyDescent="0.45">
      <c r="A25" s="386" t="s">
        <v>1125</v>
      </c>
      <c r="B25" s="388">
        <v>9484749</v>
      </c>
      <c r="C25" s="388">
        <v>8037145</v>
      </c>
    </row>
    <row r="26" spans="1:3" x14ac:dyDescent="0.45">
      <c r="A26" s="386" t="s">
        <v>1126</v>
      </c>
      <c r="B26" s="388">
        <v>3441642</v>
      </c>
      <c r="C26" s="388">
        <v>0</v>
      </c>
    </row>
    <row r="27" spans="1:3" x14ac:dyDescent="0.45">
      <c r="A27" s="386" t="s">
        <v>1127</v>
      </c>
      <c r="B27" s="388">
        <v>866000</v>
      </c>
      <c r="C27" s="388">
        <v>0</v>
      </c>
    </row>
    <row r="28" spans="1:3" x14ac:dyDescent="0.45">
      <c r="A28" s="386" t="s">
        <v>1128</v>
      </c>
      <c r="B28" s="388">
        <v>511948</v>
      </c>
      <c r="C28" s="388">
        <v>0</v>
      </c>
    </row>
    <row r="29" spans="1:3" x14ac:dyDescent="0.45">
      <c r="A29" s="386" t="s">
        <v>1129</v>
      </c>
      <c r="B29" s="388">
        <v>18860</v>
      </c>
      <c r="C29" s="388">
        <v>0</v>
      </c>
    </row>
    <row r="30" spans="1:3" x14ac:dyDescent="0.45">
      <c r="A30" s="386" t="s">
        <v>293</v>
      </c>
      <c r="B30" s="388">
        <v>14323199</v>
      </c>
      <c r="C30" s="388">
        <v>8037145</v>
      </c>
    </row>
    <row r="31" spans="1:3" x14ac:dyDescent="0.45">
      <c r="A31" s="386" t="s">
        <v>1130</v>
      </c>
      <c r="B31" s="386" t="s">
        <v>1131</v>
      </c>
      <c r="C31" s="386" t="s">
        <v>1131</v>
      </c>
    </row>
    <row r="32" spans="1:3" x14ac:dyDescent="0.45">
      <c r="A32" s="385" t="s">
        <v>1132</v>
      </c>
    </row>
    <row r="33" spans="1:3" ht="42.75" x14ac:dyDescent="0.45">
      <c r="A33" s="386" t="s">
        <v>1133</v>
      </c>
      <c r="B33" s="388">
        <v>2885427</v>
      </c>
      <c r="C33" s="388">
        <v>0</v>
      </c>
    </row>
    <row r="34" spans="1:3" x14ac:dyDescent="0.45">
      <c r="A34" s="385" t="s">
        <v>1134</v>
      </c>
    </row>
    <row r="35" spans="1:3" ht="42.75" x14ac:dyDescent="0.45">
      <c r="A35" s="386" t="s">
        <v>1135</v>
      </c>
      <c r="B35" s="388">
        <v>1888</v>
      </c>
      <c r="C35" s="388">
        <v>2616</v>
      </c>
    </row>
    <row r="36" spans="1:3" x14ac:dyDescent="0.45">
      <c r="A36" s="386" t="s">
        <v>1136</v>
      </c>
      <c r="B36" s="388">
        <v>127138504</v>
      </c>
      <c r="C36" s="388">
        <v>19650659</v>
      </c>
    </row>
    <row r="37" spans="1:3" x14ac:dyDescent="0.45">
      <c r="A37" s="386" t="s">
        <v>1137</v>
      </c>
      <c r="B37" s="388">
        <v>113446</v>
      </c>
      <c r="C37" s="388">
        <v>-77841</v>
      </c>
    </row>
    <row r="38" spans="1:3" x14ac:dyDescent="0.45">
      <c r="A38" s="386" t="s">
        <v>1138</v>
      </c>
      <c r="B38" s="388">
        <v>-47412470</v>
      </c>
      <c r="C38" s="388">
        <v>-20458823</v>
      </c>
    </row>
    <row r="39" spans="1:3" x14ac:dyDescent="0.45">
      <c r="A39" s="386" t="s">
        <v>1139</v>
      </c>
      <c r="B39" s="388">
        <v>79841368</v>
      </c>
      <c r="C39" s="388">
        <v>-881710</v>
      </c>
    </row>
    <row r="40" spans="1:3" x14ac:dyDescent="0.45">
      <c r="A40" s="386" t="s">
        <v>1140</v>
      </c>
      <c r="B40" s="388">
        <v>-572604</v>
      </c>
      <c r="C40" s="388">
        <v>0</v>
      </c>
    </row>
    <row r="41" spans="1:3" x14ac:dyDescent="0.45">
      <c r="A41" s="386" t="s">
        <v>1141</v>
      </c>
      <c r="B41" s="388">
        <v>79268764</v>
      </c>
      <c r="C41" s="388">
        <v>-881710</v>
      </c>
    </row>
    <row r="42" spans="1:3" x14ac:dyDescent="0.45">
      <c r="A42" s="386" t="s">
        <v>1142</v>
      </c>
      <c r="B42" s="388">
        <v>96477390</v>
      </c>
      <c r="C42" s="388">
        <v>7155435</v>
      </c>
    </row>
    <row r="43" spans="1:3" x14ac:dyDescent="0.45">
      <c r="A43" s="386" t="s">
        <v>1143</v>
      </c>
    </row>
    <row r="44" spans="1:3" x14ac:dyDescent="0.45">
      <c r="A44" s="385" t="s">
        <v>1134</v>
      </c>
    </row>
    <row r="45" spans="1:3" x14ac:dyDescent="0.45">
      <c r="A45" s="386" t="s">
        <v>1144</v>
      </c>
      <c r="B45" s="388">
        <v>0</v>
      </c>
      <c r="C45" s="388">
        <v>1679</v>
      </c>
    </row>
    <row r="46" spans="1:3" x14ac:dyDescent="0.45">
      <c r="A46" s="386" t="s">
        <v>1145</v>
      </c>
    </row>
    <row r="47" spans="1:3" x14ac:dyDescent="0.45">
      <c r="A47" s="385" t="s">
        <v>1134</v>
      </c>
    </row>
    <row r="48" spans="1:3" x14ac:dyDescent="0.45">
      <c r="A48" s="386" t="s">
        <v>1144</v>
      </c>
      <c r="B48" s="387">
        <v>0</v>
      </c>
      <c r="C48" s="38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805C-783D-4398-ABD4-1A607FB208F4}">
  <dimension ref="A1:G37"/>
  <sheetViews>
    <sheetView workbookViewId="0">
      <selection activeCell="B12" sqref="B12"/>
    </sheetView>
  </sheetViews>
  <sheetFormatPr defaultRowHeight="14.25" x14ac:dyDescent="0.45"/>
  <cols>
    <col min="1" max="1" width="80" customWidth="1"/>
    <col min="2" max="2" width="16" customWidth="1"/>
    <col min="3" max="3" width="14" customWidth="1"/>
  </cols>
  <sheetData>
    <row r="1" spans="1:7" x14ac:dyDescent="0.45">
      <c r="A1" s="798" t="s">
        <v>1146</v>
      </c>
      <c r="B1" s="800" t="s">
        <v>1147</v>
      </c>
      <c r="C1" s="799"/>
    </row>
    <row r="2" spans="1:7" x14ac:dyDescent="0.45">
      <c r="A2" s="799"/>
      <c r="B2" s="384" t="s">
        <v>1104</v>
      </c>
      <c r="C2" s="384" t="s">
        <v>1105</v>
      </c>
    </row>
    <row r="3" spans="1:7" x14ac:dyDescent="0.45">
      <c r="A3" s="385" t="s">
        <v>1</v>
      </c>
    </row>
    <row r="4" spans="1:7" x14ac:dyDescent="0.45">
      <c r="A4" s="386" t="s">
        <v>1148</v>
      </c>
      <c r="B4" s="716">
        <v>4190765</v>
      </c>
      <c r="C4" s="387">
        <v>4209697</v>
      </c>
    </row>
    <row r="5" spans="1:7" x14ac:dyDescent="0.45">
      <c r="A5" s="385" t="s">
        <v>1149</v>
      </c>
    </row>
    <row r="6" spans="1:7" x14ac:dyDescent="0.45">
      <c r="A6" s="386" t="s">
        <v>1150</v>
      </c>
      <c r="B6" s="717">
        <v>2002197</v>
      </c>
      <c r="C6" s="388">
        <v>521068</v>
      </c>
      <c r="F6" s="381">
        <f>B6/B32</f>
        <v>0.68553670153703294</v>
      </c>
      <c r="G6" s="381">
        <f>C6/C32</f>
        <v>0.2681562060797128</v>
      </c>
    </row>
    <row r="7" spans="1:7" x14ac:dyDescent="0.45">
      <c r="A7" s="386" t="s">
        <v>1151</v>
      </c>
      <c r="B7" s="717">
        <v>22896125</v>
      </c>
      <c r="C7" s="388">
        <v>5487037</v>
      </c>
    </row>
    <row r="8" spans="1:7" x14ac:dyDescent="0.45">
      <c r="A8" s="386" t="s">
        <v>1152</v>
      </c>
      <c r="B8" s="717">
        <v>6524245</v>
      </c>
      <c r="C8" s="388">
        <v>2888975</v>
      </c>
    </row>
    <row r="9" spans="1:7" x14ac:dyDescent="0.45">
      <c r="A9" s="386" t="s">
        <v>1153</v>
      </c>
      <c r="B9" s="388">
        <v>31422567</v>
      </c>
      <c r="C9" s="388">
        <v>8897080</v>
      </c>
      <c r="F9" s="381">
        <f>B9/B4</f>
        <v>7.4980503559612623</v>
      </c>
    </row>
    <row r="10" spans="1:7" x14ac:dyDescent="0.45">
      <c r="A10" s="386" t="s">
        <v>1154</v>
      </c>
      <c r="B10" s="388">
        <v>-27231802</v>
      </c>
      <c r="C10" s="388">
        <v>-4687383</v>
      </c>
    </row>
    <row r="11" spans="1:7" x14ac:dyDescent="0.45">
      <c r="A11" s="385" t="s">
        <v>1155</v>
      </c>
    </row>
    <row r="12" spans="1:7" x14ac:dyDescent="0.45">
      <c r="A12" s="386" t="s">
        <v>1156</v>
      </c>
      <c r="B12" s="717">
        <v>-585157</v>
      </c>
      <c r="C12" s="388">
        <v>-313614</v>
      </c>
    </row>
    <row r="13" spans="1:7" x14ac:dyDescent="0.45">
      <c r="A13" s="386" t="s">
        <v>1157</v>
      </c>
      <c r="B13" s="388">
        <v>0</v>
      </c>
      <c r="C13" s="388">
        <v>-37497</v>
      </c>
    </row>
    <row r="14" spans="1:7" x14ac:dyDescent="0.45">
      <c r="A14" s="386" t="s">
        <v>1158</v>
      </c>
      <c r="B14" s="388">
        <v>387228</v>
      </c>
      <c r="C14" s="388">
        <v>0</v>
      </c>
    </row>
    <row r="15" spans="1:7" x14ac:dyDescent="0.45">
      <c r="A15" s="386" t="s">
        <v>1159</v>
      </c>
      <c r="B15" s="388">
        <v>-14342</v>
      </c>
      <c r="C15" s="388">
        <v>0</v>
      </c>
    </row>
    <row r="16" spans="1:7" x14ac:dyDescent="0.45">
      <c r="A16" s="386" t="s">
        <v>1160</v>
      </c>
      <c r="B16" s="388">
        <v>282183</v>
      </c>
      <c r="C16" s="388">
        <v>154360</v>
      </c>
    </row>
    <row r="17" spans="1:3" x14ac:dyDescent="0.45">
      <c r="A17" s="386" t="s">
        <v>1161</v>
      </c>
      <c r="B17" s="388">
        <v>69912</v>
      </c>
      <c r="C17" s="388">
        <v>-196751</v>
      </c>
    </row>
    <row r="18" spans="1:3" x14ac:dyDescent="0.45">
      <c r="A18" s="386" t="s">
        <v>1162</v>
      </c>
      <c r="B18" s="388">
        <v>-27161890</v>
      </c>
      <c r="C18" s="388">
        <v>-4884134</v>
      </c>
    </row>
    <row r="19" spans="1:3" x14ac:dyDescent="0.45">
      <c r="A19" s="386" t="s">
        <v>1163</v>
      </c>
      <c r="B19" s="388">
        <v>1000</v>
      </c>
      <c r="C19" s="388">
        <v>1000</v>
      </c>
    </row>
    <row r="20" spans="1:3" x14ac:dyDescent="0.45">
      <c r="A20" s="386" t="s">
        <v>1164</v>
      </c>
      <c r="B20" s="388">
        <v>-27162890</v>
      </c>
      <c r="C20" s="388">
        <v>-4885134</v>
      </c>
    </row>
    <row r="21" spans="1:3" x14ac:dyDescent="0.45">
      <c r="A21" s="386" t="s">
        <v>1165</v>
      </c>
      <c r="B21" s="388">
        <v>-209243</v>
      </c>
      <c r="C21" s="388">
        <v>0</v>
      </c>
    </row>
    <row r="22" spans="1:3" x14ac:dyDescent="0.45">
      <c r="A22" s="386" t="s">
        <v>1166</v>
      </c>
      <c r="B22" s="388">
        <v>-26953647</v>
      </c>
      <c r="C22" s="388">
        <v>-4885134</v>
      </c>
    </row>
    <row r="23" spans="1:3" x14ac:dyDescent="0.45">
      <c r="A23" s="386" t="s">
        <v>1167</v>
      </c>
      <c r="B23" s="388">
        <v>101856</v>
      </c>
      <c r="C23" s="388">
        <v>0</v>
      </c>
    </row>
    <row r="24" spans="1:3" x14ac:dyDescent="0.45">
      <c r="A24" s="386" t="s">
        <v>1168</v>
      </c>
      <c r="B24" s="388">
        <v>261505</v>
      </c>
      <c r="C24" s="388">
        <v>0</v>
      </c>
    </row>
    <row r="25" spans="1:3" x14ac:dyDescent="0.45">
      <c r="A25" s="386" t="s">
        <v>1169</v>
      </c>
      <c r="B25" s="387">
        <v>-27317008</v>
      </c>
      <c r="C25" s="387">
        <v>-4885134</v>
      </c>
    </row>
    <row r="26" spans="1:3" ht="28.5" x14ac:dyDescent="0.45">
      <c r="A26" s="386" t="s">
        <v>1170</v>
      </c>
      <c r="B26" s="389">
        <v>-1.64</v>
      </c>
      <c r="C26" s="389">
        <v>-0.55000000000000004</v>
      </c>
    </row>
    <row r="27" spans="1:3" ht="28.5" x14ac:dyDescent="0.45">
      <c r="A27" s="386" t="s">
        <v>1171</v>
      </c>
      <c r="B27" s="389">
        <v>-1.64</v>
      </c>
      <c r="C27" s="389">
        <v>-0.55000000000000004</v>
      </c>
    </row>
    <row r="28" spans="1:3" ht="28.5" x14ac:dyDescent="0.45">
      <c r="A28" s="386" t="s">
        <v>1172</v>
      </c>
      <c r="B28" s="388">
        <v>16654495</v>
      </c>
      <c r="C28" s="388">
        <v>8821226</v>
      </c>
    </row>
    <row r="29" spans="1:3" ht="28.5" x14ac:dyDescent="0.45">
      <c r="A29" s="386" t="s">
        <v>1173</v>
      </c>
      <c r="B29" s="388">
        <v>16654495</v>
      </c>
      <c r="C29" s="388">
        <v>8821226</v>
      </c>
    </row>
    <row r="30" spans="1:3" x14ac:dyDescent="0.45">
      <c r="A30" s="386" t="s">
        <v>1174</v>
      </c>
    </row>
    <row r="31" spans="1:3" x14ac:dyDescent="0.45">
      <c r="A31" s="385" t="s">
        <v>1</v>
      </c>
    </row>
    <row r="32" spans="1:3" x14ac:dyDescent="0.45">
      <c r="A32" s="386" t="s">
        <v>1148</v>
      </c>
      <c r="B32" s="387">
        <v>2920627</v>
      </c>
      <c r="C32" s="387">
        <v>1943151</v>
      </c>
    </row>
    <row r="33" spans="1:3" x14ac:dyDescent="0.45">
      <c r="A33" s="386" t="s">
        <v>1175</v>
      </c>
    </row>
    <row r="34" spans="1:3" x14ac:dyDescent="0.45">
      <c r="A34" s="385" t="s">
        <v>1</v>
      </c>
    </row>
    <row r="35" spans="1:3" x14ac:dyDescent="0.45">
      <c r="A35" s="386" t="s">
        <v>1148</v>
      </c>
      <c r="B35" s="387">
        <v>1270138</v>
      </c>
      <c r="C35" s="387">
        <v>2266546</v>
      </c>
    </row>
    <row r="37" spans="1:3" x14ac:dyDescent="0.45">
      <c r="B37" s="381"/>
      <c r="C37" s="381"/>
    </row>
  </sheetData>
  <mergeCells count="2">
    <mergeCell ref="A1:A2"/>
    <mergeCell ref="B1:C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971B-52A9-454D-BCDD-5F8961A80AE2}">
  <dimension ref="A1:C74"/>
  <sheetViews>
    <sheetView workbookViewId="0">
      <selection activeCell="B18" sqref="B18"/>
    </sheetView>
  </sheetViews>
  <sheetFormatPr defaultRowHeight="14.25" x14ac:dyDescent="0.45"/>
  <cols>
    <col min="1" max="1" width="80" customWidth="1"/>
    <col min="2" max="2" width="16" customWidth="1"/>
    <col min="3" max="3" width="14" customWidth="1"/>
  </cols>
  <sheetData>
    <row r="1" spans="1:3" x14ac:dyDescent="0.45">
      <c r="A1" s="798" t="s">
        <v>1176</v>
      </c>
      <c r="B1" s="800" t="s">
        <v>1147</v>
      </c>
      <c r="C1" s="799"/>
    </row>
    <row r="2" spans="1:3" x14ac:dyDescent="0.45">
      <c r="A2" s="799"/>
      <c r="B2" s="384" t="s">
        <v>1104</v>
      </c>
      <c r="C2" s="384" t="s">
        <v>1105</v>
      </c>
    </row>
    <row r="3" spans="1:3" x14ac:dyDescent="0.45">
      <c r="A3" s="385" t="s">
        <v>1177</v>
      </c>
    </row>
    <row r="4" spans="1:3" x14ac:dyDescent="0.45">
      <c r="A4" s="386" t="s">
        <v>1164</v>
      </c>
      <c r="B4" s="387">
        <v>-27162890</v>
      </c>
      <c r="C4" s="387">
        <v>-4885134</v>
      </c>
    </row>
    <row r="5" spans="1:3" x14ac:dyDescent="0.45">
      <c r="A5" s="385" t="s">
        <v>1178</v>
      </c>
    </row>
    <row r="6" spans="1:3" x14ac:dyDescent="0.45">
      <c r="A6" s="386" t="s">
        <v>1179</v>
      </c>
      <c r="B6" s="388">
        <v>167558</v>
      </c>
      <c r="C6" s="388">
        <v>164986</v>
      </c>
    </row>
    <row r="7" spans="1:3" x14ac:dyDescent="0.45">
      <c r="A7" s="386" t="s">
        <v>1180</v>
      </c>
      <c r="B7" s="388">
        <v>4219989</v>
      </c>
      <c r="C7" s="388">
        <v>599535</v>
      </c>
    </row>
    <row r="8" spans="1:3" x14ac:dyDescent="0.45">
      <c r="A8" s="386" t="s">
        <v>1181</v>
      </c>
      <c r="B8" s="388">
        <v>427796</v>
      </c>
      <c r="C8" s="388">
        <v>37497</v>
      </c>
    </row>
    <row r="9" spans="1:3" x14ac:dyDescent="0.45">
      <c r="A9" s="386" t="s">
        <v>1182</v>
      </c>
      <c r="B9" s="388">
        <v>0</v>
      </c>
      <c r="C9" s="388">
        <v>28000</v>
      </c>
    </row>
    <row r="10" spans="1:3" x14ac:dyDescent="0.45">
      <c r="A10" s="386" t="s">
        <v>1183</v>
      </c>
      <c r="B10" s="388">
        <v>0</v>
      </c>
      <c r="C10" s="388">
        <v>94500</v>
      </c>
    </row>
    <row r="11" spans="1:3" x14ac:dyDescent="0.45">
      <c r="A11" s="386" t="s">
        <v>1184</v>
      </c>
      <c r="B11" s="388">
        <v>116147</v>
      </c>
      <c r="C11" s="388">
        <v>65519</v>
      </c>
    </row>
    <row r="12" spans="1:3" x14ac:dyDescent="0.45">
      <c r="A12" s="386" t="s">
        <v>1158</v>
      </c>
      <c r="B12" s="388">
        <v>-387228</v>
      </c>
      <c r="C12" s="388">
        <v>0</v>
      </c>
    </row>
    <row r="13" spans="1:3" x14ac:dyDescent="0.45">
      <c r="A13" s="386" t="s">
        <v>1185</v>
      </c>
      <c r="B13" s="388">
        <v>1326</v>
      </c>
      <c r="C13" s="388">
        <v>0</v>
      </c>
    </row>
    <row r="14" spans="1:3" x14ac:dyDescent="0.45">
      <c r="A14" s="386" t="s">
        <v>1186</v>
      </c>
      <c r="B14" s="388">
        <v>-492100</v>
      </c>
      <c r="C14" s="388">
        <v>0</v>
      </c>
    </row>
    <row r="15" spans="1:3" x14ac:dyDescent="0.45">
      <c r="A15" s="386" t="s">
        <v>1187</v>
      </c>
      <c r="B15" s="388">
        <v>0</v>
      </c>
      <c r="C15" s="388">
        <v>97144</v>
      </c>
    </row>
    <row r="16" spans="1:3" x14ac:dyDescent="0.45">
      <c r="A16" s="386" t="s">
        <v>1188</v>
      </c>
      <c r="B16" s="388">
        <v>3636</v>
      </c>
      <c r="C16" s="388">
        <v>0</v>
      </c>
    </row>
    <row r="17" spans="1:3" x14ac:dyDescent="0.45">
      <c r="A17" s="385" t="s">
        <v>1189</v>
      </c>
      <c r="B17" s="14">
        <f>SUM(B18:B23)</f>
        <v>-6101434</v>
      </c>
      <c r="C17" s="14">
        <f>SUM(C18:C23)</f>
        <v>719010</v>
      </c>
    </row>
    <row r="18" spans="1:3" x14ac:dyDescent="0.45">
      <c r="A18" s="386" t="s">
        <v>1108</v>
      </c>
      <c r="B18" s="388">
        <v>-887697</v>
      </c>
      <c r="C18" s="388">
        <v>-187090</v>
      </c>
    </row>
    <row r="19" spans="1:3" x14ac:dyDescent="0.45">
      <c r="A19" s="386" t="s">
        <v>271</v>
      </c>
      <c r="B19" s="388">
        <v>-10065710</v>
      </c>
      <c r="C19" s="388">
        <v>-835691</v>
      </c>
    </row>
    <row r="20" spans="1:3" x14ac:dyDescent="0.45">
      <c r="A20" s="386" t="s">
        <v>1190</v>
      </c>
      <c r="B20" s="388">
        <v>-693756</v>
      </c>
      <c r="C20" s="388">
        <v>-71423</v>
      </c>
    </row>
    <row r="21" spans="1:3" x14ac:dyDescent="0.45">
      <c r="A21" s="386" t="s">
        <v>1120</v>
      </c>
      <c r="B21" s="388">
        <v>2780890</v>
      </c>
      <c r="C21" s="388">
        <v>1458267</v>
      </c>
    </row>
    <row r="22" spans="1:3" x14ac:dyDescent="0.45">
      <c r="A22" s="386" t="s">
        <v>1121</v>
      </c>
      <c r="B22" s="388">
        <v>2138574</v>
      </c>
      <c r="C22" s="388">
        <v>247192</v>
      </c>
    </row>
    <row r="23" spans="1:3" x14ac:dyDescent="0.45">
      <c r="A23" s="386" t="s">
        <v>1122</v>
      </c>
      <c r="B23" s="388">
        <v>626265</v>
      </c>
      <c r="C23" s="388">
        <v>107755</v>
      </c>
    </row>
    <row r="24" spans="1:3" x14ac:dyDescent="0.45">
      <c r="A24" s="386" t="s">
        <v>1191</v>
      </c>
      <c r="B24" s="388">
        <v>-29207200</v>
      </c>
      <c r="C24" s="388">
        <v>-3078943</v>
      </c>
    </row>
    <row r="25" spans="1:3" x14ac:dyDescent="0.45">
      <c r="A25" s="385" t="s">
        <v>1192</v>
      </c>
    </row>
    <row r="26" spans="1:3" x14ac:dyDescent="0.45">
      <c r="A26" s="386" t="s">
        <v>1193</v>
      </c>
      <c r="B26" s="388">
        <v>7649</v>
      </c>
      <c r="C26" s="388">
        <v>0</v>
      </c>
    </row>
    <row r="27" spans="1:3" x14ac:dyDescent="0.45">
      <c r="A27" s="386" t="s">
        <v>1194</v>
      </c>
      <c r="B27" s="388">
        <v>-273124</v>
      </c>
      <c r="C27" s="388">
        <v>-22504</v>
      </c>
    </row>
    <row r="28" spans="1:3" x14ac:dyDescent="0.45">
      <c r="A28" s="386" t="s">
        <v>1195</v>
      </c>
      <c r="B28" s="388">
        <v>-265475</v>
      </c>
      <c r="C28" s="388">
        <v>-22504</v>
      </c>
    </row>
    <row r="29" spans="1:3" x14ac:dyDescent="0.45">
      <c r="A29" s="385" t="s">
        <v>1196</v>
      </c>
    </row>
    <row r="30" spans="1:3" x14ac:dyDescent="0.45">
      <c r="A30" s="386" t="s">
        <v>1197</v>
      </c>
      <c r="B30" s="388">
        <v>0</v>
      </c>
      <c r="C30" s="388">
        <v>4000000</v>
      </c>
    </row>
    <row r="31" spans="1:3" x14ac:dyDescent="0.45">
      <c r="A31" s="386" t="s">
        <v>1198</v>
      </c>
      <c r="B31" s="388">
        <v>0</v>
      </c>
      <c r="C31" s="388">
        <v>988500</v>
      </c>
    </row>
    <row r="32" spans="1:3" x14ac:dyDescent="0.45">
      <c r="A32" s="386" t="s">
        <v>1199</v>
      </c>
      <c r="B32" s="388">
        <v>58184461</v>
      </c>
      <c r="C32" s="388">
        <v>0</v>
      </c>
    </row>
    <row r="33" spans="1:3" x14ac:dyDescent="0.45">
      <c r="A33" s="386" t="s">
        <v>1200</v>
      </c>
      <c r="B33" s="388">
        <v>-18629</v>
      </c>
      <c r="C33" s="388">
        <v>0</v>
      </c>
    </row>
    <row r="34" spans="1:3" x14ac:dyDescent="0.45">
      <c r="A34" s="386" t="s">
        <v>1201</v>
      </c>
      <c r="B34" s="388">
        <v>-3970657</v>
      </c>
      <c r="C34" s="388">
        <v>0</v>
      </c>
    </row>
    <row r="35" spans="1:3" x14ac:dyDescent="0.45">
      <c r="A35" s="386" t="s">
        <v>1202</v>
      </c>
      <c r="B35" s="388">
        <v>14250000</v>
      </c>
      <c r="C35" s="388">
        <v>0</v>
      </c>
    </row>
    <row r="36" spans="1:3" x14ac:dyDescent="0.45">
      <c r="A36" s="386" t="s">
        <v>1203</v>
      </c>
      <c r="B36" s="388">
        <v>-487500</v>
      </c>
      <c r="C36" s="388">
        <v>0</v>
      </c>
    </row>
    <row r="37" spans="1:3" x14ac:dyDescent="0.45">
      <c r="A37" s="386" t="s">
        <v>1204</v>
      </c>
      <c r="B37" s="388">
        <v>-6000000</v>
      </c>
      <c r="C37" s="388">
        <v>0</v>
      </c>
    </row>
    <row r="38" spans="1:3" x14ac:dyDescent="0.45">
      <c r="A38" s="386" t="s">
        <v>1205</v>
      </c>
      <c r="B38" s="388">
        <v>50206</v>
      </c>
      <c r="C38" s="388">
        <v>0</v>
      </c>
    </row>
    <row r="39" spans="1:3" x14ac:dyDescent="0.45">
      <c r="A39" s="386" t="s">
        <v>1206</v>
      </c>
      <c r="B39" s="388">
        <v>-2000000</v>
      </c>
      <c r="C39" s="388">
        <v>0</v>
      </c>
    </row>
    <row r="40" spans="1:3" x14ac:dyDescent="0.45">
      <c r="A40" s="386" t="s">
        <v>1207</v>
      </c>
      <c r="B40" s="388">
        <v>-1000000</v>
      </c>
      <c r="C40" s="388">
        <v>-263565</v>
      </c>
    </row>
    <row r="41" spans="1:3" x14ac:dyDescent="0.45">
      <c r="A41" s="386" t="s">
        <v>1208</v>
      </c>
      <c r="B41" s="388">
        <v>-5839</v>
      </c>
      <c r="C41" s="388">
        <v>0</v>
      </c>
    </row>
    <row r="42" spans="1:3" x14ac:dyDescent="0.45">
      <c r="A42" s="386" t="s">
        <v>1209</v>
      </c>
      <c r="B42" s="388">
        <v>0</v>
      </c>
      <c r="C42" s="388">
        <v>652000</v>
      </c>
    </row>
    <row r="43" spans="1:3" x14ac:dyDescent="0.45">
      <c r="A43" s="386" t="s">
        <v>1210</v>
      </c>
      <c r="B43" s="388">
        <v>0</v>
      </c>
      <c r="C43" s="388">
        <v>-159900</v>
      </c>
    </row>
    <row r="44" spans="1:3" x14ac:dyDescent="0.45">
      <c r="A44" s="386" t="s">
        <v>1211</v>
      </c>
      <c r="B44" s="388">
        <v>576528</v>
      </c>
      <c r="C44" s="388">
        <v>22862</v>
      </c>
    </row>
    <row r="45" spans="1:3" x14ac:dyDescent="0.45">
      <c r="A45" s="386" t="s">
        <v>1212</v>
      </c>
      <c r="B45" s="388">
        <v>3138000</v>
      </c>
      <c r="C45" s="388">
        <v>0</v>
      </c>
    </row>
    <row r="46" spans="1:3" x14ac:dyDescent="0.45">
      <c r="A46" s="386" t="s">
        <v>1213</v>
      </c>
      <c r="B46" s="388">
        <v>-39096</v>
      </c>
      <c r="C46" s="388">
        <v>0</v>
      </c>
    </row>
    <row r="47" spans="1:3" x14ac:dyDescent="0.45">
      <c r="A47" s="386" t="s">
        <v>1214</v>
      </c>
      <c r="B47" s="388">
        <v>0</v>
      </c>
      <c r="C47" s="388">
        <v>75000</v>
      </c>
    </row>
    <row r="48" spans="1:3" x14ac:dyDescent="0.45">
      <c r="A48" s="386" t="s">
        <v>1215</v>
      </c>
      <c r="B48" s="388">
        <v>0</v>
      </c>
      <c r="C48" s="388">
        <v>-75000</v>
      </c>
    </row>
    <row r="49" spans="1:3" x14ac:dyDescent="0.45">
      <c r="A49" s="386" t="s">
        <v>1216</v>
      </c>
      <c r="B49" s="388">
        <v>59737708</v>
      </c>
      <c r="C49" s="388">
        <v>5239897</v>
      </c>
    </row>
    <row r="50" spans="1:3" x14ac:dyDescent="0.45">
      <c r="A50" s="386" t="s">
        <v>1217</v>
      </c>
      <c r="B50" s="388">
        <v>199592</v>
      </c>
      <c r="C50" s="388">
        <v>-189258</v>
      </c>
    </row>
    <row r="51" spans="1:3" x14ac:dyDescent="0.45">
      <c r="A51" s="386" t="s">
        <v>1218</v>
      </c>
      <c r="B51" s="388">
        <v>30464625</v>
      </c>
      <c r="C51" s="388">
        <v>1949192</v>
      </c>
    </row>
    <row r="52" spans="1:3" x14ac:dyDescent="0.45">
      <c r="A52" s="386" t="s">
        <v>1219</v>
      </c>
      <c r="B52" s="388">
        <v>2275895</v>
      </c>
      <c r="C52" s="388">
        <v>326703</v>
      </c>
    </row>
    <row r="53" spans="1:3" x14ac:dyDescent="0.45">
      <c r="A53" s="386" t="s">
        <v>1220</v>
      </c>
      <c r="B53" s="388">
        <v>32740520</v>
      </c>
      <c r="C53" s="388">
        <v>2275895</v>
      </c>
    </row>
    <row r="54" spans="1:3" x14ac:dyDescent="0.45">
      <c r="A54" s="385" t="s">
        <v>1221</v>
      </c>
    </row>
    <row r="55" spans="1:3" x14ac:dyDescent="0.45">
      <c r="A55" s="386" t="s">
        <v>1222</v>
      </c>
      <c r="B55" s="388">
        <v>0</v>
      </c>
      <c r="C55" s="388">
        <v>0</v>
      </c>
    </row>
    <row r="56" spans="1:3" x14ac:dyDescent="0.45">
      <c r="A56" s="386" t="s">
        <v>1223</v>
      </c>
      <c r="B56" s="388">
        <v>800</v>
      </c>
      <c r="C56" s="388">
        <v>800</v>
      </c>
    </row>
    <row r="57" spans="1:3" x14ac:dyDescent="0.45">
      <c r="A57" s="385" t="s">
        <v>1224</v>
      </c>
    </row>
    <row r="58" spans="1:3" x14ac:dyDescent="0.45">
      <c r="A58" s="386" t="s">
        <v>1225</v>
      </c>
      <c r="B58" s="388">
        <v>0</v>
      </c>
      <c r="C58" s="388">
        <v>471129</v>
      </c>
    </row>
    <row r="59" spans="1:3" x14ac:dyDescent="0.45">
      <c r="A59" s="386" t="s">
        <v>1226</v>
      </c>
      <c r="B59" s="388">
        <v>0</v>
      </c>
      <c r="C59" s="388">
        <v>28000</v>
      </c>
    </row>
    <row r="60" spans="1:3" x14ac:dyDescent="0.45">
      <c r="A60" s="386" t="s">
        <v>1227</v>
      </c>
      <c r="B60" s="388">
        <v>0</v>
      </c>
      <c r="C60" s="388">
        <v>94500</v>
      </c>
    </row>
    <row r="61" spans="1:3" x14ac:dyDescent="0.45">
      <c r="A61" s="386" t="s">
        <v>1228</v>
      </c>
      <c r="B61" s="388">
        <v>1679</v>
      </c>
      <c r="C61" s="388">
        <v>0</v>
      </c>
    </row>
    <row r="62" spans="1:3" x14ac:dyDescent="0.45">
      <c r="A62" s="386" t="s">
        <v>1229</v>
      </c>
      <c r="B62" s="388">
        <v>3999435</v>
      </c>
      <c r="C62" s="388">
        <v>1799367</v>
      </c>
    </row>
    <row r="63" spans="1:3" x14ac:dyDescent="0.45">
      <c r="A63" s="386" t="s">
        <v>1230</v>
      </c>
      <c r="B63" s="388">
        <v>3383</v>
      </c>
      <c r="C63" s="388">
        <v>0</v>
      </c>
    </row>
    <row r="64" spans="1:3" x14ac:dyDescent="0.45">
      <c r="A64" s="386" t="s">
        <v>1231</v>
      </c>
      <c r="B64" s="388">
        <v>0</v>
      </c>
      <c r="C64" s="388">
        <v>97144</v>
      </c>
    </row>
    <row r="65" spans="1:3" x14ac:dyDescent="0.45">
      <c r="A65" s="386" t="s">
        <v>1232</v>
      </c>
      <c r="B65" s="388">
        <v>2085299</v>
      </c>
      <c r="C65" s="388">
        <v>0</v>
      </c>
    </row>
    <row r="66" spans="1:3" x14ac:dyDescent="0.45">
      <c r="A66" s="386" t="s">
        <v>1233</v>
      </c>
      <c r="B66" s="388">
        <v>2085299</v>
      </c>
      <c r="C66" s="388">
        <v>0</v>
      </c>
    </row>
    <row r="67" spans="1:3" x14ac:dyDescent="0.45">
      <c r="A67" s="386" t="s">
        <v>1234</v>
      </c>
      <c r="B67" s="388">
        <v>189434</v>
      </c>
      <c r="C67" s="388">
        <v>0</v>
      </c>
    </row>
    <row r="68" spans="1:3" x14ac:dyDescent="0.45">
      <c r="A68" s="386" t="s">
        <v>1235</v>
      </c>
      <c r="B68" s="388">
        <v>1253228</v>
      </c>
      <c r="C68" s="388">
        <v>0</v>
      </c>
    </row>
    <row r="69" spans="1:3" x14ac:dyDescent="0.45">
      <c r="A69" s="386" t="s">
        <v>1236</v>
      </c>
      <c r="B69" s="388">
        <v>492100</v>
      </c>
      <c r="C69" s="388">
        <v>0</v>
      </c>
    </row>
    <row r="70" spans="1:3" x14ac:dyDescent="0.45">
      <c r="A70" s="386" t="s">
        <v>1237</v>
      </c>
      <c r="B70" s="388">
        <v>30234000</v>
      </c>
      <c r="C70" s="388">
        <v>0</v>
      </c>
    </row>
    <row r="71" spans="1:3" x14ac:dyDescent="0.45">
      <c r="A71" s="386" t="s">
        <v>1238</v>
      </c>
      <c r="B71" s="388">
        <v>12584000</v>
      </c>
      <c r="C71" s="388">
        <v>0</v>
      </c>
    </row>
    <row r="72" spans="1:3" x14ac:dyDescent="0.45">
      <c r="A72" s="386" t="s">
        <v>294</v>
      </c>
    </row>
    <row r="73" spans="1:3" x14ac:dyDescent="0.45">
      <c r="A73" s="385" t="s">
        <v>1196</v>
      </c>
    </row>
    <row r="74" spans="1:3" x14ac:dyDescent="0.45">
      <c r="A74" s="386" t="s">
        <v>1239</v>
      </c>
      <c r="B74" s="387">
        <v>-2939766</v>
      </c>
      <c r="C74" s="387">
        <v>0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8C3-54C1-446C-B183-15BE32C78FA4}">
  <dimension ref="A1:Z126"/>
  <sheetViews>
    <sheetView showGridLines="0" topLeftCell="A72" zoomScale="55" zoomScaleNormal="55" workbookViewId="0">
      <selection activeCell="B84" sqref="B84"/>
    </sheetView>
  </sheetViews>
  <sheetFormatPr defaultRowHeight="15" x14ac:dyDescent="0.45"/>
  <cols>
    <col min="1" max="1" width="9.06640625" style="696"/>
    <col min="2" max="2" width="35.33203125" style="696" bestFit="1" customWidth="1"/>
    <col min="3" max="7" width="9.46484375" style="696" bestFit="1" customWidth="1"/>
    <col min="8" max="8" width="10.46484375" style="696" bestFit="1" customWidth="1"/>
    <col min="9" max="9" width="9.06640625" style="696"/>
    <col min="10" max="10" width="35.33203125" bestFit="1" customWidth="1"/>
    <col min="17" max="17" width="9.06640625" style="696"/>
    <col min="18" max="18" width="25.53125" style="696" bestFit="1" customWidth="1"/>
    <col min="19" max="19" width="11.19921875" style="696" bestFit="1" customWidth="1"/>
    <col min="20" max="16384" width="9.06640625" style="696"/>
  </cols>
  <sheetData>
    <row r="1" spans="2:15" s="696" customFormat="1" x14ac:dyDescent="0.45"/>
    <row r="2" spans="2:15" s="696" customFormat="1" x14ac:dyDescent="0.45">
      <c r="B2" s="696" t="s">
        <v>1438</v>
      </c>
    </row>
    <row r="3" spans="2:15" s="696" customFormat="1" x14ac:dyDescent="0.45">
      <c r="B3" s="696" t="s">
        <v>1439</v>
      </c>
    </row>
    <row r="4" spans="2:15" s="696" customFormat="1" x14ac:dyDescent="0.45"/>
    <row r="5" spans="2:15" s="696" customFormat="1" x14ac:dyDescent="0.45"/>
    <row r="6" spans="2:15" s="696" customFormat="1" x14ac:dyDescent="0.45">
      <c r="B6" s="696" t="s">
        <v>1440</v>
      </c>
      <c r="F6" s="696">
        <f>'Vestas_Valuation Summary'!M16</f>
        <v>37.303780787410489</v>
      </c>
      <c r="G6" s="703">
        <f>F6/H22-1</f>
        <v>0.36117759088335233</v>
      </c>
      <c r="H6" s="696" t="s">
        <v>1442</v>
      </c>
      <c r="L6" s="698">
        <f>-'Vestas_Valuation Summary'!M13</f>
        <v>37534.227056844</v>
      </c>
    </row>
    <row r="7" spans="2:15" s="696" customFormat="1" x14ac:dyDescent="0.45">
      <c r="B7" s="696" t="s">
        <v>1441</v>
      </c>
      <c r="F7" s="696">
        <f>'Nuvve_Valuation Summary'!M16</f>
        <v>1.2464464000000002</v>
      </c>
      <c r="G7" s="703">
        <f>F7/L22-1</f>
        <v>0.30600000000000005</v>
      </c>
      <c r="H7" s="696" t="s">
        <v>1443</v>
      </c>
      <c r="L7" s="698">
        <f>-'Nuvve_Valuation Summary'!M13/10^3</f>
        <v>30.450685552000003</v>
      </c>
    </row>
    <row r="8" spans="2:15" s="696" customFormat="1" x14ac:dyDescent="0.45">
      <c r="B8" s="696" t="s">
        <v>1444</v>
      </c>
      <c r="F8" s="703">
        <v>0</v>
      </c>
      <c r="H8" s="696" t="s">
        <v>1446</v>
      </c>
      <c r="L8" s="698">
        <f>F8*$L$6</f>
        <v>0</v>
      </c>
    </row>
    <row r="9" spans="2:15" s="696" customFormat="1" x14ac:dyDescent="0.45">
      <c r="B9" s="696" t="s">
        <v>50</v>
      </c>
      <c r="F9" s="703">
        <v>1</v>
      </c>
      <c r="H9" s="696" t="s">
        <v>1447</v>
      </c>
      <c r="L9" s="698">
        <f>F9*$L$6</f>
        <v>37534.227056844</v>
      </c>
    </row>
    <row r="10" spans="2:15" s="696" customFormat="1" x14ac:dyDescent="0.45">
      <c r="B10" s="696" t="s">
        <v>1445</v>
      </c>
      <c r="F10" s="703">
        <v>0</v>
      </c>
      <c r="H10" s="696" t="s">
        <v>1448</v>
      </c>
      <c r="L10" s="698">
        <f>F10*$L$6/D22</f>
        <v>0</v>
      </c>
      <c r="M10" s="696" t="s">
        <v>1457</v>
      </c>
    </row>
    <row r="11" spans="2:15" s="696" customFormat="1" x14ac:dyDescent="0.45">
      <c r="B11" s="696" t="s">
        <v>1450</v>
      </c>
      <c r="F11" s="705">
        <v>0.01</v>
      </c>
      <c r="H11" s="696" t="s">
        <v>1449</v>
      </c>
      <c r="L11" s="706">
        <v>0.05</v>
      </c>
      <c r="O11" s="707" t="s">
        <v>1458</v>
      </c>
    </row>
    <row r="12" spans="2:15" s="696" customFormat="1" x14ac:dyDescent="0.45"/>
    <row r="13" spans="2:15" s="696" customFormat="1" x14ac:dyDescent="0.45">
      <c r="B13" s="696" t="s">
        <v>1444</v>
      </c>
      <c r="F13" s="703">
        <v>1</v>
      </c>
      <c r="H13" s="696" t="s">
        <v>1446</v>
      </c>
      <c r="L13" s="698">
        <f>F13*L7</f>
        <v>30.450685552000003</v>
      </c>
    </row>
    <row r="14" spans="2:15" s="696" customFormat="1" x14ac:dyDescent="0.45">
      <c r="B14" s="696" t="s">
        <v>50</v>
      </c>
      <c r="F14" s="703">
        <v>0</v>
      </c>
      <c r="H14" s="696" t="s">
        <v>1447</v>
      </c>
    </row>
    <row r="15" spans="2:15" s="696" customFormat="1" x14ac:dyDescent="0.45">
      <c r="B15" s="696" t="s">
        <v>1445</v>
      </c>
      <c r="F15" s="703">
        <v>0</v>
      </c>
      <c r="H15" s="696" t="s">
        <v>1448</v>
      </c>
    </row>
    <row r="16" spans="2:15" s="696" customFormat="1" x14ac:dyDescent="0.45">
      <c r="B16" s="696" t="s">
        <v>1450</v>
      </c>
      <c r="F16" s="705">
        <v>0.01</v>
      </c>
      <c r="H16" s="696" t="s">
        <v>1449</v>
      </c>
      <c r="L16" s="706"/>
    </row>
    <row r="17" spans="2:25" x14ac:dyDescent="0.45">
      <c r="J17" s="696"/>
      <c r="K17" s="696"/>
      <c r="L17" s="696"/>
      <c r="M17" s="696"/>
      <c r="N17" s="696"/>
      <c r="O17" s="696"/>
      <c r="P17" s="696"/>
    </row>
    <row r="18" spans="2:25" x14ac:dyDescent="0.45">
      <c r="J18" s="696"/>
      <c r="K18" s="696"/>
      <c r="L18" s="696"/>
      <c r="M18" s="696"/>
      <c r="N18" s="696"/>
      <c r="O18" s="696"/>
      <c r="P18" s="696"/>
    </row>
    <row r="19" spans="2:25" x14ac:dyDescent="0.45">
      <c r="J19" s="696"/>
      <c r="K19" s="696"/>
      <c r="L19" s="696"/>
      <c r="M19" s="696"/>
      <c r="N19" s="696"/>
      <c r="O19" s="696"/>
      <c r="P19" s="696"/>
    </row>
    <row r="20" spans="2:25" x14ac:dyDescent="0.45">
      <c r="B20" s="700" t="s">
        <v>1451</v>
      </c>
      <c r="C20" s="700"/>
      <c r="D20" s="700"/>
      <c r="E20" s="700"/>
      <c r="F20" s="700" t="s">
        <v>1453</v>
      </c>
      <c r="G20" s="700"/>
      <c r="H20" s="700"/>
      <c r="I20" s="700"/>
      <c r="J20" s="700" t="s">
        <v>1454</v>
      </c>
      <c r="K20" s="696"/>
      <c r="L20" s="696"/>
      <c r="M20" s="696"/>
      <c r="N20" s="696"/>
      <c r="O20" s="696"/>
      <c r="P20" s="696"/>
    </row>
    <row r="21" spans="2:25" x14ac:dyDescent="0.45">
      <c r="B21" s="702">
        <v>44995</v>
      </c>
      <c r="J21" s="696"/>
      <c r="K21" s="696"/>
      <c r="L21" s="696"/>
      <c r="M21" s="696"/>
      <c r="N21" s="696"/>
      <c r="O21" s="696"/>
      <c r="P21" s="696"/>
    </row>
    <row r="22" spans="2:25" x14ac:dyDescent="0.45">
      <c r="B22" s="696" t="s">
        <v>1257</v>
      </c>
      <c r="D22" s="696">
        <v>151.16</v>
      </c>
      <c r="F22" s="696" t="s">
        <v>1257</v>
      </c>
      <c r="H22" s="697">
        <f>'DCF-Vestas'!G5</f>
        <v>27.405520805849999</v>
      </c>
      <c r="J22" s="696" t="s">
        <v>1257</v>
      </c>
      <c r="K22" s="696"/>
      <c r="L22" s="701">
        <f>'DCF-Nuvve'!G5</f>
        <v>0.95440000000000003</v>
      </c>
      <c r="M22" s="696"/>
      <c r="N22" s="696"/>
      <c r="O22" s="696"/>
      <c r="P22" s="696"/>
    </row>
    <row r="23" spans="2:25" x14ac:dyDescent="0.45">
      <c r="B23" s="696" t="s">
        <v>1452</v>
      </c>
      <c r="D23" s="696">
        <v>792.55</v>
      </c>
      <c r="F23" s="696" t="s">
        <v>1452</v>
      </c>
      <c r="H23" s="698">
        <f>'DCF-Vestas'!E80</f>
        <v>1006.177558</v>
      </c>
      <c r="J23" s="696" t="s">
        <v>1452</v>
      </c>
      <c r="K23" s="696"/>
      <c r="L23" s="698">
        <f>'DCF-Nuvve'!E80/10^3</f>
        <v>24.43</v>
      </c>
      <c r="M23" s="696"/>
      <c r="N23" s="696"/>
      <c r="O23" s="696"/>
      <c r="P23" s="696"/>
    </row>
    <row r="24" spans="2:25" x14ac:dyDescent="0.45">
      <c r="B24" s="696" t="s">
        <v>48</v>
      </c>
      <c r="D24" s="698">
        <f>D22*D23</f>
        <v>119801.85799999999</v>
      </c>
      <c r="F24" s="696" t="s">
        <v>48</v>
      </c>
      <c r="H24" s="698">
        <f>H22*H23</f>
        <v>27574.820000148342</v>
      </c>
      <c r="J24" s="696" t="s">
        <v>48</v>
      </c>
      <c r="K24" s="696"/>
      <c r="L24" s="698">
        <f>L22*L23</f>
        <v>23.315992000000001</v>
      </c>
      <c r="M24" s="696"/>
      <c r="N24" s="696"/>
      <c r="O24" s="696"/>
      <c r="P24" s="696"/>
    </row>
    <row r="25" spans="2:25" x14ac:dyDescent="0.45">
      <c r="B25" s="704" t="s">
        <v>1456</v>
      </c>
      <c r="D25" s="698">
        <f>'Acq Feasibility'!D4</f>
        <v>50636</v>
      </c>
      <c r="F25" s="696" t="s">
        <v>100</v>
      </c>
      <c r="H25" s="698">
        <f>'DCF-Vestas'!E78</f>
        <v>2427</v>
      </c>
      <c r="J25" s="696" t="s">
        <v>100</v>
      </c>
      <c r="K25" s="696"/>
      <c r="L25" s="698">
        <f>'DCF-Nuvve'!E78/10^3</f>
        <v>5.95</v>
      </c>
      <c r="M25" s="696"/>
      <c r="N25" s="696"/>
      <c r="O25" s="696"/>
      <c r="P25" s="696"/>
    </row>
    <row r="26" spans="2:25" x14ac:dyDescent="0.45">
      <c r="B26" s="704" t="s">
        <v>1455</v>
      </c>
      <c r="D26" s="698">
        <f>'Acq Feasibility'!C4</f>
        <v>10465</v>
      </c>
      <c r="F26" s="696" t="s">
        <v>101</v>
      </c>
      <c r="H26" s="698">
        <f>'DCF-Vestas'!E77</f>
        <v>2378</v>
      </c>
      <c r="J26" s="696" t="s">
        <v>101</v>
      </c>
      <c r="K26" s="696"/>
      <c r="L26" s="698">
        <f>'DCF-Nuvve'!E77/10^3</f>
        <v>21.64</v>
      </c>
      <c r="M26" s="696"/>
      <c r="N26" s="696"/>
      <c r="O26" s="696"/>
      <c r="P26" s="696"/>
    </row>
    <row r="27" spans="2:25" x14ac:dyDescent="0.45">
      <c r="B27" s="696" t="s">
        <v>45</v>
      </c>
      <c r="D27" s="698">
        <f>D24+D25-D26</f>
        <v>159972.85800000001</v>
      </c>
      <c r="F27" s="696" t="s">
        <v>45</v>
      </c>
      <c r="H27" s="698">
        <f>H24+H25-H26</f>
        <v>27623.820000148342</v>
      </c>
      <c r="J27" s="696" t="s">
        <v>45</v>
      </c>
      <c r="K27" s="696"/>
      <c r="L27" s="698">
        <f>L24+L25-L26</f>
        <v>7.6259920000000001</v>
      </c>
      <c r="M27" s="696"/>
      <c r="N27" s="696"/>
      <c r="O27" s="696"/>
      <c r="P27" s="696"/>
    </row>
    <row r="28" spans="2:25" x14ac:dyDescent="0.45">
      <c r="B28" s="696" t="s">
        <v>52</v>
      </c>
      <c r="D28" s="699">
        <f>Synergies_Vestas!T44</f>
        <v>0.31</v>
      </c>
      <c r="F28" s="696" t="s">
        <v>52</v>
      </c>
      <c r="H28" s="703">
        <f>'DCF-Vestas'!T79</f>
        <v>0.22</v>
      </c>
      <c r="J28" s="696" t="s">
        <v>52</v>
      </c>
      <c r="K28" s="696"/>
      <c r="L28" s="703">
        <f>'DCF-Nuvve'!T79</f>
        <v>0.21</v>
      </c>
      <c r="M28" s="696"/>
      <c r="N28" s="696"/>
      <c r="O28" s="696"/>
      <c r="P28" s="696"/>
    </row>
    <row r="29" spans="2:25" x14ac:dyDescent="0.45">
      <c r="J29" s="696"/>
      <c r="K29" s="696"/>
      <c r="L29" s="696"/>
      <c r="M29" s="696"/>
      <c r="N29" s="696"/>
      <c r="O29" s="696"/>
      <c r="P29" s="696"/>
    </row>
    <row r="30" spans="2:25" x14ac:dyDescent="0.45">
      <c r="J30" s="696"/>
      <c r="K30" s="696"/>
      <c r="L30" s="696"/>
      <c r="M30" s="696"/>
      <c r="N30" s="696"/>
      <c r="O30" s="696"/>
      <c r="P30" s="696"/>
    </row>
    <row r="31" spans="2:25" x14ac:dyDescent="0.55000000000000004">
      <c r="B31" s="708" t="s">
        <v>1078</v>
      </c>
      <c r="C31" s="708">
        <v>2022</v>
      </c>
      <c r="D31" s="708">
        <f>C31+1</f>
        <v>2023</v>
      </c>
      <c r="E31" s="708">
        <f>D31+1</f>
        <v>2024</v>
      </c>
      <c r="F31" s="708">
        <f>E31+1</f>
        <v>2025</v>
      </c>
      <c r="G31" s="708">
        <f>F31+1</f>
        <v>2026</v>
      </c>
      <c r="H31" s="708">
        <f>G31+1</f>
        <v>2027</v>
      </c>
      <c r="I31" s="695"/>
      <c r="J31" s="708" t="s">
        <v>76</v>
      </c>
      <c r="K31" s="708">
        <v>2022</v>
      </c>
      <c r="L31" s="708">
        <f>K31+1</f>
        <v>2023</v>
      </c>
      <c r="M31" s="708">
        <f>L31+1</f>
        <v>2024</v>
      </c>
      <c r="N31" s="708">
        <f>M31+1</f>
        <v>2025</v>
      </c>
      <c r="O31" s="708">
        <f>N31+1</f>
        <v>2026</v>
      </c>
      <c r="P31" s="708">
        <f>O31+1</f>
        <v>2027</v>
      </c>
      <c r="R31" s="708" t="s">
        <v>1467</v>
      </c>
      <c r="S31" s="696">
        <v>2021</v>
      </c>
      <c r="T31" s="708">
        <v>2022</v>
      </c>
      <c r="U31" s="708">
        <f>T31+1</f>
        <v>2023</v>
      </c>
      <c r="V31" s="708">
        <f>U31+1</f>
        <v>2024</v>
      </c>
      <c r="W31" s="708">
        <f>V31+1</f>
        <v>2025</v>
      </c>
      <c r="X31" s="708">
        <f>W31+1</f>
        <v>2026</v>
      </c>
      <c r="Y31" s="708"/>
    </row>
    <row r="32" spans="2:25" x14ac:dyDescent="0.55000000000000004">
      <c r="B32" s="695" t="s">
        <v>1</v>
      </c>
      <c r="C32" s="709">
        <v>71977</v>
      </c>
      <c r="D32" s="709">
        <v>76700.823726051385</v>
      </c>
      <c r="E32" s="709">
        <v>79265.323198717553</v>
      </c>
      <c r="F32" s="709">
        <v>83196.813663456254</v>
      </c>
      <c r="G32" s="709">
        <v>87447.794168391876</v>
      </c>
      <c r="H32" s="709">
        <v>91922.966339591832</v>
      </c>
      <c r="I32" s="695"/>
      <c r="J32" s="695" t="s">
        <v>1</v>
      </c>
      <c r="K32" s="709">
        <v>14486</v>
      </c>
      <c r="L32" s="709">
        <v>15302.771878592828</v>
      </c>
      <c r="M32" s="709">
        <v>18812.027437940502</v>
      </c>
      <c r="N32" s="709">
        <v>24073.291302586356</v>
      </c>
      <c r="O32" s="709">
        <v>27998.48051102406</v>
      </c>
      <c r="P32" s="709">
        <v>30351.16399101261</v>
      </c>
      <c r="R32" s="695" t="s">
        <v>1</v>
      </c>
      <c r="S32" s="709">
        <f>NUVVE_IS!B32/10^6</f>
        <v>2.9206270000000001</v>
      </c>
      <c r="T32" s="709">
        <f ca="1">'DCF-Nuvve'!G43/10^3</f>
        <v>5.8412540000000002</v>
      </c>
      <c r="U32" s="709">
        <f ca="1">'DCF-Nuvve'!H43/10^3</f>
        <v>12.79234626</v>
      </c>
      <c r="V32" s="709">
        <f ca="1">'DCF-Nuvve'!I43/10^3</f>
        <v>29.294472935400002</v>
      </c>
      <c r="W32" s="709">
        <f ca="1">'DCF-Nuvve'!J43/10^3</f>
        <v>68.109649574805005</v>
      </c>
      <c r="X32" s="709">
        <f ca="1">'DCF-Nuvve'!K43/10^3</f>
        <v>160.73877299653984</v>
      </c>
      <c r="Y32" s="709"/>
    </row>
    <row r="33" spans="2:26" x14ac:dyDescent="0.55000000000000004">
      <c r="B33" s="695"/>
      <c r="C33" s="695"/>
      <c r="D33" s="710">
        <f>D32/C32-1</f>
        <v>6.5629627881842678E-2</v>
      </c>
      <c r="E33" s="710">
        <f>E32/D32-1</f>
        <v>3.3435096887950877E-2</v>
      </c>
      <c r="F33" s="710">
        <f>F32/E32-1</f>
        <v>4.9599122366315029E-2</v>
      </c>
      <c r="G33" s="710">
        <f>G32/F32-1</f>
        <v>5.109547250368851E-2</v>
      </c>
      <c r="H33" s="710">
        <f>H32/G32-1</f>
        <v>5.1175357980813629E-2</v>
      </c>
      <c r="I33" s="695"/>
      <c r="J33" s="695"/>
      <c r="K33" s="695"/>
      <c r="L33" s="710">
        <f>L32/K32-1</f>
        <v>5.6383534349912168E-2</v>
      </c>
      <c r="M33" s="710">
        <f>M32/L32-1</f>
        <v>0.22932156260244585</v>
      </c>
      <c r="N33" s="710">
        <f>N32/M32-1</f>
        <v>0.27967553640894782</v>
      </c>
      <c r="O33" s="710">
        <f>O32/N32-1</f>
        <v>0.16305162260949313</v>
      </c>
      <c r="P33" s="710">
        <f>P32/O32-1</f>
        <v>8.4028970038649398E-2</v>
      </c>
      <c r="R33" s="695"/>
      <c r="S33" s="695"/>
      <c r="T33" s="695"/>
      <c r="U33" s="710"/>
      <c r="V33" s="710"/>
      <c r="W33" s="710"/>
      <c r="X33" s="710"/>
      <c r="Y33" s="710"/>
    </row>
    <row r="34" spans="2:26" x14ac:dyDescent="0.55000000000000004">
      <c r="B34" s="695" t="s">
        <v>1076</v>
      </c>
      <c r="C34" s="709">
        <v>46130</v>
      </c>
      <c r="D34" s="709">
        <v>47776.87990712047</v>
      </c>
      <c r="E34" s="709">
        <v>49176.141207822249</v>
      </c>
      <c r="F34" s="709">
        <v>51615.234653092208</v>
      </c>
      <c r="G34" s="709">
        <v>54252.539456080711</v>
      </c>
      <c r="H34" s="709">
        <v>57028.932584113856</v>
      </c>
      <c r="I34" s="695"/>
      <c r="J34" s="695" t="s">
        <v>1076</v>
      </c>
      <c r="K34" s="709">
        <v>13999</v>
      </c>
      <c r="L34" s="709">
        <v>14297.274719917214</v>
      </c>
      <c r="M34" s="709">
        <v>16483.642983432754</v>
      </c>
      <c r="N34" s="709">
        <v>20734.284816951145</v>
      </c>
      <c r="O34" s="709">
        <v>23902.715446963051</v>
      </c>
      <c r="P34" s="709">
        <v>25696.471774518875</v>
      </c>
      <c r="R34" s="695" t="s">
        <v>1076</v>
      </c>
      <c r="S34" s="709">
        <f>NUVVE_IS!B6/10^6</f>
        <v>2.0021969999999998</v>
      </c>
      <c r="T34" s="709">
        <f ca="1">T32-T35</f>
        <v>4.0043939999999996</v>
      </c>
      <c r="U34" s="709">
        <f t="shared" ref="U34:X34" ca="1" si="0">U32-U35</f>
        <v>8.7696228599999984</v>
      </c>
      <c r="V34" s="709">
        <f t="shared" ca="1" si="0"/>
        <v>20.082436349399998</v>
      </c>
      <c r="W34" s="709">
        <f t="shared" ca="1" si="0"/>
        <v>46.691664512354997</v>
      </c>
      <c r="X34" s="709">
        <f t="shared" ca="1" si="0"/>
        <v>110.19232824915781</v>
      </c>
      <c r="Y34" s="709"/>
    </row>
    <row r="35" spans="2:26" x14ac:dyDescent="0.55000000000000004">
      <c r="B35" s="695" t="s">
        <v>203</v>
      </c>
      <c r="C35" s="709">
        <f t="shared" ref="C35:H35" si="1">C32-C34</f>
        <v>25847</v>
      </c>
      <c r="D35" s="709">
        <f t="shared" si="1"/>
        <v>28923.943818930915</v>
      </c>
      <c r="E35" s="709">
        <f t="shared" si="1"/>
        <v>30089.181990895304</v>
      </c>
      <c r="F35" s="709">
        <f t="shared" si="1"/>
        <v>31581.579010364047</v>
      </c>
      <c r="G35" s="709">
        <f t="shared" si="1"/>
        <v>33195.254712311165</v>
      </c>
      <c r="H35" s="709">
        <f t="shared" si="1"/>
        <v>34894.033755477976</v>
      </c>
      <c r="I35" s="695"/>
      <c r="J35" s="695" t="s">
        <v>203</v>
      </c>
      <c r="K35" s="709">
        <f>K32*K36</f>
        <v>487.00000000000006</v>
      </c>
      <c r="L35" s="709">
        <f>L32-L34</f>
        <v>1005.4971586756146</v>
      </c>
      <c r="M35" s="709">
        <f>M32-M34</f>
        <v>2328.3844545077482</v>
      </c>
      <c r="N35" s="709">
        <f>N32-N34</f>
        <v>3339.006485635211</v>
      </c>
      <c r="O35" s="709">
        <f>O32-O34</f>
        <v>4095.7650640610082</v>
      </c>
      <c r="P35" s="709">
        <f>P32-P34</f>
        <v>4654.692216493735</v>
      </c>
      <c r="R35" s="695" t="s">
        <v>203</v>
      </c>
      <c r="S35" s="709">
        <f>S32-S34</f>
        <v>0.9184300000000003</v>
      </c>
      <c r="T35" s="709">
        <f ca="1">T36*T32</f>
        <v>1.8368600000000006</v>
      </c>
      <c r="U35" s="709">
        <f t="shared" ref="U35:X35" ca="1" si="2">U36*U32</f>
        <v>4.0227234000000012</v>
      </c>
      <c r="V35" s="709">
        <f t="shared" ca="1" si="2"/>
        <v>9.2120365860000035</v>
      </c>
      <c r="W35" s="709">
        <f t="shared" ca="1" si="2"/>
        <v>21.417985062450008</v>
      </c>
      <c r="X35" s="709">
        <f t="shared" ca="1" si="2"/>
        <v>50.546444747382026</v>
      </c>
      <c r="Y35" s="709"/>
    </row>
    <row r="36" spans="2:26" x14ac:dyDescent="0.55000000000000004">
      <c r="B36" s="695"/>
      <c r="C36" s="711">
        <f>C35/C$32</f>
        <v>0.35910082387429315</v>
      </c>
      <c r="D36" s="711">
        <f t="shared" ref="D36:H36" si="3">D35/D$32</f>
        <v>0.37710082387429322</v>
      </c>
      <c r="E36" s="711">
        <f t="shared" si="3"/>
        <v>0.37960082387429311</v>
      </c>
      <c r="F36" s="711">
        <f t="shared" si="3"/>
        <v>0.37960082387429317</v>
      </c>
      <c r="G36" s="711">
        <f t="shared" si="3"/>
        <v>0.37960082387429317</v>
      </c>
      <c r="H36" s="711">
        <f t="shared" si="3"/>
        <v>0.37960082387429317</v>
      </c>
      <c r="I36" s="695"/>
      <c r="J36" s="695"/>
      <c r="K36" s="711">
        <v>3.3618666298495102E-2</v>
      </c>
      <c r="L36" s="711">
        <v>6.5706864524473024E-2</v>
      </c>
      <c r="M36" s="711">
        <v>0.12377105350228292</v>
      </c>
      <c r="N36" s="711">
        <v>0.13870170238319174</v>
      </c>
      <c r="O36" s="711">
        <v>0.14628526224658336</v>
      </c>
      <c r="P36" s="711">
        <v>0.15336124235209075</v>
      </c>
      <c r="R36" s="695"/>
      <c r="S36" s="711">
        <f>S35/S32</f>
        <v>0.31446329846296711</v>
      </c>
      <c r="T36" s="711">
        <f>S36</f>
        <v>0.31446329846296711</v>
      </c>
      <c r="U36" s="711">
        <f t="shared" ref="U36:X36" si="4">T36</f>
        <v>0.31446329846296711</v>
      </c>
      <c r="V36" s="711">
        <f t="shared" si="4"/>
        <v>0.31446329846296711</v>
      </c>
      <c r="W36" s="711">
        <f t="shared" si="4"/>
        <v>0.31446329846296711</v>
      </c>
      <c r="X36" s="711">
        <f t="shared" si="4"/>
        <v>0.31446329846296711</v>
      </c>
      <c r="Y36" s="711"/>
    </row>
    <row r="37" spans="2:26" x14ac:dyDescent="0.55000000000000004">
      <c r="B37" s="695"/>
      <c r="C37" s="695"/>
      <c r="D37" s="695"/>
      <c r="E37" s="695"/>
      <c r="F37" s="695"/>
      <c r="G37" s="695"/>
      <c r="H37" s="695"/>
      <c r="I37" s="695"/>
      <c r="J37" s="695"/>
      <c r="K37" s="695"/>
      <c r="L37" s="695"/>
      <c r="M37" s="695"/>
      <c r="N37" s="695"/>
      <c r="O37" s="695"/>
      <c r="P37" s="695"/>
      <c r="R37" s="695"/>
      <c r="S37" s="695"/>
      <c r="T37" s="695"/>
      <c r="U37" s="695"/>
      <c r="V37" s="695"/>
      <c r="W37" s="695"/>
      <c r="X37" s="695"/>
      <c r="Y37" s="695"/>
    </row>
    <row r="38" spans="2:26" x14ac:dyDescent="0.55000000000000004">
      <c r="B38" s="695" t="s">
        <v>1075</v>
      </c>
      <c r="C38" s="709">
        <v>9309</v>
      </c>
      <c r="D38" s="709">
        <v>9152.9379686915599</v>
      </c>
      <c r="E38" s="709">
        <v>9458.9673364841656</v>
      </c>
      <c r="F38" s="709">
        <v>9928.1238148654211</v>
      </c>
      <c r="G38" s="709">
        <v>10435.405992261092</v>
      </c>
      <c r="H38" s="709">
        <v>10969.441629590179</v>
      </c>
      <c r="I38" s="695"/>
      <c r="J38" s="695" t="s">
        <v>1075</v>
      </c>
      <c r="K38" s="709">
        <v>642</v>
      </c>
      <c r="L38" s="709">
        <v>596.80810326512028</v>
      </c>
      <c r="M38" s="709">
        <v>658.42096032791756</v>
      </c>
      <c r="N38" s="709">
        <v>830.52854993922926</v>
      </c>
      <c r="O38" s="709">
        <v>965.94757763032999</v>
      </c>
      <c r="P38" s="709">
        <v>1031.9395756944286</v>
      </c>
      <c r="R38" s="695" t="s">
        <v>1075</v>
      </c>
      <c r="S38" s="709">
        <f>(NUVVE_IS!B7-NUVVE_CF!B6)/10^6</f>
        <v>22.728567000000002</v>
      </c>
      <c r="T38" s="709">
        <f ca="1">T40*$Z$38</f>
        <v>25.084195679453348</v>
      </c>
      <c r="U38" s="709">
        <f t="shared" ref="U38:X38" ca="1" si="5">U40*$Z$38</f>
        <v>28.277141835770877</v>
      </c>
      <c r="V38" s="709">
        <f t="shared" ca="1" si="5"/>
        <v>23.348386356829206</v>
      </c>
      <c r="W38" s="709">
        <f t="shared" ca="1" si="5"/>
        <v>31.919090894195158</v>
      </c>
      <c r="X38" s="709">
        <f t="shared" ca="1" si="5"/>
        <v>20.80173227119068</v>
      </c>
      <c r="Y38" s="709"/>
      <c r="Z38" s="703">
        <f>S38/S40</f>
        <v>0.77697033023697004</v>
      </c>
    </row>
    <row r="39" spans="2:26" x14ac:dyDescent="0.55000000000000004">
      <c r="B39" s="695" t="s">
        <v>1074</v>
      </c>
      <c r="C39" s="709">
        <v>5591</v>
      </c>
      <c r="D39" s="709">
        <v>5957.935249487382</v>
      </c>
      <c r="E39" s="709">
        <v>6341.2258558974045</v>
      </c>
      <c r="F39" s="709">
        <v>6655.7450930765008</v>
      </c>
      <c r="G39" s="709">
        <v>6995.8235334713499</v>
      </c>
      <c r="H39" s="709">
        <v>7353.8373071673468</v>
      </c>
      <c r="I39" s="695"/>
      <c r="J39" s="695" t="s">
        <v>1074</v>
      </c>
      <c r="K39" s="709">
        <v>100</v>
      </c>
      <c r="L39" s="709">
        <v>105.63835343499122</v>
      </c>
      <c r="M39" s="709">
        <v>129.86350571545285</v>
      </c>
      <c r="N39" s="709">
        <v>147.88183343190289</v>
      </c>
      <c r="O39" s="709">
        <v>171.99420632744147</v>
      </c>
      <c r="P39" s="709">
        <v>186.4467023377513</v>
      </c>
      <c r="R39" s="695" t="s">
        <v>1074</v>
      </c>
      <c r="S39" s="709">
        <f>NUVVE_IS!B8/10^6</f>
        <v>6.5242449999999996</v>
      </c>
      <c r="T39" s="709">
        <f ca="1">T40*$Z$39</f>
        <v>7.2004292325466501</v>
      </c>
      <c r="U39" s="709">
        <f t="shared" ref="U39:X39" ca="1" si="6">U40*$Z$39</f>
        <v>8.1169658094291179</v>
      </c>
      <c r="V39" s="709">
        <f t="shared" ca="1" si="6"/>
        <v>6.7021644147917971</v>
      </c>
      <c r="W39" s="709">
        <f t="shared" ca="1" si="6"/>
        <v>9.1623888638029083</v>
      </c>
      <c r="X39" s="709">
        <f t="shared" ca="1" si="6"/>
        <v>5.9711462566757696</v>
      </c>
      <c r="Y39" s="709"/>
      <c r="Z39" s="699">
        <f>1-Z38</f>
        <v>0.22302966976302996</v>
      </c>
    </row>
    <row r="40" spans="2:26" x14ac:dyDescent="0.55000000000000004">
      <c r="B40" s="695" t="s">
        <v>1099</v>
      </c>
      <c r="C40" s="709">
        <f t="shared" ref="C40:H40" si="7">C38+C39</f>
        <v>14900</v>
      </c>
      <c r="D40" s="709">
        <f t="shared" si="7"/>
        <v>15110.873218178942</v>
      </c>
      <c r="E40" s="709">
        <f t="shared" si="7"/>
        <v>15800.19319238157</v>
      </c>
      <c r="F40" s="709">
        <f t="shared" si="7"/>
        <v>16583.86890794192</v>
      </c>
      <c r="G40" s="709">
        <f t="shared" si="7"/>
        <v>17431.229525732444</v>
      </c>
      <c r="H40" s="709">
        <f t="shared" si="7"/>
        <v>18323.278936757524</v>
      </c>
      <c r="I40" s="695"/>
      <c r="J40" s="695" t="s">
        <v>1099</v>
      </c>
      <c r="K40" s="709">
        <f t="shared" ref="K40:P40" si="8">K38+K39</f>
        <v>742</v>
      </c>
      <c r="L40" s="709">
        <f t="shared" si="8"/>
        <v>702.44645670011153</v>
      </c>
      <c r="M40" s="709">
        <f t="shared" si="8"/>
        <v>788.28446604337046</v>
      </c>
      <c r="N40" s="709">
        <f t="shared" si="8"/>
        <v>978.41038337113218</v>
      </c>
      <c r="O40" s="709">
        <f t="shared" si="8"/>
        <v>1137.9417839577713</v>
      </c>
      <c r="P40" s="709">
        <f t="shared" si="8"/>
        <v>1218.3862780321799</v>
      </c>
      <c r="R40" s="695" t="s">
        <v>1099</v>
      </c>
      <c r="S40" s="709">
        <f>S38+S39</f>
        <v>29.252812000000002</v>
      </c>
      <c r="T40" s="709">
        <f ca="1">T35-T42</f>
        <v>32.284624911999998</v>
      </c>
      <c r="U40" s="709">
        <f t="shared" ref="U40:X40" ca="1" si="9">U35-U42</f>
        <v>36.394107645199995</v>
      </c>
      <c r="V40" s="709">
        <f t="shared" ca="1" si="9"/>
        <v>30.050550771621001</v>
      </c>
      <c r="W40" s="709">
        <f t="shared" ca="1" si="9"/>
        <v>41.081479757998068</v>
      </c>
      <c r="X40" s="709">
        <f t="shared" ca="1" si="9"/>
        <v>26.77287852786645</v>
      </c>
      <c r="Y40" s="709"/>
    </row>
    <row r="41" spans="2:26" x14ac:dyDescent="0.55000000000000004">
      <c r="B41" s="695"/>
      <c r="C41" s="695"/>
      <c r="D41" s="695"/>
      <c r="E41" s="695"/>
      <c r="F41" s="695"/>
      <c r="G41" s="695"/>
      <c r="H41" s="695"/>
      <c r="I41" s="695"/>
      <c r="J41" s="695"/>
      <c r="K41" s="695"/>
      <c r="L41" s="695"/>
      <c r="M41" s="695"/>
      <c r="N41" s="695"/>
      <c r="O41" s="695"/>
      <c r="P41" s="695"/>
      <c r="R41" s="695"/>
      <c r="S41" s="695"/>
      <c r="T41" s="695"/>
      <c r="U41" s="695"/>
      <c r="V41" s="695"/>
      <c r="W41" s="695"/>
      <c r="X41" s="695"/>
      <c r="Y41" s="695"/>
    </row>
    <row r="42" spans="2:26" x14ac:dyDescent="0.55000000000000004">
      <c r="B42" s="695" t="s">
        <v>88</v>
      </c>
      <c r="C42" s="709">
        <f t="shared" ref="C42:H42" si="10">C35-C38-C39</f>
        <v>10947</v>
      </c>
      <c r="D42" s="709">
        <f t="shared" si="10"/>
        <v>13813.070600751973</v>
      </c>
      <c r="E42" s="709">
        <f t="shared" si="10"/>
        <v>14288.988798513734</v>
      </c>
      <c r="F42" s="709">
        <f t="shared" si="10"/>
        <v>14997.710102422123</v>
      </c>
      <c r="G42" s="709">
        <f t="shared" si="10"/>
        <v>15764.025186578725</v>
      </c>
      <c r="H42" s="709">
        <f t="shared" si="10"/>
        <v>16570.754818720452</v>
      </c>
      <c r="I42" s="695"/>
      <c r="J42" s="695" t="s">
        <v>88</v>
      </c>
      <c r="K42" s="709">
        <f t="shared" ref="K42:P42" si="11">K35-K38-K39</f>
        <v>-254.99999999999994</v>
      </c>
      <c r="L42" s="709">
        <f t="shared" si="11"/>
        <v>303.0507019755031</v>
      </c>
      <c r="M42" s="709">
        <f t="shared" si="11"/>
        <v>1540.0999884643777</v>
      </c>
      <c r="N42" s="709">
        <f t="shared" si="11"/>
        <v>2360.5961022640786</v>
      </c>
      <c r="O42" s="709">
        <f t="shared" si="11"/>
        <v>2957.8232801032368</v>
      </c>
      <c r="P42" s="709">
        <f t="shared" si="11"/>
        <v>3436.3059384615549</v>
      </c>
      <c r="R42" s="695" t="s">
        <v>88</v>
      </c>
      <c r="S42" s="709">
        <f>S35-S40</f>
        <v>-28.334382000000002</v>
      </c>
      <c r="T42" s="709">
        <f ca="1">T48+T46+T45</f>
        <v>-30.447764912</v>
      </c>
      <c r="U42" s="709">
        <f t="shared" ref="U42:X42" ca="1" si="12">U48+U46+U45</f>
        <v>-32.371384245199991</v>
      </c>
      <c r="V42" s="709">
        <f t="shared" ca="1" si="12"/>
        <v>-20.838514185620998</v>
      </c>
      <c r="W42" s="709">
        <f t="shared" ca="1" si="12"/>
        <v>-19.663494695548064</v>
      </c>
      <c r="X42" s="709">
        <f t="shared" ca="1" si="12"/>
        <v>23.773566219515576</v>
      </c>
      <c r="Y42" s="709"/>
    </row>
    <row r="43" spans="2:26" x14ac:dyDescent="0.55000000000000004">
      <c r="B43" s="695"/>
      <c r="C43" s="711">
        <f>C42/C$32</f>
        <v>0.15209025105241952</v>
      </c>
      <c r="D43" s="711">
        <f t="shared" ref="D43" si="13">D42/D$32</f>
        <v>0.18009025105241958</v>
      </c>
      <c r="E43" s="711">
        <f t="shared" ref="E43" si="14">E42/E$32</f>
        <v>0.18026784250524469</v>
      </c>
      <c r="F43" s="711">
        <f t="shared" ref="F43" si="15">F42/F$32</f>
        <v>0.18026784250524472</v>
      </c>
      <c r="G43" s="711">
        <f t="shared" ref="G43" si="16">G42/G$32</f>
        <v>0.18026784250524472</v>
      </c>
      <c r="H43" s="711">
        <f t="shared" ref="H43" si="17">H42/H$32</f>
        <v>0.18026784250524472</v>
      </c>
      <c r="I43" s="695"/>
      <c r="J43" s="695"/>
      <c r="K43" s="711">
        <f>K42/K$32</f>
        <v>-1.7603203092641167E-2</v>
      </c>
      <c r="L43" s="711">
        <f t="shared" ref="L43" si="18">L42/L$32</f>
        <v>1.980364762539806E-2</v>
      </c>
      <c r="M43" s="711">
        <f t="shared" ref="M43" si="19">M42/M$32</f>
        <v>8.1867836603207955E-2</v>
      </c>
      <c r="N43" s="711">
        <f t="shared" ref="N43" si="20">N42/N$32</f>
        <v>9.8058718793074373E-2</v>
      </c>
      <c r="O43" s="711">
        <f t="shared" ref="O43" si="21">O42/O$32</f>
        <v>0.10564227865646601</v>
      </c>
      <c r="P43" s="711">
        <f t="shared" ref="P43" si="22">P42/P$32</f>
        <v>0.11321825876197339</v>
      </c>
      <c r="R43" s="695"/>
      <c r="S43" s="711">
        <f>S42/S$32</f>
        <v>-9.701472320840697</v>
      </c>
      <c r="T43" s="711">
        <f t="shared" ref="T43:X43" ca="1" si="23">T42/T$32</f>
        <v>-5.2125391075272534</v>
      </c>
      <c r="U43" s="711">
        <f t="shared" ca="1" si="23"/>
        <v>-2.5305275191323653</v>
      </c>
      <c r="V43" s="711">
        <f t="shared" ca="1" si="23"/>
        <v>-0.71134627448576959</v>
      </c>
      <c r="W43" s="711">
        <f t="shared" ca="1" si="23"/>
        <v>-0.28870350704053466</v>
      </c>
      <c r="X43" s="711">
        <f t="shared" ca="1" si="23"/>
        <v>0.14790187691694859</v>
      </c>
      <c r="Y43" s="711"/>
    </row>
    <row r="44" spans="2:26" x14ac:dyDescent="0.55000000000000004">
      <c r="B44" s="695"/>
      <c r="C44" s="695"/>
      <c r="D44" s="695"/>
      <c r="E44" s="695"/>
      <c r="F44" s="695"/>
      <c r="G44" s="695"/>
      <c r="H44" s="695"/>
      <c r="I44" s="695"/>
      <c r="J44" s="695"/>
      <c r="K44" s="695"/>
      <c r="L44" s="695"/>
      <c r="M44" s="695"/>
      <c r="N44" s="695"/>
      <c r="O44" s="695"/>
      <c r="P44" s="695"/>
      <c r="R44" s="695"/>
      <c r="S44" s="695"/>
      <c r="T44" s="695"/>
      <c r="U44" s="695"/>
      <c r="V44" s="695"/>
      <c r="W44" s="695"/>
      <c r="X44" s="695"/>
      <c r="Y44" s="695"/>
    </row>
    <row r="45" spans="2:26" x14ac:dyDescent="0.55000000000000004">
      <c r="B45" s="695" t="s">
        <v>32</v>
      </c>
      <c r="C45" s="709">
        <v>3548</v>
      </c>
      <c r="D45" s="709">
        <v>3639.4555244011358</v>
      </c>
      <c r="E45" s="709">
        <v>3761.1410724788757</v>
      </c>
      <c r="F45" s="709">
        <v>3947.6903687697286</v>
      </c>
      <c r="G45" s="709">
        <v>4149.3994734602784</v>
      </c>
      <c r="H45" s="709">
        <v>4361.7464769200069</v>
      </c>
      <c r="I45" s="695"/>
      <c r="J45" s="695" t="s">
        <v>32</v>
      </c>
      <c r="K45" s="709">
        <v>897</v>
      </c>
      <c r="L45" s="709">
        <v>937.11087514371309</v>
      </c>
      <c r="M45" s="709">
        <v>1077.4810975176199</v>
      </c>
      <c r="N45" s="709">
        <v>1287.9316521034541</v>
      </c>
      <c r="O45" s="709">
        <v>1304.9468178858419</v>
      </c>
      <c r="P45" s="709">
        <v>1387.2907396854412</v>
      </c>
      <c r="R45" s="695" t="s">
        <v>32</v>
      </c>
      <c r="S45" s="709">
        <f>NUVVE_CF!B6/10^6</f>
        <v>0.16755800000000001</v>
      </c>
      <c r="T45" s="709">
        <f>'DCF-Nuvve'!G60/10^3</f>
        <v>0.27116464800000001</v>
      </c>
      <c r="U45" s="709">
        <f>'DCF-Nuvve'!H60/10^3</f>
        <v>0.49104249480000006</v>
      </c>
      <c r="V45" s="709">
        <f>'DCF-Nuvve'!I60/10^3</f>
        <v>0.96760081748000004</v>
      </c>
      <c r="W45" s="709">
        <f ca="1">'DCF-Nuvve'!J60/10^3</f>
        <v>2.4870289418165998</v>
      </c>
      <c r="X45" s="709">
        <f ca="1">'DCF-Nuvve'!K60/10^3</f>
        <v>6.4295509198615939</v>
      </c>
      <c r="Y45" s="709"/>
    </row>
    <row r="46" spans="2:26" x14ac:dyDescent="0.55000000000000004">
      <c r="B46" s="695" t="s">
        <v>1073</v>
      </c>
      <c r="C46" s="709">
        <v>-199</v>
      </c>
      <c r="D46" s="709">
        <v>69.677407506239007</v>
      </c>
      <c r="E46" s="709">
        <v>72.007078377111299</v>
      </c>
      <c r="F46" s="709">
        <v>75.578566268778502</v>
      </c>
      <c r="G46" s="709">
        <v>79.440288823433093</v>
      </c>
      <c r="H46" s="709">
        <v>83.505674042071504</v>
      </c>
      <c r="I46" s="695"/>
      <c r="J46" s="695" t="s">
        <v>1073</v>
      </c>
      <c r="K46" s="709">
        <v>10</v>
      </c>
      <c r="L46" s="709">
        <v>161</v>
      </c>
      <c r="M46" s="709">
        <v>12.1</v>
      </c>
      <c r="N46" s="709">
        <v>12.705</v>
      </c>
      <c r="O46" s="709">
        <v>13.340249999999999</v>
      </c>
      <c r="P46" s="709">
        <v>14.0072625</v>
      </c>
      <c r="R46" s="695" t="s">
        <v>1073</v>
      </c>
      <c r="S46" s="709">
        <f>NUVVE_IS!B35/10^6</f>
        <v>1.270138</v>
      </c>
      <c r="T46" s="709">
        <f>S46</f>
        <v>1.270138</v>
      </c>
      <c r="U46" s="709">
        <f t="shared" ref="U46:X46" si="24">T46</f>
        <v>1.270138</v>
      </c>
      <c r="V46" s="709">
        <f t="shared" si="24"/>
        <v>1.270138</v>
      </c>
      <c r="W46" s="709">
        <f t="shared" si="24"/>
        <v>1.270138</v>
      </c>
      <c r="X46" s="709">
        <f t="shared" si="24"/>
        <v>1.270138</v>
      </c>
      <c r="Y46" s="709"/>
    </row>
    <row r="47" spans="2:26" x14ac:dyDescent="0.55000000000000004">
      <c r="B47" s="695"/>
      <c r="C47" s="695"/>
      <c r="D47" s="695"/>
      <c r="E47" s="695"/>
      <c r="F47" s="695"/>
      <c r="G47" s="695"/>
      <c r="H47" s="695"/>
      <c r="I47" s="695"/>
      <c r="J47" s="695"/>
      <c r="K47" s="695"/>
      <c r="L47" s="695"/>
      <c r="M47" s="695"/>
      <c r="N47" s="695"/>
      <c r="O47" s="695"/>
      <c r="P47" s="695"/>
      <c r="R47" s="695"/>
      <c r="S47" s="695"/>
      <c r="T47" s="695"/>
      <c r="U47" s="695"/>
      <c r="V47" s="695"/>
      <c r="W47" s="695"/>
      <c r="X47" s="695"/>
      <c r="Y47" s="695"/>
    </row>
    <row r="48" spans="2:26" x14ac:dyDescent="0.55000000000000004">
      <c r="B48" s="695" t="s">
        <v>19</v>
      </c>
      <c r="C48" s="709">
        <f t="shared" ref="C48:H48" si="25">C42-C45+C46</f>
        <v>7200</v>
      </c>
      <c r="D48" s="709">
        <f t="shared" si="25"/>
        <v>10243.292483857076</v>
      </c>
      <c r="E48" s="709">
        <f t="shared" si="25"/>
        <v>10599.854804411971</v>
      </c>
      <c r="F48" s="709">
        <f t="shared" si="25"/>
        <v>11125.598299921172</v>
      </c>
      <c r="G48" s="709">
        <f t="shared" si="25"/>
        <v>11694.066001941879</v>
      </c>
      <c r="H48" s="709">
        <f t="shared" si="25"/>
        <v>12292.514015842517</v>
      </c>
      <c r="I48" s="695"/>
      <c r="J48" s="695" t="s">
        <v>19</v>
      </c>
      <c r="K48" s="709">
        <f t="shared" ref="K48:P48" si="26">K42-K45+K46</f>
        <v>-1142</v>
      </c>
      <c r="L48" s="709">
        <f t="shared" si="26"/>
        <v>-473.06017316820999</v>
      </c>
      <c r="M48" s="709">
        <f t="shared" si="26"/>
        <v>474.71889094675782</v>
      </c>
      <c r="N48" s="709">
        <f t="shared" si="26"/>
        <v>1085.3694501606244</v>
      </c>
      <c r="O48" s="709">
        <f t="shared" si="26"/>
        <v>1666.2167122173948</v>
      </c>
      <c r="P48" s="709">
        <f t="shared" si="26"/>
        <v>2063.0224612761135</v>
      </c>
      <c r="R48" s="695" t="s">
        <v>19</v>
      </c>
      <c r="S48" s="709">
        <f t="shared" ref="S48" si="27">S42-S45+S46</f>
        <v>-27.231802000000002</v>
      </c>
      <c r="T48" s="709">
        <f ca="1">'DCF-Nuvve'!G49/10^3</f>
        <v>-31.989067559999999</v>
      </c>
      <c r="U48" s="709">
        <f ca="1">'DCF-Nuvve'!H49/10^3</f>
        <v>-34.132564739999992</v>
      </c>
      <c r="V48" s="709">
        <f ca="1">'DCF-Nuvve'!I49/10^3</f>
        <v>-23.076253003100998</v>
      </c>
      <c r="W48" s="709">
        <f ca="1">'DCF-Nuvve'!J49/10^3</f>
        <v>-23.420661637364663</v>
      </c>
      <c r="X48" s="709">
        <f ca="1">'DCF-Nuvve'!K49/10^3</f>
        <v>16.073877299653983</v>
      </c>
      <c r="Y48" s="709"/>
    </row>
    <row r="49" spans="2:25" x14ac:dyDescent="0.55000000000000004">
      <c r="B49" s="695"/>
      <c r="C49" s="711">
        <f>C48/C$32</f>
        <v>0.10003195465218055</v>
      </c>
      <c r="D49" s="711">
        <f t="shared" ref="D49" si="28">D48/D$32</f>
        <v>0.13354866331608833</v>
      </c>
      <c r="E49" s="711">
        <f t="shared" ref="E49" si="29">E48/E$32</f>
        <v>0.13372625476891348</v>
      </c>
      <c r="F49" s="711">
        <f t="shared" ref="F49" si="30">F48/F$32</f>
        <v>0.13372625476891348</v>
      </c>
      <c r="G49" s="711">
        <f t="shared" ref="G49" si="31">G48/G$32</f>
        <v>0.13372625476891348</v>
      </c>
      <c r="H49" s="711">
        <f t="shared" ref="H49" si="32">H48/H$32</f>
        <v>0.13372625476891348</v>
      </c>
      <c r="I49" s="695"/>
      <c r="J49" s="695"/>
      <c r="K49" s="711">
        <f>K48/K$32</f>
        <v>-7.8834736987436149E-2</v>
      </c>
      <c r="L49" s="711">
        <f t="shared" ref="L49" si="33">L48/L$32</f>
        <v>-3.0913365037479105E-2</v>
      </c>
      <c r="M49" s="711">
        <f t="shared" ref="M49" si="34">M48/M$32</f>
        <v>2.5234860650337695E-2</v>
      </c>
      <c r="N49" s="711">
        <f t="shared" ref="N49" si="35">N48/N$32</f>
        <v>4.5086043138771632E-2</v>
      </c>
      <c r="O49" s="711">
        <f t="shared" ref="O49" si="36">O48/O$32</f>
        <v>5.9510969231396052E-2</v>
      </c>
      <c r="P49" s="711">
        <f t="shared" ref="P49" si="37">P48/P$32</f>
        <v>6.7971774060691784E-2</v>
      </c>
      <c r="R49" s="695"/>
      <c r="S49" s="711"/>
      <c r="T49" s="711"/>
      <c r="U49" s="711"/>
      <c r="V49" s="711"/>
      <c r="W49" s="711"/>
      <c r="X49" s="711"/>
      <c r="Y49" s="711"/>
    </row>
    <row r="50" spans="2:25" x14ac:dyDescent="0.55000000000000004">
      <c r="B50" s="695" t="s">
        <v>1072</v>
      </c>
      <c r="C50" s="709">
        <v>2</v>
      </c>
      <c r="D50" s="709">
        <v>0</v>
      </c>
      <c r="E50" s="709">
        <v>0</v>
      </c>
      <c r="F50" s="709">
        <v>0</v>
      </c>
      <c r="G50" s="709">
        <v>0</v>
      </c>
      <c r="H50" s="709">
        <v>0</v>
      </c>
      <c r="I50" s="695"/>
      <c r="J50" s="695" t="s">
        <v>1072</v>
      </c>
      <c r="K50" s="709">
        <v>444</v>
      </c>
      <c r="L50" s="709">
        <v>0</v>
      </c>
      <c r="M50" s="709">
        <v>0</v>
      </c>
      <c r="N50" s="709">
        <v>0</v>
      </c>
      <c r="O50" s="709">
        <v>0</v>
      </c>
      <c r="P50" s="709">
        <v>0</v>
      </c>
      <c r="R50" s="695" t="s">
        <v>1072</v>
      </c>
      <c r="S50" s="709">
        <f>-SUM(NUVVE_IS!B13:B16)/10^6</f>
        <v>-0.65506900000000001</v>
      </c>
      <c r="T50" s="709"/>
      <c r="U50" s="709"/>
      <c r="V50" s="709"/>
      <c r="W50" s="709"/>
      <c r="X50" s="709"/>
      <c r="Y50" s="709"/>
    </row>
    <row r="51" spans="2:25" x14ac:dyDescent="0.55000000000000004">
      <c r="B51" s="695"/>
      <c r="C51" s="695"/>
      <c r="D51" s="695"/>
      <c r="E51" s="695"/>
      <c r="F51" s="695"/>
      <c r="G51" s="695"/>
      <c r="H51" s="695"/>
      <c r="I51" s="695"/>
      <c r="J51" s="695"/>
      <c r="K51" s="695"/>
      <c r="L51" s="695"/>
      <c r="M51" s="695"/>
      <c r="N51" s="695"/>
      <c r="O51" s="695"/>
      <c r="P51" s="695"/>
      <c r="R51" s="695"/>
      <c r="S51" s="695"/>
      <c r="T51" s="695"/>
      <c r="U51" s="695"/>
      <c r="V51" s="695"/>
      <c r="W51" s="695"/>
      <c r="X51" s="695"/>
      <c r="Y51" s="695"/>
    </row>
    <row r="52" spans="2:25" x14ac:dyDescent="0.55000000000000004">
      <c r="B52" s="695" t="s">
        <v>1071</v>
      </c>
      <c r="C52" s="709">
        <f t="shared" ref="C52:H52" si="38">C48-C50</f>
        <v>7198</v>
      </c>
      <c r="D52" s="709">
        <f t="shared" si="38"/>
        <v>10243.292483857076</v>
      </c>
      <c r="E52" s="709">
        <f t="shared" si="38"/>
        <v>10599.854804411971</v>
      </c>
      <c r="F52" s="709">
        <f t="shared" si="38"/>
        <v>11125.598299921172</v>
      </c>
      <c r="G52" s="709">
        <f t="shared" si="38"/>
        <v>11694.066001941879</v>
      </c>
      <c r="H52" s="709">
        <f t="shared" si="38"/>
        <v>12292.514015842517</v>
      </c>
      <c r="I52" s="695"/>
      <c r="J52" s="695" t="s">
        <v>1071</v>
      </c>
      <c r="K52" s="709">
        <f t="shared" ref="K52:P52" si="39">K48-K50</f>
        <v>-1586</v>
      </c>
      <c r="L52" s="709">
        <f t="shared" si="39"/>
        <v>-473.06017316820999</v>
      </c>
      <c r="M52" s="709">
        <f t="shared" si="39"/>
        <v>474.71889094675782</v>
      </c>
      <c r="N52" s="709">
        <f t="shared" si="39"/>
        <v>1085.3694501606244</v>
      </c>
      <c r="O52" s="709">
        <f t="shared" si="39"/>
        <v>1666.2167122173948</v>
      </c>
      <c r="P52" s="709">
        <f t="shared" si="39"/>
        <v>2063.0224612761135</v>
      </c>
      <c r="R52" s="695" t="s">
        <v>1071</v>
      </c>
      <c r="S52" s="709">
        <f t="shared" ref="S52" si="40">S48-S50</f>
        <v>-26.576733000000001</v>
      </c>
      <c r="T52" s="709">
        <f ca="1">T48</f>
        <v>-31.989067559999999</v>
      </c>
      <c r="U52" s="709">
        <f t="shared" ref="U52:X52" ca="1" si="41">U48</f>
        <v>-34.132564739999992</v>
      </c>
      <c r="V52" s="709">
        <f t="shared" ca="1" si="41"/>
        <v>-23.076253003100998</v>
      </c>
      <c r="W52" s="709">
        <f t="shared" ca="1" si="41"/>
        <v>-23.420661637364663</v>
      </c>
      <c r="X52" s="709">
        <f t="shared" ca="1" si="41"/>
        <v>16.073877299653983</v>
      </c>
      <c r="Y52" s="709"/>
    </row>
    <row r="53" spans="2:25" x14ac:dyDescent="0.55000000000000004">
      <c r="B53" s="695"/>
      <c r="C53" s="711">
        <f>C52/C$32</f>
        <v>0.1000041679981105</v>
      </c>
      <c r="D53" s="711">
        <f t="shared" ref="D53" si="42">D52/D$32</f>
        <v>0.13354866331608833</v>
      </c>
      <c r="E53" s="711">
        <f t="shared" ref="E53" si="43">E52/E$32</f>
        <v>0.13372625476891348</v>
      </c>
      <c r="F53" s="711">
        <f t="shared" ref="F53" si="44">F52/F$32</f>
        <v>0.13372625476891348</v>
      </c>
      <c r="G53" s="711">
        <f t="shared" ref="G53" si="45">G52/G$32</f>
        <v>0.13372625476891348</v>
      </c>
      <c r="H53" s="711">
        <f t="shared" ref="H53" si="46">H52/H$32</f>
        <v>0.13372625476891348</v>
      </c>
      <c r="I53" s="695"/>
      <c r="J53" s="695"/>
      <c r="K53" s="711">
        <f>K52/K$32</f>
        <v>-0.10948502001932901</v>
      </c>
      <c r="L53" s="711">
        <f t="shared" ref="L53" si="47">L52/L$32</f>
        <v>-3.0913365037479105E-2</v>
      </c>
      <c r="M53" s="711">
        <f t="shared" ref="M53" si="48">M52/M$32</f>
        <v>2.5234860650337695E-2</v>
      </c>
      <c r="N53" s="711">
        <f t="shared" ref="N53" si="49">N52/N$32</f>
        <v>4.5086043138771632E-2</v>
      </c>
      <c r="O53" s="711">
        <f t="shared" ref="O53" si="50">O52/O$32</f>
        <v>5.9510969231396052E-2</v>
      </c>
      <c r="P53" s="711">
        <f t="shared" ref="P53" si="51">P52/P$32</f>
        <v>6.7971774060691784E-2</v>
      </c>
      <c r="R53" s="695"/>
      <c r="S53" s="711"/>
      <c r="T53" s="711"/>
      <c r="U53" s="711"/>
      <c r="V53" s="711"/>
      <c r="W53" s="711"/>
      <c r="X53" s="711"/>
      <c r="Y53" s="711"/>
    </row>
    <row r="54" spans="2:25" x14ac:dyDescent="0.55000000000000004">
      <c r="B54" s="695"/>
      <c r="C54" s="711"/>
      <c r="D54" s="711"/>
      <c r="E54" s="711"/>
      <c r="F54" s="711"/>
      <c r="G54" s="711"/>
      <c r="H54" s="711"/>
      <c r="I54" s="695"/>
      <c r="J54" s="695"/>
      <c r="K54" s="711"/>
      <c r="L54" s="711"/>
      <c r="M54" s="711"/>
      <c r="N54" s="711"/>
      <c r="O54" s="711"/>
      <c r="P54" s="711"/>
      <c r="R54" s="695"/>
      <c r="S54" s="711"/>
      <c r="T54" s="711"/>
      <c r="U54" s="711"/>
      <c r="V54" s="711"/>
      <c r="W54" s="711"/>
      <c r="X54" s="711"/>
      <c r="Y54" s="711"/>
    </row>
    <row r="55" spans="2:25" x14ac:dyDescent="0.55000000000000004">
      <c r="B55" s="695" t="s">
        <v>221</v>
      </c>
      <c r="C55" s="709">
        <v>1676</v>
      </c>
      <c r="D55" s="709">
        <v>1519.08</v>
      </c>
      <c r="E55" s="709">
        <v>1519.08</v>
      </c>
      <c r="F55" s="709">
        <v>1519.08</v>
      </c>
      <c r="G55" s="709">
        <v>1519.08</v>
      </c>
      <c r="H55" s="709">
        <v>1519.08</v>
      </c>
      <c r="I55" s="695"/>
      <c r="J55" s="695" t="s">
        <v>221</v>
      </c>
      <c r="K55" s="709">
        <f>'Vestas Input_morningstar'!P56</f>
        <v>162</v>
      </c>
      <c r="L55" s="709">
        <f>'Vestas Input_morningstar'!Q56</f>
        <v>162</v>
      </c>
      <c r="M55" s="709">
        <f>'Vestas Input_morningstar'!R56</f>
        <v>162</v>
      </c>
      <c r="N55" s="709">
        <f>'Vestas Input_morningstar'!S56</f>
        <v>162</v>
      </c>
      <c r="O55" s="709">
        <f>'Vestas Input_morningstar'!T56</f>
        <v>162</v>
      </c>
      <c r="P55" s="709">
        <f>'Vestas Input_morningstar'!U56</f>
        <v>162</v>
      </c>
      <c r="R55" s="695" t="s">
        <v>221</v>
      </c>
      <c r="S55" s="709">
        <f>-NUVVE_IS!B12/10^6</f>
        <v>0.58515700000000004</v>
      </c>
      <c r="T55" s="709">
        <f>S55</f>
        <v>0.58515700000000004</v>
      </c>
      <c r="U55" s="709">
        <f t="shared" ref="U55:X55" si="52">T55</f>
        <v>0.58515700000000004</v>
      </c>
      <c r="V55" s="709">
        <f t="shared" si="52"/>
        <v>0.58515700000000004</v>
      </c>
      <c r="W55" s="709">
        <f t="shared" si="52"/>
        <v>0.58515700000000004</v>
      </c>
      <c r="X55" s="709">
        <f t="shared" si="52"/>
        <v>0.58515700000000004</v>
      </c>
      <c r="Y55" s="709"/>
    </row>
    <row r="56" spans="2:25" x14ac:dyDescent="0.55000000000000004">
      <c r="B56" s="695" t="s">
        <v>223</v>
      </c>
      <c r="C56" s="709">
        <v>1632</v>
      </c>
      <c r="D56" s="709">
        <v>1126.473516142923</v>
      </c>
      <c r="E56" s="709">
        <v>1002.159985948328</v>
      </c>
      <c r="F56" s="709">
        <v>1251.5948642462076</v>
      </c>
      <c r="G56" s="709">
        <v>1628.0313814341739</v>
      </c>
      <c r="H56" s="709">
        <v>2074.5935998663695</v>
      </c>
      <c r="I56" s="695"/>
      <c r="J56" s="695" t="s">
        <v>223</v>
      </c>
      <c r="K56" s="709">
        <f>'Vestas Input_morningstar'!P58</f>
        <v>52</v>
      </c>
      <c r="L56" s="709">
        <f>'Vestas Input_morningstar'!Q58</f>
        <v>52</v>
      </c>
      <c r="M56" s="709">
        <f>'Vestas Input_morningstar'!R58</f>
        <v>52</v>
      </c>
      <c r="N56" s="709">
        <f>'Vestas Input_morningstar'!S58</f>
        <v>52</v>
      </c>
      <c r="O56" s="709">
        <f>'Vestas Input_morningstar'!T58</f>
        <v>52</v>
      </c>
      <c r="P56" s="709">
        <f>'Vestas Input_morningstar'!U58</f>
        <v>52</v>
      </c>
      <c r="R56" s="695" t="s">
        <v>223</v>
      </c>
      <c r="S56" s="709">
        <v>0</v>
      </c>
      <c r="T56" s="709">
        <f>S56</f>
        <v>0</v>
      </c>
      <c r="U56" s="709">
        <f t="shared" ref="U56:X56" si="53">T56</f>
        <v>0</v>
      </c>
      <c r="V56" s="709">
        <f t="shared" si="53"/>
        <v>0</v>
      </c>
      <c r="W56" s="709">
        <f t="shared" si="53"/>
        <v>0</v>
      </c>
      <c r="X56" s="709">
        <f t="shared" si="53"/>
        <v>0</v>
      </c>
      <c r="Y56" s="709"/>
    </row>
    <row r="57" spans="2:25" x14ac:dyDescent="0.55000000000000004">
      <c r="B57" s="695" t="s">
        <v>662</v>
      </c>
      <c r="C57" s="709">
        <f>C55-C56</f>
        <v>44</v>
      </c>
      <c r="D57" s="709">
        <f t="shared" ref="D57:H57" si="54">D55-D56</f>
        <v>392.60648385707691</v>
      </c>
      <c r="E57" s="709">
        <f t="shared" si="54"/>
        <v>516.92001405167196</v>
      </c>
      <c r="F57" s="709">
        <f t="shared" si="54"/>
        <v>267.48513575379229</v>
      </c>
      <c r="G57" s="709">
        <f t="shared" si="54"/>
        <v>-108.95138143417398</v>
      </c>
      <c r="H57" s="709">
        <f t="shared" si="54"/>
        <v>-555.51359986636953</v>
      </c>
      <c r="I57" s="695"/>
      <c r="J57" s="695" t="s">
        <v>662</v>
      </c>
      <c r="K57" s="709">
        <f>K55-K56</f>
        <v>110</v>
      </c>
      <c r="L57" s="709">
        <f t="shared" ref="L57" si="55">L55-L56</f>
        <v>110</v>
      </c>
      <c r="M57" s="709">
        <f t="shared" ref="M57" si="56">M55-M56</f>
        <v>110</v>
      </c>
      <c r="N57" s="709">
        <f t="shared" ref="N57" si="57">N55-N56</f>
        <v>110</v>
      </c>
      <c r="O57" s="709">
        <f t="shared" ref="O57" si="58">O55-O56</f>
        <v>110</v>
      </c>
      <c r="P57" s="709">
        <f t="shared" ref="P57" si="59">P55-P56</f>
        <v>110</v>
      </c>
      <c r="R57" s="695" t="s">
        <v>662</v>
      </c>
      <c r="S57" s="709">
        <f>S55-S56</f>
        <v>0.58515700000000004</v>
      </c>
      <c r="T57" s="709">
        <f t="shared" ref="T57:X57" si="60">T55-T56</f>
        <v>0.58515700000000004</v>
      </c>
      <c r="U57" s="709">
        <f t="shared" si="60"/>
        <v>0.58515700000000004</v>
      </c>
      <c r="V57" s="709">
        <f t="shared" si="60"/>
        <v>0.58515700000000004</v>
      </c>
      <c r="W57" s="709">
        <f t="shared" si="60"/>
        <v>0.58515700000000004</v>
      </c>
      <c r="X57" s="709">
        <f t="shared" si="60"/>
        <v>0.58515700000000004</v>
      </c>
      <c r="Y57" s="709"/>
    </row>
    <row r="58" spans="2:25" x14ac:dyDescent="0.55000000000000004">
      <c r="B58" s="695"/>
      <c r="C58" s="695"/>
      <c r="D58" s="695"/>
      <c r="E58" s="695"/>
      <c r="F58" s="695"/>
      <c r="G58" s="695"/>
      <c r="H58" s="695"/>
      <c r="I58" s="695"/>
      <c r="J58" s="695"/>
      <c r="K58" s="695"/>
      <c r="L58" s="695"/>
      <c r="M58" s="695"/>
      <c r="N58" s="695"/>
      <c r="O58" s="695"/>
      <c r="P58" s="695"/>
      <c r="R58" s="695"/>
      <c r="S58" s="695"/>
      <c r="T58" s="695"/>
      <c r="U58" s="695"/>
      <c r="V58" s="695"/>
      <c r="W58" s="695"/>
      <c r="X58" s="695"/>
      <c r="Y58" s="695"/>
    </row>
    <row r="59" spans="2:25" x14ac:dyDescent="0.55000000000000004">
      <c r="B59" s="695" t="s">
        <v>1070</v>
      </c>
      <c r="C59" s="709">
        <f t="shared" ref="C59:H59" si="61">C52-C57</f>
        <v>7154</v>
      </c>
      <c r="D59" s="709">
        <f t="shared" si="61"/>
        <v>9850.6859999999997</v>
      </c>
      <c r="E59" s="709">
        <f t="shared" si="61"/>
        <v>10082.934790360299</v>
      </c>
      <c r="F59" s="709">
        <f t="shared" si="61"/>
        <v>10858.11316416738</v>
      </c>
      <c r="G59" s="709">
        <f t="shared" si="61"/>
        <v>11803.017383376053</v>
      </c>
      <c r="H59" s="709">
        <f t="shared" si="61"/>
        <v>12848.027615708887</v>
      </c>
      <c r="I59" s="695"/>
      <c r="J59" s="695" t="s">
        <v>1070</v>
      </c>
      <c r="K59" s="709">
        <f t="shared" ref="K59:P59" si="62">K52-K57</f>
        <v>-1696</v>
      </c>
      <c r="L59" s="709">
        <f t="shared" si="62"/>
        <v>-583.06017316820999</v>
      </c>
      <c r="M59" s="709">
        <f t="shared" si="62"/>
        <v>364.71889094675782</v>
      </c>
      <c r="N59" s="709">
        <f t="shared" si="62"/>
        <v>975.36945016062441</v>
      </c>
      <c r="O59" s="709">
        <f t="shared" si="62"/>
        <v>1556.2167122173948</v>
      </c>
      <c r="P59" s="709">
        <f t="shared" si="62"/>
        <v>1953.0224612761135</v>
      </c>
      <c r="R59" s="695" t="s">
        <v>1070</v>
      </c>
      <c r="S59" s="709">
        <f>S52-S57</f>
        <v>-27.16189</v>
      </c>
      <c r="T59" s="709">
        <f t="shared" ref="T59:X59" ca="1" si="63">T52-T57</f>
        <v>-32.574224559999998</v>
      </c>
      <c r="U59" s="709">
        <f t="shared" ca="1" si="63"/>
        <v>-34.717721739999995</v>
      </c>
      <c r="V59" s="709">
        <f t="shared" ca="1" si="63"/>
        <v>-23.661410003100997</v>
      </c>
      <c r="W59" s="709">
        <f t="shared" ca="1" si="63"/>
        <v>-24.005818637364662</v>
      </c>
      <c r="X59" s="709">
        <f t="shared" ca="1" si="63"/>
        <v>15.488720299653982</v>
      </c>
      <c r="Y59" s="709"/>
    </row>
    <row r="60" spans="2:25" x14ac:dyDescent="0.55000000000000004">
      <c r="B60" s="695"/>
      <c r="C60" s="711">
        <f>C59/C$32</f>
        <v>9.9392861608569402E-2</v>
      </c>
      <c r="D60" s="711">
        <f t="shared" ref="D60" si="64">D59/D$32</f>
        <v>0.12842998968542005</v>
      </c>
      <c r="E60" s="711">
        <f t="shared" ref="E60" si="65">E59/E$32</f>
        <v>0.12720486567729572</v>
      </c>
      <c r="F60" s="711">
        <f t="shared" ref="F60" si="66">F59/F$32</f>
        <v>0.13051116606568727</v>
      </c>
      <c r="G60" s="711">
        <f t="shared" ref="G60" si="67">G59/G$32</f>
        <v>0.13497215676644556</v>
      </c>
      <c r="H60" s="711">
        <f t="shared" ref="H60" si="68">H59/H$32</f>
        <v>0.13976950622159323</v>
      </c>
      <c r="I60" s="695"/>
      <c r="J60" s="695"/>
      <c r="K60" s="711">
        <f>K59/K$32</f>
        <v>-0.11707855860831147</v>
      </c>
      <c r="L60" s="711">
        <f t="shared" ref="L60" si="69">L59/L$32</f>
        <v>-3.8101605238189402E-2</v>
      </c>
      <c r="M60" s="711">
        <f t="shared" ref="M60" si="70">M59/M$32</f>
        <v>1.9387537688318746E-2</v>
      </c>
      <c r="N60" s="711">
        <f t="shared" ref="N60" si="71">N59/N$32</f>
        <v>4.0516663795607949E-2</v>
      </c>
      <c r="O60" s="711">
        <f t="shared" ref="O60" si="72">O59/O$32</f>
        <v>5.5582184597648202E-2</v>
      </c>
      <c r="P60" s="711">
        <f t="shared" ref="P60" si="73">P59/P$32</f>
        <v>6.4347530851022045E-2</v>
      </c>
      <c r="R60" s="695"/>
      <c r="S60" s="711">
        <f>S59/S$32</f>
        <v>-9.3000201669025166</v>
      </c>
      <c r="T60" s="711"/>
      <c r="U60" s="711"/>
      <c r="V60" s="711"/>
      <c r="W60" s="711"/>
      <c r="X60" s="711"/>
      <c r="Y60" s="711"/>
    </row>
    <row r="61" spans="2:25" x14ac:dyDescent="0.55000000000000004">
      <c r="B61" s="695" t="s">
        <v>1069</v>
      </c>
      <c r="C61" s="709">
        <v>2741</v>
      </c>
      <c r="D61" s="709">
        <v>2758.1920800000003</v>
      </c>
      <c r="E61" s="709">
        <v>2823.2217413008839</v>
      </c>
      <c r="F61" s="709">
        <v>3040.2716859668667</v>
      </c>
      <c r="G61" s="709">
        <v>3304.8448673452949</v>
      </c>
      <c r="H61" s="709">
        <v>3597.4477323984893</v>
      </c>
      <c r="I61" s="695"/>
      <c r="J61" s="695" t="s">
        <v>1069</v>
      </c>
      <c r="K61" s="709">
        <v>-124</v>
      </c>
      <c r="L61" s="709">
        <v>-56.773238097006988</v>
      </c>
      <c r="M61" s="709">
        <v>151.7381560082865</v>
      </c>
      <c r="N61" s="709">
        <v>286.08127903533682</v>
      </c>
      <c r="O61" s="709">
        <v>413.86767668782608</v>
      </c>
      <c r="P61" s="709">
        <v>501.16494148074327</v>
      </c>
      <c r="R61" s="695" t="s">
        <v>1069</v>
      </c>
      <c r="S61" s="709">
        <f>NUVVE_IS!B19/10^6</f>
        <v>1E-3</v>
      </c>
      <c r="T61" s="709">
        <f>S61</f>
        <v>1E-3</v>
      </c>
      <c r="U61" s="709">
        <f t="shared" ref="U61:X61" si="74">T61</f>
        <v>1E-3</v>
      </c>
      <c r="V61" s="709">
        <f t="shared" si="74"/>
        <v>1E-3</v>
      </c>
      <c r="W61" s="709">
        <f t="shared" si="74"/>
        <v>1E-3</v>
      </c>
      <c r="X61" s="709">
        <f t="shared" si="74"/>
        <v>1E-3</v>
      </c>
      <c r="Y61" s="709"/>
    </row>
    <row r="62" spans="2:25" x14ac:dyDescent="0.55000000000000004">
      <c r="B62" s="695" t="s">
        <v>1068</v>
      </c>
      <c r="C62" s="711">
        <f t="shared" ref="C62:H62" si="75">C61/C52</f>
        <v>0.38080022228396776</v>
      </c>
      <c r="D62" s="711">
        <f t="shared" si="75"/>
        <v>0.26926811709680015</v>
      </c>
      <c r="E62" s="711">
        <f t="shared" si="75"/>
        <v>0.26634532202514472</v>
      </c>
      <c r="F62" s="711">
        <f t="shared" si="75"/>
        <v>0.27326815187893383</v>
      </c>
      <c r="G62" s="711">
        <f t="shared" si="75"/>
        <v>0.28260870656934062</v>
      </c>
      <c r="H62" s="711">
        <f t="shared" si="75"/>
        <v>0.29265353919972115</v>
      </c>
      <c r="I62" s="695"/>
      <c r="J62" s="695" t="s">
        <v>1068</v>
      </c>
      <c r="K62" s="711">
        <f t="shared" ref="K62:P62" si="76">K61/K52</f>
        <v>7.8184110970996215E-2</v>
      </c>
      <c r="L62" s="711">
        <f t="shared" si="76"/>
        <v>0.12001271998186085</v>
      </c>
      <c r="M62" s="711">
        <f t="shared" si="76"/>
        <v>0.31963791393611241</v>
      </c>
      <c r="N62" s="711">
        <f t="shared" si="76"/>
        <v>0.26357963087407654</v>
      </c>
      <c r="O62" s="711">
        <f t="shared" si="76"/>
        <v>0.2483876638934035</v>
      </c>
      <c r="P62" s="711">
        <f t="shared" si="76"/>
        <v>0.24292752545735258</v>
      </c>
      <c r="R62" s="695" t="s">
        <v>1068</v>
      </c>
      <c r="S62" s="711">
        <f>S61/S52</f>
        <v>-3.7626897181079404E-5</v>
      </c>
      <c r="T62" s="711">
        <f t="shared" ref="T62:X62" ca="1" si="77">T61/T52</f>
        <v>-3.1260679859591383E-5</v>
      </c>
      <c r="U62" s="711">
        <f t="shared" ca="1" si="77"/>
        <v>-2.9297534703804394E-5</v>
      </c>
      <c r="V62" s="711">
        <f t="shared" ca="1" si="77"/>
        <v>-4.3334591619602174E-5</v>
      </c>
      <c r="W62" s="711">
        <f t="shared" ca="1" si="77"/>
        <v>-4.2697342008674434E-5</v>
      </c>
      <c r="X62" s="711">
        <f t="shared" ca="1" si="77"/>
        <v>6.2212743158212777E-5</v>
      </c>
      <c r="Y62" s="711"/>
    </row>
    <row r="63" spans="2:25" x14ac:dyDescent="0.55000000000000004">
      <c r="B63" s="695" t="s">
        <v>1067</v>
      </c>
      <c r="C63" s="709">
        <v>21</v>
      </c>
      <c r="D63" s="711"/>
      <c r="E63" s="711"/>
      <c r="F63" s="711"/>
      <c r="G63" s="711"/>
      <c r="H63" s="711"/>
      <c r="I63" s="695"/>
      <c r="J63" s="695"/>
      <c r="K63" s="709"/>
      <c r="L63" s="711"/>
      <c r="M63" s="711"/>
      <c r="N63" s="711"/>
      <c r="O63" s="711"/>
      <c r="P63" s="711"/>
      <c r="R63" s="695"/>
      <c r="S63" s="709"/>
      <c r="T63" s="709"/>
      <c r="U63" s="711"/>
      <c r="V63" s="711"/>
      <c r="W63" s="711"/>
      <c r="X63" s="711"/>
      <c r="Y63" s="711"/>
    </row>
    <row r="64" spans="2:25" x14ac:dyDescent="0.55000000000000004">
      <c r="B64" s="695" t="s">
        <v>1066</v>
      </c>
      <c r="C64" s="709">
        <v>669</v>
      </c>
      <c r="D64" s="709">
        <v>512.20440888744781</v>
      </c>
      <c r="E64" s="709">
        <v>530.03252491519254</v>
      </c>
      <c r="F64" s="709">
        <v>556.31969969065267</v>
      </c>
      <c r="G64" s="709">
        <v>584.74308479168803</v>
      </c>
      <c r="H64" s="709">
        <v>614.66548548671994</v>
      </c>
      <c r="I64" s="695"/>
      <c r="J64" s="695"/>
      <c r="K64" s="709"/>
      <c r="L64" s="709"/>
      <c r="M64" s="709"/>
      <c r="N64" s="709"/>
      <c r="O64" s="709"/>
      <c r="P64" s="709"/>
      <c r="R64" s="695"/>
      <c r="S64" s="709"/>
      <c r="T64" s="709"/>
      <c r="U64" s="709"/>
      <c r="V64" s="709"/>
      <c r="W64" s="709"/>
      <c r="X64" s="709"/>
      <c r="Y64" s="709"/>
    </row>
    <row r="65" spans="1:25" x14ac:dyDescent="0.55000000000000004">
      <c r="B65" s="695" t="s">
        <v>1065</v>
      </c>
      <c r="C65" s="709">
        <f t="shared" ref="C65:H65" si="78">C59-C61-C63-C64</f>
        <v>3723</v>
      </c>
      <c r="D65" s="709">
        <f t="shared" si="78"/>
        <v>6580.2895111125508</v>
      </c>
      <c r="E65" s="709">
        <f t="shared" si="78"/>
        <v>6729.6805241442225</v>
      </c>
      <c r="F65" s="709">
        <f t="shared" si="78"/>
        <v>7261.5217785098603</v>
      </c>
      <c r="G65" s="709">
        <f t="shared" si="78"/>
        <v>7913.4294312390703</v>
      </c>
      <c r="H65" s="709">
        <f t="shared" si="78"/>
        <v>8635.9143978236789</v>
      </c>
      <c r="I65" s="695"/>
      <c r="J65" s="695" t="s">
        <v>1065</v>
      </c>
      <c r="K65" s="709">
        <f t="shared" ref="K65:P65" si="79">K59-K61</f>
        <v>-1572</v>
      </c>
      <c r="L65" s="709">
        <f t="shared" si="79"/>
        <v>-526.28693507120295</v>
      </c>
      <c r="M65" s="709">
        <f t="shared" si="79"/>
        <v>212.98073493847133</v>
      </c>
      <c r="N65" s="709">
        <f t="shared" si="79"/>
        <v>689.28817112528759</v>
      </c>
      <c r="O65" s="709">
        <f t="shared" si="79"/>
        <v>1142.3490355295687</v>
      </c>
      <c r="P65" s="709">
        <f t="shared" si="79"/>
        <v>1451.8575197953703</v>
      </c>
      <c r="R65" s="695" t="s">
        <v>1065</v>
      </c>
      <c r="S65" s="709">
        <f t="shared" ref="S65:X65" si="80">S59-S61</f>
        <v>-27.162890000000001</v>
      </c>
      <c r="T65" s="709">
        <f t="shared" ca="1" si="80"/>
        <v>-32.575224559999995</v>
      </c>
      <c r="U65" s="709">
        <f t="shared" ca="1" si="80"/>
        <v>-34.718721739999992</v>
      </c>
      <c r="V65" s="709">
        <f t="shared" ca="1" si="80"/>
        <v>-23.662410003100998</v>
      </c>
      <c r="W65" s="709">
        <f t="shared" ca="1" si="80"/>
        <v>-24.006818637364663</v>
      </c>
      <c r="X65" s="709">
        <f t="shared" ca="1" si="80"/>
        <v>15.487720299653983</v>
      </c>
      <c r="Y65" s="709"/>
    </row>
    <row r="66" spans="1:25" x14ac:dyDescent="0.55000000000000004">
      <c r="B66" s="695"/>
      <c r="C66" s="711">
        <f>C65/C$32</f>
        <v>5.1724856551398364E-2</v>
      </c>
      <c r="D66" s="711">
        <f t="shared" ref="D66" si="81">D65/D$32</f>
        <v>8.5791640707993597E-2</v>
      </c>
      <c r="E66" s="711">
        <f t="shared" ref="E66" si="82">E65/E$32</f>
        <v>8.4900688631180693E-2</v>
      </c>
      <c r="F66" s="711">
        <f t="shared" ref="F66" si="83">F65/F$32</f>
        <v>8.7281248629109992E-2</v>
      </c>
      <c r="G66" s="711">
        <f t="shared" ref="G66" si="84">G65/G$32</f>
        <v>9.0493185179728527E-2</v>
      </c>
      <c r="H66" s="711">
        <f t="shared" ref="H66" si="85">H65/H$32</f>
        <v>9.3947298936371826E-2</v>
      </c>
      <c r="I66" s="695"/>
      <c r="J66" s="695"/>
      <c r="K66" s="711">
        <f>K65/K$32</f>
        <v>-0.1085185696534585</v>
      </c>
      <c r="L66" s="711">
        <f t="shared" ref="L66" si="86">L65/L$32</f>
        <v>-3.439160821624937E-2</v>
      </c>
      <c r="M66" s="711">
        <f t="shared" ref="M66" si="87">M65/M$32</f>
        <v>1.1321519471576317E-2</v>
      </c>
      <c r="N66" s="711">
        <f t="shared" ref="N66" si="88">N65/N$32</f>
        <v>2.8632901187517833E-2</v>
      </c>
      <c r="O66" s="711">
        <f t="shared" ref="O66" si="89">O65/O$32</f>
        <v>4.0800393974229521E-2</v>
      </c>
      <c r="P66" s="711">
        <f t="shared" ref="P66" si="90">P65/P$32</f>
        <v>4.7835315977511929E-2</v>
      </c>
      <c r="R66" s="695"/>
      <c r="S66" s="711">
        <f>S65/S$32</f>
        <v>-9.3003625591354186</v>
      </c>
      <c r="T66" s="711">
        <f t="shared" ref="T66:X66" ca="1" si="91">T65/T$32</f>
        <v>-5.5767519371696546</v>
      </c>
      <c r="U66" s="711">
        <f t="shared" ca="1" si="91"/>
        <v>-2.7140229817387689</v>
      </c>
      <c r="V66" s="711">
        <f t="shared" ca="1" si="91"/>
        <v>-0.80774315534815067</v>
      </c>
      <c r="W66" s="711">
        <f t="shared" ca="1" si="91"/>
        <v>-0.35247308989599063</v>
      </c>
      <c r="X66" s="711">
        <f t="shared" ca="1" si="91"/>
        <v>9.6353356510861146E-2</v>
      </c>
      <c r="Y66" s="711"/>
    </row>
    <row r="67" spans="1:25" x14ac:dyDescent="0.45">
      <c r="J67" s="696"/>
      <c r="K67" s="696"/>
      <c r="L67" s="696"/>
      <c r="M67" s="696"/>
      <c r="N67" s="696"/>
      <c r="O67" s="696"/>
      <c r="P67" s="696"/>
    </row>
    <row r="68" spans="1:25" x14ac:dyDescent="0.55000000000000004">
      <c r="A68" s="713" t="s">
        <v>1459</v>
      </c>
      <c r="B68" s="696" t="s">
        <v>1460</v>
      </c>
      <c r="C68" s="709">
        <v>811.49</v>
      </c>
      <c r="D68" s="709">
        <v>809.72144995482699</v>
      </c>
      <c r="E68" s="709">
        <v>806.29024879918711</v>
      </c>
      <c r="F68" s="709">
        <v>803.32543451613947</v>
      </c>
      <c r="G68" s="709">
        <v>802.02327134355846</v>
      </c>
      <c r="H68" s="709">
        <v>802.02327134355846</v>
      </c>
      <c r="J68" s="696" t="s">
        <v>1460</v>
      </c>
      <c r="K68" s="709">
        <f>H23</f>
        <v>1006.177558</v>
      </c>
      <c r="L68" s="709">
        <f>K68</f>
        <v>1006.177558</v>
      </c>
      <c r="M68" s="709">
        <f t="shared" ref="M68:P68" si="92">L68</f>
        <v>1006.177558</v>
      </c>
      <c r="N68" s="709">
        <f t="shared" si="92"/>
        <v>1006.177558</v>
      </c>
      <c r="O68" s="709">
        <f t="shared" si="92"/>
        <v>1006.177558</v>
      </c>
      <c r="P68" s="709">
        <f t="shared" si="92"/>
        <v>1006.177558</v>
      </c>
      <c r="R68" s="696" t="s">
        <v>1460</v>
      </c>
      <c r="S68" s="709">
        <f>L23</f>
        <v>24.43</v>
      </c>
      <c r="T68" s="709">
        <f>S68</f>
        <v>24.43</v>
      </c>
      <c r="U68" s="709">
        <f t="shared" ref="U68:X68" si="93">T68</f>
        <v>24.43</v>
      </c>
      <c r="V68" s="709">
        <f t="shared" si="93"/>
        <v>24.43</v>
      </c>
      <c r="W68" s="709">
        <f t="shared" si="93"/>
        <v>24.43</v>
      </c>
      <c r="X68" s="709">
        <f t="shared" si="93"/>
        <v>24.43</v>
      </c>
      <c r="Y68" s="709"/>
    </row>
    <row r="69" spans="1:25" x14ac:dyDescent="0.55000000000000004">
      <c r="B69" s="696" t="s">
        <v>135</v>
      </c>
      <c r="C69" s="719">
        <f>C65/C68</f>
        <v>4.5878569051990779</v>
      </c>
      <c r="D69" s="719">
        <f t="shared" ref="D69:H69" si="94">D65/D68</f>
        <v>8.1266088621953312</v>
      </c>
      <c r="E69" s="719">
        <f t="shared" si="94"/>
        <v>8.3464739083311201</v>
      </c>
      <c r="F69" s="719">
        <f t="shared" si="94"/>
        <v>9.0393276080989935</v>
      </c>
      <c r="G69" s="719">
        <f t="shared" si="94"/>
        <v>9.8668326892590077</v>
      </c>
      <c r="H69" s="719">
        <f t="shared" si="94"/>
        <v>10.767660623309219</v>
      </c>
      <c r="J69" s="696" t="s">
        <v>135</v>
      </c>
      <c r="K69" s="712">
        <f>K65/K68</f>
        <v>-1.5623485015156739</v>
      </c>
      <c r="L69" s="712">
        <f t="shared" ref="L69:P69" si="95">L65/L68</f>
        <v>-0.5230557279744088</v>
      </c>
      <c r="M69" s="712">
        <f t="shared" si="95"/>
        <v>0.21167311201197686</v>
      </c>
      <c r="N69" s="712">
        <f t="shared" si="95"/>
        <v>0.68505619673668727</v>
      </c>
      <c r="O69" s="712">
        <f t="shared" si="95"/>
        <v>1.1353354350302143</v>
      </c>
      <c r="P69" s="712">
        <f t="shared" si="95"/>
        <v>1.4429436516962848</v>
      </c>
      <c r="R69" s="696" t="s">
        <v>135</v>
      </c>
      <c r="S69" s="712">
        <f>S65/S68</f>
        <v>-1.1118661481784691</v>
      </c>
      <c r="T69" s="712">
        <f t="shared" ref="T69:X69" ca="1" si="96">T65/T68</f>
        <v>-1.3334107474416699</v>
      </c>
      <c r="U69" s="712">
        <f t="shared" ca="1" si="96"/>
        <v>-1.4211511150225129</v>
      </c>
      <c r="V69" s="712">
        <f t="shared" ca="1" si="96"/>
        <v>-0.9685800246869013</v>
      </c>
      <c r="W69" s="712">
        <f t="shared" ca="1" si="96"/>
        <v>-0.98267779931906118</v>
      </c>
      <c r="X69" s="712">
        <f t="shared" ca="1" si="96"/>
        <v>0.63396317231493993</v>
      </c>
      <c r="Y69" s="712"/>
    </row>
    <row r="70" spans="1:25" x14ac:dyDescent="0.45">
      <c r="J70" s="696"/>
      <c r="K70" s="696"/>
      <c r="L70" s="696"/>
      <c r="M70" s="696"/>
      <c r="N70" s="696"/>
      <c r="O70" s="696"/>
      <c r="P70" s="696"/>
    </row>
    <row r="71" spans="1:25" x14ac:dyDescent="0.45">
      <c r="C71" s="718"/>
      <c r="D71" s="718"/>
      <c r="E71" s="718"/>
      <c r="F71" s="718"/>
      <c r="G71" s="718"/>
      <c r="H71" s="718"/>
      <c r="J71" s="696"/>
      <c r="K71" s="696"/>
      <c r="L71" s="696"/>
      <c r="M71" s="696"/>
      <c r="N71" s="696"/>
      <c r="O71" s="696"/>
      <c r="P71" s="696"/>
    </row>
    <row r="72" spans="1:25" x14ac:dyDescent="0.55000000000000004">
      <c r="B72" s="708" t="s">
        <v>1461</v>
      </c>
      <c r="C72" s="708">
        <v>2022</v>
      </c>
      <c r="D72" s="708">
        <f>C72+1</f>
        <v>2023</v>
      </c>
      <c r="E72" s="708">
        <f>D72+1</f>
        <v>2024</v>
      </c>
      <c r="F72" s="708">
        <f>E72+1</f>
        <v>2025</v>
      </c>
      <c r="G72" s="708">
        <f>F72+1</f>
        <v>2026</v>
      </c>
      <c r="H72" s="708">
        <f>G72+1</f>
        <v>2027</v>
      </c>
      <c r="I72" s="695"/>
      <c r="J72" s="708" t="s">
        <v>1462</v>
      </c>
      <c r="K72" s="708">
        <v>2022</v>
      </c>
      <c r="L72" s="708">
        <f>K72+1</f>
        <v>2023</v>
      </c>
      <c r="M72" s="708">
        <f>L72+1</f>
        <v>2024</v>
      </c>
      <c r="N72" s="708">
        <f>M72+1</f>
        <v>2025</v>
      </c>
      <c r="O72" s="708">
        <f>N72+1</f>
        <v>2026</v>
      </c>
    </row>
    <row r="73" spans="1:25" x14ac:dyDescent="0.55000000000000004">
      <c r="B73" s="695" t="s">
        <v>1</v>
      </c>
      <c r="C73" s="709">
        <f t="shared" ref="C73:H73" si="97">C32+K32</f>
        <v>86463</v>
      </c>
      <c r="D73" s="709">
        <f t="shared" si="97"/>
        <v>92003.595604644215</v>
      </c>
      <c r="E73" s="709">
        <f t="shared" si="97"/>
        <v>98077.350636658055</v>
      </c>
      <c r="F73" s="709">
        <f t="shared" si="97"/>
        <v>107270.10496604261</v>
      </c>
      <c r="G73" s="709">
        <f t="shared" si="97"/>
        <v>115446.27467941593</v>
      </c>
      <c r="H73" s="709">
        <f t="shared" si="97"/>
        <v>122274.13033060444</v>
      </c>
      <c r="I73" s="695"/>
      <c r="J73" s="695" t="s">
        <v>1</v>
      </c>
      <c r="K73" s="709">
        <f ca="1">C32+T32</f>
        <v>71982.841253999999</v>
      </c>
      <c r="L73" s="709">
        <f t="shared" ref="L73:O73" ca="1" si="98">D32+U32</f>
        <v>76713.616072311386</v>
      </c>
      <c r="M73" s="709">
        <f t="shared" ca="1" si="98"/>
        <v>79294.617671652959</v>
      </c>
      <c r="N73" s="709">
        <f t="shared" ca="1" si="98"/>
        <v>83264.92331303106</v>
      </c>
      <c r="O73" s="709">
        <f t="shared" ca="1" si="98"/>
        <v>87608.532941388417</v>
      </c>
      <c r="S73" s="718"/>
    </row>
    <row r="74" spans="1:25" x14ac:dyDescent="0.55000000000000004">
      <c r="B74" s="714" t="s">
        <v>1466</v>
      </c>
      <c r="C74" s="715"/>
      <c r="D74" s="715">
        <f>Synergies_Vestas!D5</f>
        <v>765.1385939296415</v>
      </c>
      <c r="E74" s="715">
        <f>Synergies_Vestas!E5</f>
        <v>808.55665449669823</v>
      </c>
      <c r="F74" s="715">
        <f>Synergies_Vestas!F5</f>
        <v>868.66543416663967</v>
      </c>
      <c r="G74" s="715">
        <f>Synergies_Vestas!G5</f>
        <v>832.86617426656858</v>
      </c>
      <c r="H74" s="715">
        <f>Synergies_Vestas!H5</f>
        <v>894.52239932755299</v>
      </c>
      <c r="I74" s="695"/>
      <c r="J74" s="714" t="s">
        <v>1468</v>
      </c>
      <c r="K74" s="715">
        <f ca="1">T32*S74</f>
        <v>5.8412540000000002</v>
      </c>
      <c r="L74" s="715">
        <f t="shared" ref="L74:O74" ca="1" si="99">U32*T74</f>
        <v>12.79234626</v>
      </c>
      <c r="M74" s="715">
        <f t="shared" ca="1" si="99"/>
        <v>29.294472935400002</v>
      </c>
      <c r="N74" s="715">
        <f t="shared" ca="1" si="99"/>
        <v>68.109649574805005</v>
      </c>
      <c r="O74" s="715">
        <f t="shared" ca="1" si="99"/>
        <v>160.73877299653984</v>
      </c>
      <c r="S74" s="699">
        <v>1</v>
      </c>
      <c r="T74" s="699">
        <v>1</v>
      </c>
      <c r="U74" s="699">
        <v>1</v>
      </c>
      <c r="V74" s="699">
        <v>1</v>
      </c>
      <c r="W74" s="699">
        <v>1</v>
      </c>
    </row>
    <row r="75" spans="1:25" x14ac:dyDescent="0.55000000000000004">
      <c r="B75" s="695" t="s">
        <v>1463</v>
      </c>
      <c r="C75" s="695"/>
      <c r="D75" s="710">
        <f>D73/C73-1</f>
        <v>6.4080538549948773E-2</v>
      </c>
      <c r="E75" s="710">
        <f>E73/D73-1</f>
        <v>6.6016496334706742E-2</v>
      </c>
      <c r="F75" s="710">
        <f>F73/E73-1</f>
        <v>9.3729635534716582E-2</v>
      </c>
      <c r="G75" s="710">
        <f>G73/F73-1</f>
        <v>7.6220394451572249E-2</v>
      </c>
      <c r="H75" s="710">
        <f>H73/G73-1</f>
        <v>5.9143144030839201E-2</v>
      </c>
      <c r="I75" s="695"/>
      <c r="J75" s="695" t="s">
        <v>1463</v>
      </c>
      <c r="K75" s="695"/>
      <c r="L75" s="710">
        <f ca="1">L73/K73-1</f>
        <v>6.5720868138815058E-2</v>
      </c>
      <c r="M75" s="710">
        <f ca="1">M73/L73-1</f>
        <v>3.3644634831301534E-2</v>
      </c>
      <c r="N75" s="710">
        <f ca="1">N73/M73-1</f>
        <v>5.0070304365657403E-2</v>
      </c>
      <c r="O75" s="710">
        <f ca="1">O73/N73-1</f>
        <v>5.2166139780466025E-2</v>
      </c>
    </row>
    <row r="76" spans="1:25" x14ac:dyDescent="0.55000000000000004">
      <c r="B76" s="695" t="s">
        <v>1076</v>
      </c>
      <c r="C76" s="709">
        <f t="shared" ref="C76:H76" si="100">C34+K34</f>
        <v>60129</v>
      </c>
      <c r="D76" s="709">
        <f t="shared" si="100"/>
        <v>62074.154627037686</v>
      </c>
      <c r="E76" s="709">
        <f t="shared" si="100"/>
        <v>65659.784191255007</v>
      </c>
      <c r="F76" s="709">
        <f t="shared" si="100"/>
        <v>72349.519470043349</v>
      </c>
      <c r="G76" s="709">
        <f t="shared" si="100"/>
        <v>78155.254903043766</v>
      </c>
      <c r="H76" s="709">
        <f t="shared" si="100"/>
        <v>82725.404358632732</v>
      </c>
      <c r="I76" s="695"/>
      <c r="J76" s="695" t="s">
        <v>1076</v>
      </c>
      <c r="K76" s="709">
        <f ca="1">C34+T34</f>
        <v>46134.004394000003</v>
      </c>
      <c r="L76" s="709">
        <f t="shared" ref="L76:O76" ca="1" si="101">D34+U34</f>
        <v>47785.649529980474</v>
      </c>
      <c r="M76" s="709">
        <f t="shared" ca="1" si="101"/>
        <v>49196.223644171652</v>
      </c>
      <c r="N76" s="709">
        <f t="shared" ca="1" si="101"/>
        <v>51661.926317604564</v>
      </c>
      <c r="O76" s="709">
        <f t="shared" ca="1" si="101"/>
        <v>54362.731784329866</v>
      </c>
    </row>
    <row r="77" spans="1:25" x14ac:dyDescent="0.55000000000000004">
      <c r="B77" s="714" t="s">
        <v>1101</v>
      </c>
      <c r="C77" s="715"/>
      <c r="D77" s="715">
        <f>Synergies_Vestas!D7</f>
        <v>650.36780484019528</v>
      </c>
      <c r="E77" s="715">
        <f>Synergies_Vestas!E7</f>
        <v>687.27315632219347</v>
      </c>
      <c r="F77" s="715">
        <f>Synergies_Vestas!F7</f>
        <v>738.36561904164375</v>
      </c>
      <c r="G77" s="715">
        <f>Synergies_Vestas!G7</f>
        <v>707.93624812658322</v>
      </c>
      <c r="H77" s="715">
        <f>Synergies_Vestas!H7</f>
        <v>760.34403942842005</v>
      </c>
      <c r="I77" s="695"/>
      <c r="J77" s="714" t="s">
        <v>1101</v>
      </c>
      <c r="K77" s="715">
        <f ca="1">K74*S77</f>
        <v>1.7523762000000001</v>
      </c>
      <c r="L77" s="715">
        <f ca="1">L74*T77</f>
        <v>3.8377038780000001</v>
      </c>
      <c r="M77" s="715">
        <f ca="1">M74*U77</f>
        <v>8.7883418806200009</v>
      </c>
      <c r="N77" s="715">
        <f ca="1">N74*V77</f>
        <v>20.432894872441501</v>
      </c>
      <c r="O77" s="715">
        <f ca="1">O74*W77</f>
        <v>48.221631898961952</v>
      </c>
      <c r="S77" s="699">
        <v>0.3</v>
      </c>
      <c r="T77" s="699">
        <v>0.3</v>
      </c>
      <c r="U77" s="699">
        <v>0.3</v>
      </c>
      <c r="V77" s="699">
        <v>0.3</v>
      </c>
      <c r="W77" s="699">
        <v>0.3</v>
      </c>
    </row>
    <row r="78" spans="1:25" x14ac:dyDescent="0.55000000000000004">
      <c r="B78" s="695" t="s">
        <v>203</v>
      </c>
      <c r="C78" s="709">
        <f>C73-C76</f>
        <v>26334</v>
      </c>
      <c r="D78" s="709">
        <f>D73+D74-D76-D77</f>
        <v>30044.211766695978</v>
      </c>
      <c r="E78" s="709">
        <f t="shared" ref="E78:H78" si="102">E73+E74-E76-E77</f>
        <v>32538.849943577556</v>
      </c>
      <c r="F78" s="709">
        <f t="shared" si="102"/>
        <v>35050.885311124257</v>
      </c>
      <c r="G78" s="709">
        <f t="shared" si="102"/>
        <v>37415.949702512153</v>
      </c>
      <c r="H78" s="709">
        <f t="shared" si="102"/>
        <v>39682.90433187085</v>
      </c>
      <c r="I78" s="695"/>
      <c r="J78" s="695" t="s">
        <v>203</v>
      </c>
      <c r="K78" s="709">
        <f ca="1">K73+K74-K76-K77</f>
        <v>25852.925737799997</v>
      </c>
      <c r="L78" s="709">
        <f t="shared" ref="L78:O78" ca="1" si="103">L73+L74-L76-L77</f>
        <v>28936.921184712912</v>
      </c>
      <c r="M78" s="709">
        <f t="shared" ca="1" si="103"/>
        <v>30118.900158536093</v>
      </c>
      <c r="N78" s="709">
        <f t="shared" ca="1" si="103"/>
        <v>31650.673750128859</v>
      </c>
      <c r="O78" s="709">
        <f t="shared" ca="1" si="103"/>
        <v>33358.318298156133</v>
      </c>
    </row>
    <row r="79" spans="1:25" x14ac:dyDescent="0.55000000000000004">
      <c r="B79" s="695"/>
      <c r="C79" s="711">
        <f>C78/C$73</f>
        <v>0.30456958467783907</v>
      </c>
      <c r="D79" s="711">
        <f t="shared" ref="D79:H79" si="104">D78/D$73</f>
        <v>0.32655475657496358</v>
      </c>
      <c r="E79" s="711">
        <f t="shared" si="104"/>
        <v>0.33176721977454821</v>
      </c>
      <c r="F79" s="711">
        <f t="shared" si="104"/>
        <v>0.32675352860165424</v>
      </c>
      <c r="G79" s="711">
        <f t="shared" si="104"/>
        <v>0.32409837222043697</v>
      </c>
      <c r="H79" s="711">
        <f t="shared" si="104"/>
        <v>0.32454047495227589</v>
      </c>
      <c r="I79" s="695"/>
      <c r="J79" s="695"/>
      <c r="K79" s="711">
        <f ca="1">K78/K$73</f>
        <v>0.35915400514095963</v>
      </c>
      <c r="L79" s="711">
        <f t="shared" ref="L79" ca="1" si="105">L78/L$73</f>
        <v>0.37720710698132837</v>
      </c>
      <c r="M79" s="711">
        <f t="shared" ref="M79" ca="1" si="106">M78/M$73</f>
        <v>0.3798353664211348</v>
      </c>
      <c r="N79" s="711">
        <f t="shared" ref="N79" ca="1" si="107">N78/N$73</f>
        <v>0.38012013331399408</v>
      </c>
      <c r="O79" s="711">
        <f t="shared" ref="O79" ca="1" si="108">O78/O$73</f>
        <v>0.38076563067747532</v>
      </c>
    </row>
    <row r="80" spans="1:25" x14ac:dyDescent="0.55000000000000004">
      <c r="B80" s="695"/>
      <c r="C80" s="695"/>
      <c r="D80" s="695"/>
      <c r="E80" s="695"/>
      <c r="F80" s="695"/>
      <c r="G80" s="695"/>
      <c r="H80" s="695"/>
      <c r="I80" s="695"/>
      <c r="J80" s="695"/>
      <c r="K80" s="695"/>
      <c r="L80" s="695"/>
      <c r="M80" s="695"/>
      <c r="N80" s="695"/>
      <c r="O80" s="695"/>
    </row>
    <row r="81" spans="2:23" x14ac:dyDescent="0.55000000000000004">
      <c r="B81" s="695" t="s">
        <v>1075</v>
      </c>
      <c r="C81" s="709">
        <f t="shared" ref="C81:H82" si="109">C38+K38</f>
        <v>9951</v>
      </c>
      <c r="D81" s="709">
        <f t="shared" si="109"/>
        <v>9749.7460719566807</v>
      </c>
      <c r="E81" s="709">
        <f t="shared" si="109"/>
        <v>10117.388296812083</v>
      </c>
      <c r="F81" s="709">
        <f t="shared" si="109"/>
        <v>10758.65236480465</v>
      </c>
      <c r="G81" s="709">
        <f t="shared" si="109"/>
        <v>11401.353569891422</v>
      </c>
      <c r="H81" s="709">
        <f t="shared" si="109"/>
        <v>12001.381205284608</v>
      </c>
      <c r="I81" s="695"/>
      <c r="J81" s="695" t="s">
        <v>1075</v>
      </c>
      <c r="K81" s="709">
        <f ca="1">C38+T38</f>
        <v>9334.0841956794538</v>
      </c>
      <c r="L81" s="709">
        <f t="shared" ref="L81:O81" ca="1" si="110">D38+U38</f>
        <v>9181.2151105273315</v>
      </c>
      <c r="M81" s="709">
        <f t="shared" ca="1" si="110"/>
        <v>9482.3157228409946</v>
      </c>
      <c r="N81" s="709">
        <f t="shared" ca="1" si="110"/>
        <v>9960.0429057596157</v>
      </c>
      <c r="O81" s="709">
        <f t="shared" ca="1" si="110"/>
        <v>10456.207724532283</v>
      </c>
    </row>
    <row r="82" spans="2:23" x14ac:dyDescent="0.55000000000000004">
      <c r="B82" s="695" t="s">
        <v>1074</v>
      </c>
      <c r="C82" s="709">
        <f t="shared" si="109"/>
        <v>5691</v>
      </c>
      <c r="D82" s="709">
        <f t="shared" si="109"/>
        <v>6063.5736029223735</v>
      </c>
      <c r="E82" s="709">
        <f t="shared" si="109"/>
        <v>6471.0893616128569</v>
      </c>
      <c r="F82" s="709">
        <f t="shared" si="109"/>
        <v>6803.6269265084038</v>
      </c>
      <c r="G82" s="709">
        <f t="shared" si="109"/>
        <v>7167.8177397987911</v>
      </c>
      <c r="H82" s="709">
        <f t="shared" si="109"/>
        <v>7540.2840095050979</v>
      </c>
      <c r="I82" s="695"/>
      <c r="J82" s="695" t="s">
        <v>1074</v>
      </c>
      <c r="K82" s="709">
        <f ca="1">C39+T39</f>
        <v>5598.2004292325464</v>
      </c>
      <c r="L82" s="709">
        <f t="shared" ref="L82" ca="1" si="111">D39+U39</f>
        <v>5966.0522152968115</v>
      </c>
      <c r="M82" s="709">
        <f t="shared" ref="M82" ca="1" si="112">E39+V39</f>
        <v>6347.9280203121962</v>
      </c>
      <c r="N82" s="709">
        <f t="shared" ref="N82" ca="1" si="113">F39+W39</f>
        <v>6664.907481940304</v>
      </c>
      <c r="O82" s="709">
        <f t="shared" ref="O82" ca="1" si="114">G39+X39</f>
        <v>7001.7946797280256</v>
      </c>
    </row>
    <row r="83" spans="2:23" x14ac:dyDescent="0.55000000000000004">
      <c r="B83" s="695" t="s">
        <v>1099</v>
      </c>
      <c r="C83" s="709">
        <f>C81+C82</f>
        <v>15642</v>
      </c>
      <c r="D83" s="709">
        <f t="shared" ref="D83:H83" si="115">D81+D82</f>
        <v>15813.319674879054</v>
      </c>
      <c r="E83" s="709">
        <f t="shared" si="115"/>
        <v>16588.477658424941</v>
      </c>
      <c r="F83" s="709">
        <f t="shared" si="115"/>
        <v>17562.279291313054</v>
      </c>
      <c r="G83" s="709">
        <f t="shared" si="115"/>
        <v>18569.171309690213</v>
      </c>
      <c r="H83" s="709">
        <f t="shared" si="115"/>
        <v>19541.665214789704</v>
      </c>
      <c r="I83" s="695"/>
      <c r="J83" s="695" t="s">
        <v>1099</v>
      </c>
      <c r="K83" s="709">
        <f ca="1">K81+K82</f>
        <v>14932.284624912001</v>
      </c>
      <c r="L83" s="709">
        <f t="shared" ref="L83" ca="1" si="116">L81+L82</f>
        <v>15147.267325824143</v>
      </c>
      <c r="M83" s="709">
        <f t="shared" ref="M83" ca="1" si="117">M81+M82</f>
        <v>15830.243743153191</v>
      </c>
      <c r="N83" s="709">
        <f t="shared" ref="N83" ca="1" si="118">N81+N82</f>
        <v>16624.950387699919</v>
      </c>
      <c r="O83" s="709">
        <f t="shared" ref="O83" ca="1" si="119">O81+O82</f>
        <v>17458.002404260311</v>
      </c>
    </row>
    <row r="84" spans="2:23" x14ac:dyDescent="0.55000000000000004">
      <c r="B84" s="714" t="s">
        <v>1102</v>
      </c>
      <c r="C84" s="715"/>
      <c r="D84" s="715">
        <f>Synergies_Vestas!D17</f>
        <v>105.36696850501673</v>
      </c>
      <c r="E84" s="715">
        <f>Synergies_Vestas!E17</f>
        <v>117.28081685272694</v>
      </c>
      <c r="F84" s="715">
        <f>Synergies_Vestas!F17</f>
        <v>144.43017948874189</v>
      </c>
      <c r="G84" s="715">
        <f>Synergies_Vestas!G17</f>
        <v>169.25083126739983</v>
      </c>
      <c r="H84" s="715">
        <f>Synergies_Vestas!H17</f>
        <v>179.54398998599177</v>
      </c>
      <c r="I84" s="695"/>
      <c r="J84" s="714" t="s">
        <v>1102</v>
      </c>
      <c r="K84" s="715">
        <f>S84*S40</f>
        <v>23.402249600000005</v>
      </c>
      <c r="L84" s="715">
        <f t="shared" ref="L84:O84" ca="1" si="120">T84*T40</f>
        <v>25.827699929600001</v>
      </c>
      <c r="M84" s="715">
        <f t="shared" ca="1" si="120"/>
        <v>29.115286116159997</v>
      </c>
      <c r="N84" s="715">
        <f t="shared" ca="1" si="120"/>
        <v>24.040440617296802</v>
      </c>
      <c r="O84" s="715">
        <f t="shared" ca="1" si="120"/>
        <v>32.865183806398456</v>
      </c>
      <c r="S84" s="699">
        <v>0.8</v>
      </c>
      <c r="T84" s="699">
        <v>0.8</v>
      </c>
      <c r="U84" s="699">
        <v>0.8</v>
      </c>
      <c r="V84" s="699">
        <v>0.8</v>
      </c>
      <c r="W84" s="699">
        <v>0.8</v>
      </c>
    </row>
    <row r="85" spans="2:23" x14ac:dyDescent="0.55000000000000004">
      <c r="B85" s="695"/>
      <c r="C85" s="695"/>
      <c r="D85" s="695"/>
      <c r="E85" s="695"/>
      <c r="F85" s="695"/>
      <c r="G85" s="695"/>
      <c r="H85" s="695"/>
      <c r="I85" s="695"/>
      <c r="J85" s="695"/>
      <c r="K85" s="695"/>
      <c r="L85" s="695"/>
      <c r="M85" s="695"/>
      <c r="N85" s="695"/>
      <c r="O85" s="695"/>
    </row>
    <row r="86" spans="2:23" x14ac:dyDescent="0.55000000000000004">
      <c r="B86" s="695" t="s">
        <v>88</v>
      </c>
      <c r="C86" s="709">
        <f>C78-C83</f>
        <v>10692</v>
      </c>
      <c r="D86" s="709">
        <f>D78-D83+D84</f>
        <v>14336.259060321941</v>
      </c>
      <c r="E86" s="709">
        <f t="shared" ref="E86:H86" si="121">E78-E83+E84</f>
        <v>16067.653102005341</v>
      </c>
      <c r="F86" s="709">
        <f t="shared" si="121"/>
        <v>17633.036199299946</v>
      </c>
      <c r="G86" s="709">
        <f t="shared" si="121"/>
        <v>19016.02922408934</v>
      </c>
      <c r="H86" s="709">
        <f t="shared" si="121"/>
        <v>20320.783107067138</v>
      </c>
      <c r="I86" s="695"/>
      <c r="J86" s="695" t="s">
        <v>88</v>
      </c>
      <c r="K86" s="709">
        <f ca="1">K78-K83+K84</f>
        <v>10944.043362487995</v>
      </c>
      <c r="L86" s="709">
        <f t="shared" ref="L86:O86" ca="1" si="122">L78-L83+L84</f>
        <v>13815.481558818368</v>
      </c>
      <c r="M86" s="709">
        <f t="shared" ca="1" si="122"/>
        <v>14317.771701499063</v>
      </c>
      <c r="N86" s="709">
        <f t="shared" ca="1" si="122"/>
        <v>15049.763803046237</v>
      </c>
      <c r="O86" s="709">
        <f t="shared" ca="1" si="122"/>
        <v>15933.18107770222</v>
      </c>
    </row>
    <row r="87" spans="2:23" x14ac:dyDescent="0.55000000000000004">
      <c r="B87" s="695"/>
      <c r="C87" s="711">
        <f>C86/C$73</f>
        <v>0.12365983137295722</v>
      </c>
      <c r="D87" s="711">
        <f t="shared" ref="D87:H87" si="123">D86/D$73</f>
        <v>0.15582281285969943</v>
      </c>
      <c r="E87" s="711">
        <f t="shared" si="123"/>
        <v>0.16382633704625976</v>
      </c>
      <c r="F87" s="711">
        <f t="shared" si="123"/>
        <v>0.16437977948172844</v>
      </c>
      <c r="G87" s="711">
        <f t="shared" si="123"/>
        <v>0.16471756474511773</v>
      </c>
      <c r="H87" s="711">
        <f t="shared" si="123"/>
        <v>0.16619037119400371</v>
      </c>
      <c r="I87" s="695"/>
      <c r="J87" s="695"/>
      <c r="K87" s="711">
        <f ca="1">K86/K$73</f>
        <v>0.15203683505449081</v>
      </c>
      <c r="L87" s="711">
        <f t="shared" ref="L87" ca="1" si="124">L86/L$73</f>
        <v>0.18009164821269397</v>
      </c>
      <c r="M87" s="711">
        <f t="shared" ref="M87" ca="1" si="125">M86/M$73</f>
        <v>0.18056423149408191</v>
      </c>
      <c r="N87" s="711">
        <f t="shared" ref="N87" ca="1" si="126">N86/N$73</f>
        <v>0.18074554331200507</v>
      </c>
      <c r="O87" s="711">
        <f t="shared" ref="O87" ca="1" si="127">O86/O$73</f>
        <v>0.18186791334996771</v>
      </c>
    </row>
    <row r="88" spans="2:23" x14ac:dyDescent="0.55000000000000004">
      <c r="B88" s="695"/>
      <c r="C88" s="695"/>
      <c r="D88" s="695"/>
      <c r="E88" s="695"/>
      <c r="F88" s="695"/>
      <c r="G88" s="695"/>
      <c r="H88" s="695"/>
      <c r="I88" s="695"/>
      <c r="J88" s="695"/>
      <c r="K88" s="695"/>
      <c r="L88" s="695"/>
      <c r="M88" s="695"/>
      <c r="N88" s="695"/>
      <c r="O88" s="695"/>
    </row>
    <row r="89" spans="2:23" x14ac:dyDescent="0.55000000000000004">
      <c r="B89" s="695" t="s">
        <v>32</v>
      </c>
      <c r="C89" s="709">
        <f t="shared" ref="C89:H90" si="128">C45+K45</f>
        <v>4445</v>
      </c>
      <c r="D89" s="709">
        <f t="shared" si="128"/>
        <v>4576.5663995448485</v>
      </c>
      <c r="E89" s="709">
        <f t="shared" si="128"/>
        <v>4838.6221699964954</v>
      </c>
      <c r="F89" s="709">
        <f t="shared" si="128"/>
        <v>5235.6220208731829</v>
      </c>
      <c r="G89" s="709">
        <f t="shared" si="128"/>
        <v>5454.3462913461208</v>
      </c>
      <c r="H89" s="709">
        <f t="shared" si="128"/>
        <v>5749.0372166054476</v>
      </c>
      <c r="I89" s="695"/>
      <c r="J89" s="695" t="s">
        <v>32</v>
      </c>
      <c r="K89" s="709">
        <f>C45+T45</f>
        <v>3548.2711646480002</v>
      </c>
      <c r="L89" s="709">
        <f t="shared" ref="L89:O89" si="129">D45+U45</f>
        <v>3639.9465668959356</v>
      </c>
      <c r="M89" s="709">
        <f t="shared" si="129"/>
        <v>3762.1086732963558</v>
      </c>
      <c r="N89" s="709">
        <f t="shared" ca="1" si="129"/>
        <v>3950.1773977115454</v>
      </c>
      <c r="O89" s="709">
        <f t="shared" ca="1" si="129"/>
        <v>4155.8290243801403</v>
      </c>
    </row>
    <row r="90" spans="2:23" x14ac:dyDescent="0.55000000000000004">
      <c r="B90" s="695" t="s">
        <v>1073</v>
      </c>
      <c r="C90" s="709">
        <f t="shared" si="128"/>
        <v>-189</v>
      </c>
      <c r="D90" s="709">
        <f t="shared" si="128"/>
        <v>230.67740750623901</v>
      </c>
      <c r="E90" s="709">
        <f t="shared" si="128"/>
        <v>84.107078377111293</v>
      </c>
      <c r="F90" s="709">
        <f t="shared" si="128"/>
        <v>88.2835662687785</v>
      </c>
      <c r="G90" s="709">
        <f t="shared" si="128"/>
        <v>92.780538823433091</v>
      </c>
      <c r="H90" s="709">
        <f t="shared" si="128"/>
        <v>97.5129365420715</v>
      </c>
      <c r="I90" s="695"/>
      <c r="J90" s="695" t="s">
        <v>1073</v>
      </c>
      <c r="K90" s="709">
        <f>C46+T46</f>
        <v>-197.729862</v>
      </c>
      <c r="L90" s="709">
        <f t="shared" ref="L90" si="130">D46+U46</f>
        <v>70.94754550623901</v>
      </c>
      <c r="M90" s="709">
        <f t="shared" ref="M90" si="131">E46+V46</f>
        <v>73.277216377111301</v>
      </c>
      <c r="N90" s="709">
        <f t="shared" ref="N90" si="132">F46+W46</f>
        <v>76.848704268778505</v>
      </c>
      <c r="O90" s="709">
        <f t="shared" ref="O90" si="133">G46+X46</f>
        <v>80.710426823433096</v>
      </c>
    </row>
    <row r="91" spans="2:23" x14ac:dyDescent="0.55000000000000004">
      <c r="B91" s="695"/>
      <c r="C91" s="695"/>
      <c r="D91" s="695"/>
      <c r="E91" s="695"/>
      <c r="F91" s="695"/>
      <c r="G91" s="695"/>
      <c r="H91" s="695"/>
      <c r="I91" s="695"/>
      <c r="J91" s="695"/>
      <c r="K91" s="695"/>
      <c r="L91" s="695"/>
      <c r="M91" s="695"/>
      <c r="N91" s="695"/>
      <c r="O91" s="695"/>
    </row>
    <row r="92" spans="2:23" x14ac:dyDescent="0.55000000000000004">
      <c r="B92" s="695" t="s">
        <v>19</v>
      </c>
      <c r="C92" s="709">
        <f>C86-C89+C90</f>
        <v>6058</v>
      </c>
      <c r="D92" s="709">
        <f t="shared" ref="D92:H92" si="134">D86-D89+D90</f>
        <v>9990.3700682833314</v>
      </c>
      <c r="E92" s="709">
        <f t="shared" si="134"/>
        <v>11313.138010385957</v>
      </c>
      <c r="F92" s="709">
        <f t="shared" si="134"/>
        <v>12485.697744695542</v>
      </c>
      <c r="G92" s="709">
        <f t="shared" si="134"/>
        <v>13654.463471566653</v>
      </c>
      <c r="H92" s="709">
        <f t="shared" si="134"/>
        <v>14669.258827003761</v>
      </c>
      <c r="I92" s="695"/>
      <c r="J92" s="695" t="s">
        <v>19</v>
      </c>
      <c r="K92" s="709">
        <f ca="1">K86-K89+K90</f>
        <v>7198.0423358399948</v>
      </c>
      <c r="L92" s="709">
        <f t="shared" ref="L92:O92" ca="1" si="135">L86-L89+L90</f>
        <v>10246.48253742867</v>
      </c>
      <c r="M92" s="709">
        <f t="shared" ca="1" si="135"/>
        <v>10628.940244579819</v>
      </c>
      <c r="N92" s="709">
        <f t="shared" ca="1" si="135"/>
        <v>11176.435109603472</v>
      </c>
      <c r="O92" s="709">
        <f t="shared" ca="1" si="135"/>
        <v>11858.062480145512</v>
      </c>
    </row>
    <row r="93" spans="2:23" x14ac:dyDescent="0.55000000000000004">
      <c r="B93" s="695"/>
      <c r="C93" s="711">
        <f>C92/C$73</f>
        <v>7.0064651932040298E-2</v>
      </c>
      <c r="D93" s="711">
        <f t="shared" ref="D93" si="136">D92/D$73</f>
        <v>0.10858673514471896</v>
      </c>
      <c r="E93" s="711">
        <f t="shared" ref="E93" si="137">E92/E$73</f>
        <v>0.11534913960203858</v>
      </c>
      <c r="F93" s="711">
        <f t="shared" ref="F93" si="138">F92/F$73</f>
        <v>0.11639494292140398</v>
      </c>
      <c r="G93" s="711">
        <f t="shared" ref="G93" si="139">G92/G$73</f>
        <v>0.11827547930397829</v>
      </c>
      <c r="H93" s="711">
        <f t="shared" ref="H93" si="140">H92/H$73</f>
        <v>0.11997025689196121</v>
      </c>
      <c r="I93" s="695"/>
      <c r="J93" s="695"/>
      <c r="K93" s="711">
        <f ca="1">K92/K$73</f>
        <v>9.9996641011166093E-2</v>
      </c>
      <c r="L93" s="711">
        <f t="shared" ref="L93" ca="1" si="141">L92/L$73</f>
        <v>0.13356797739491494</v>
      </c>
      <c r="M93" s="711">
        <f t="shared" ref="M93" ca="1" si="142">M92/M$73</f>
        <v>0.13404365336109766</v>
      </c>
      <c r="N93" s="711">
        <f t="shared" ref="N93" ca="1" si="143">N92/N$73</f>
        <v>0.13422741131443935</v>
      </c>
      <c r="O93" s="711">
        <f t="shared" ref="O93" ca="1" si="144">O92/O$73</f>
        <v>0.13535282559837813</v>
      </c>
    </row>
    <row r="94" spans="2:23" x14ac:dyDescent="0.55000000000000004">
      <c r="B94" s="695" t="s">
        <v>1072</v>
      </c>
      <c r="C94" s="709">
        <f t="shared" ref="C94:H94" si="145">C50+K50</f>
        <v>446</v>
      </c>
      <c r="D94" s="709">
        <f t="shared" si="145"/>
        <v>0</v>
      </c>
      <c r="E94" s="709">
        <f t="shared" si="145"/>
        <v>0</v>
      </c>
      <c r="F94" s="709">
        <f t="shared" si="145"/>
        <v>0</v>
      </c>
      <c r="G94" s="709">
        <f t="shared" si="145"/>
        <v>0</v>
      </c>
      <c r="H94" s="709">
        <f t="shared" si="145"/>
        <v>0</v>
      </c>
      <c r="I94" s="695"/>
      <c r="J94" s="695" t="s">
        <v>1072</v>
      </c>
      <c r="K94" s="709">
        <f>C50+T50</f>
        <v>2</v>
      </c>
      <c r="L94" s="709">
        <f t="shared" ref="L94:O94" si="146">D50+U50</f>
        <v>0</v>
      </c>
      <c r="M94" s="709">
        <f t="shared" si="146"/>
        <v>0</v>
      </c>
      <c r="N94" s="709">
        <f t="shared" si="146"/>
        <v>0</v>
      </c>
      <c r="O94" s="709">
        <f t="shared" si="146"/>
        <v>0</v>
      </c>
    </row>
    <row r="95" spans="2:23" x14ac:dyDescent="0.55000000000000004">
      <c r="B95" s="695"/>
      <c r="C95" s="695"/>
      <c r="D95" s="695"/>
      <c r="E95" s="695"/>
      <c r="F95" s="695"/>
      <c r="G95" s="695"/>
      <c r="H95" s="695"/>
      <c r="I95" s="695"/>
      <c r="J95" s="695"/>
      <c r="K95" s="695"/>
      <c r="L95" s="695"/>
      <c r="M95" s="695"/>
      <c r="N95" s="695"/>
      <c r="O95" s="695"/>
    </row>
    <row r="96" spans="2:23" x14ac:dyDescent="0.55000000000000004">
      <c r="B96" s="695" t="s">
        <v>1071</v>
      </c>
      <c r="C96" s="709">
        <f>C92-C94</f>
        <v>5612</v>
      </c>
      <c r="D96" s="709">
        <f t="shared" ref="D96:H96" si="147">D92-D94</f>
        <v>9990.3700682833314</v>
      </c>
      <c r="E96" s="709">
        <f t="shared" si="147"/>
        <v>11313.138010385957</v>
      </c>
      <c r="F96" s="709">
        <f t="shared" si="147"/>
        <v>12485.697744695542</v>
      </c>
      <c r="G96" s="709">
        <f t="shared" si="147"/>
        <v>13654.463471566653</v>
      </c>
      <c r="H96" s="709">
        <f t="shared" si="147"/>
        <v>14669.258827003761</v>
      </c>
      <c r="I96" s="695"/>
      <c r="J96" s="695" t="s">
        <v>1071</v>
      </c>
      <c r="K96" s="709">
        <f ca="1">K92-K94</f>
        <v>7196.0423358399948</v>
      </c>
      <c r="L96" s="709">
        <f t="shared" ref="L96:O96" ca="1" si="148">L92-L94</f>
        <v>10246.48253742867</v>
      </c>
      <c r="M96" s="709">
        <f t="shared" ca="1" si="148"/>
        <v>10628.940244579819</v>
      </c>
      <c r="N96" s="709">
        <f t="shared" ca="1" si="148"/>
        <v>11176.435109603472</v>
      </c>
      <c r="O96" s="709">
        <f t="shared" ca="1" si="148"/>
        <v>11858.062480145512</v>
      </c>
    </row>
    <row r="97" spans="2:15" x14ac:dyDescent="0.55000000000000004">
      <c r="B97" s="695"/>
      <c r="C97" s="711">
        <f>C96/C$73</f>
        <v>6.4906376137769908E-2</v>
      </c>
      <c r="D97" s="711">
        <f t="shared" ref="D97" si="149">D96/D$73</f>
        <v>0.10858673514471896</v>
      </c>
      <c r="E97" s="711">
        <f t="shared" ref="E97" si="150">E96/E$73</f>
        <v>0.11534913960203858</v>
      </c>
      <c r="F97" s="711">
        <f t="shared" ref="F97" si="151">F96/F$73</f>
        <v>0.11639494292140398</v>
      </c>
      <c r="G97" s="711">
        <f t="shared" ref="G97" si="152">G96/G$73</f>
        <v>0.11827547930397829</v>
      </c>
      <c r="H97" s="711">
        <f t="shared" ref="H97" si="153">H96/H$73</f>
        <v>0.11997025689196121</v>
      </c>
      <c r="I97" s="695"/>
      <c r="J97" s="695"/>
      <c r="K97" s="711">
        <f ca="1">K96/K$73</f>
        <v>9.9968856611923743E-2</v>
      </c>
      <c r="L97" s="711">
        <f t="shared" ref="L97" ca="1" si="154">L96/L$73</f>
        <v>0.13356797739491494</v>
      </c>
      <c r="M97" s="711">
        <f t="shared" ref="M97" ca="1" si="155">M96/M$73</f>
        <v>0.13404365336109766</v>
      </c>
      <c r="N97" s="711">
        <f t="shared" ref="N97" ca="1" si="156">N96/N$73</f>
        <v>0.13422741131443935</v>
      </c>
      <c r="O97" s="711">
        <f t="shared" ref="O97" ca="1" si="157">O96/O$73</f>
        <v>0.13535282559837813</v>
      </c>
    </row>
    <row r="98" spans="2:15" x14ac:dyDescent="0.55000000000000004">
      <c r="B98" s="695"/>
      <c r="C98" s="711"/>
      <c r="D98" s="711"/>
      <c r="E98" s="711"/>
      <c r="F98" s="711"/>
      <c r="G98" s="711"/>
      <c r="H98" s="711"/>
      <c r="I98" s="695"/>
      <c r="J98" s="695"/>
      <c r="K98" s="711"/>
      <c r="L98" s="711"/>
      <c r="M98" s="711"/>
      <c r="N98" s="711"/>
      <c r="O98" s="711"/>
    </row>
    <row r="99" spans="2:15" x14ac:dyDescent="0.55000000000000004">
      <c r="B99" s="695" t="s">
        <v>662</v>
      </c>
      <c r="C99" s="709">
        <f>C57+K57</f>
        <v>154</v>
      </c>
      <c r="D99" s="709">
        <f t="shared" ref="D99" si="158">D57+L57</f>
        <v>502.60648385707691</v>
      </c>
      <c r="E99" s="709">
        <f t="shared" ref="E99" si="159">E57+M57</f>
        <v>626.92001405167196</v>
      </c>
      <c r="F99" s="709">
        <f t="shared" ref="F99" si="160">F57+N57</f>
        <v>377.48513575379229</v>
      </c>
      <c r="G99" s="709">
        <f t="shared" ref="G99" si="161">G57+O57</f>
        <v>1.0486185658260183</v>
      </c>
      <c r="H99" s="709">
        <f t="shared" ref="H99" si="162">H57+P57</f>
        <v>-445.51359986636953</v>
      </c>
      <c r="I99" s="695"/>
      <c r="J99" s="695" t="s">
        <v>662</v>
      </c>
      <c r="K99" s="709">
        <f>C57+T57</f>
        <v>44.585157000000002</v>
      </c>
      <c r="L99" s="709">
        <f t="shared" ref="L99:O99" si="163">D57+U57</f>
        <v>393.19164085707689</v>
      </c>
      <c r="M99" s="709">
        <f t="shared" si="163"/>
        <v>517.50517105167194</v>
      </c>
      <c r="N99" s="709">
        <f t="shared" si="163"/>
        <v>268.07029275379227</v>
      </c>
      <c r="O99" s="709">
        <f t="shared" si="163"/>
        <v>-108.36622443417399</v>
      </c>
    </row>
    <row r="100" spans="2:15" x14ac:dyDescent="0.55000000000000004">
      <c r="B100" s="695" t="str">
        <f>B11</f>
        <v>Foregone Cash Interest Rate</v>
      </c>
      <c r="C100" s="709">
        <f>($L$8*$F$11)</f>
        <v>0</v>
      </c>
      <c r="D100" s="709">
        <f t="shared" ref="D100:H100" si="164">($L$8*$F$11)</f>
        <v>0</v>
      </c>
      <c r="E100" s="709">
        <f t="shared" si="164"/>
        <v>0</v>
      </c>
      <c r="F100" s="709">
        <f t="shared" si="164"/>
        <v>0</v>
      </c>
      <c r="G100" s="709">
        <f t="shared" si="164"/>
        <v>0</v>
      </c>
      <c r="H100" s="709">
        <f t="shared" si="164"/>
        <v>0</v>
      </c>
      <c r="I100" s="695"/>
      <c r="J100" s="695" t="str">
        <f>B11</f>
        <v>Foregone Cash Interest Rate</v>
      </c>
      <c r="K100" s="709">
        <f>($L$13*$F$16)</f>
        <v>0.30450685552000006</v>
      </c>
      <c r="L100" s="709">
        <f t="shared" ref="L100:O100" si="165">($L$13*$F$16)</f>
        <v>0.30450685552000006</v>
      </c>
      <c r="M100" s="709">
        <f t="shared" si="165"/>
        <v>0.30450685552000006</v>
      </c>
      <c r="N100" s="709">
        <f t="shared" si="165"/>
        <v>0.30450685552000006</v>
      </c>
      <c r="O100" s="709">
        <f t="shared" si="165"/>
        <v>0.30450685552000006</v>
      </c>
    </row>
    <row r="101" spans="2:15" x14ac:dyDescent="0.55000000000000004">
      <c r="B101" s="695" t="s">
        <v>1081</v>
      </c>
      <c r="C101" s="709">
        <f>$L$9*$L$11</f>
        <v>1876.7113528422001</v>
      </c>
      <c r="D101" s="709">
        <f t="shared" ref="D101:H101" si="166">$L$9*$L$11</f>
        <v>1876.7113528422001</v>
      </c>
      <c r="E101" s="709">
        <f t="shared" si="166"/>
        <v>1876.7113528422001</v>
      </c>
      <c r="F101" s="709">
        <f t="shared" si="166"/>
        <v>1876.7113528422001</v>
      </c>
      <c r="G101" s="709">
        <f t="shared" si="166"/>
        <v>1876.7113528422001</v>
      </c>
      <c r="H101" s="709">
        <f t="shared" si="166"/>
        <v>1876.7113528422001</v>
      </c>
      <c r="I101" s="695"/>
      <c r="J101" s="695" t="s">
        <v>1081</v>
      </c>
      <c r="K101" s="709"/>
      <c r="L101" s="709"/>
      <c r="M101" s="709"/>
      <c r="N101" s="709"/>
      <c r="O101" s="709"/>
    </row>
    <row r="102" spans="2:15" x14ac:dyDescent="0.55000000000000004">
      <c r="B102" s="695"/>
      <c r="C102" s="695"/>
      <c r="D102" s="695"/>
      <c r="E102" s="695"/>
      <c r="F102" s="695"/>
      <c r="G102" s="695"/>
      <c r="H102" s="695"/>
      <c r="I102" s="695"/>
      <c r="J102" s="695"/>
      <c r="K102" s="695"/>
      <c r="L102" s="695"/>
      <c r="M102" s="695"/>
      <c r="N102" s="695"/>
      <c r="O102" s="695"/>
    </row>
    <row r="103" spans="2:15" x14ac:dyDescent="0.55000000000000004">
      <c r="B103" s="695" t="s">
        <v>1070</v>
      </c>
      <c r="C103" s="709">
        <f>C96-C99-C100-C101</f>
        <v>3581.2886471577999</v>
      </c>
      <c r="D103" s="709">
        <f t="shared" ref="D103:H103" si="167">D96-D99-D100-D101</f>
        <v>7611.0522315840553</v>
      </c>
      <c r="E103" s="709">
        <f t="shared" si="167"/>
        <v>8809.5066434920864</v>
      </c>
      <c r="F103" s="709">
        <f t="shared" si="167"/>
        <v>10231.501256099551</v>
      </c>
      <c r="G103" s="709">
        <f t="shared" si="167"/>
        <v>11776.703500158626</v>
      </c>
      <c r="H103" s="709">
        <f t="shared" si="167"/>
        <v>13238.061074027932</v>
      </c>
      <c r="I103" s="695"/>
      <c r="J103" s="695" t="s">
        <v>1070</v>
      </c>
      <c r="K103" s="709">
        <f ca="1">K96-K99-K100-K101</f>
        <v>7151.1526719844742</v>
      </c>
      <c r="L103" s="709">
        <f t="shared" ref="L103:O103" ca="1" si="168">L96-L99-L100-L101</f>
        <v>9852.986389716074</v>
      </c>
      <c r="M103" s="709">
        <f t="shared" ca="1" si="168"/>
        <v>10111.130566672626</v>
      </c>
      <c r="N103" s="709">
        <f t="shared" ca="1" si="168"/>
        <v>10908.06030999416</v>
      </c>
      <c r="O103" s="709">
        <f t="shared" ca="1" si="168"/>
        <v>11966.124197724166</v>
      </c>
    </row>
    <row r="104" spans="2:15" x14ac:dyDescent="0.55000000000000004">
      <c r="B104" s="695"/>
      <c r="C104" s="711">
        <f>C103/C$73</f>
        <v>4.1419898073832735E-2</v>
      </c>
      <c r="D104" s="711">
        <f t="shared" ref="D104" si="169">D103/D$73</f>
        <v>8.2725595467921686E-2</v>
      </c>
      <c r="E104" s="711">
        <f t="shared" ref="E104" si="170">E103/E$73</f>
        <v>8.9822029105661685E-2</v>
      </c>
      <c r="F104" s="711">
        <f t="shared" ref="F104" si="171">F103/F$73</f>
        <v>9.538073314404262E-2</v>
      </c>
      <c r="G104" s="711">
        <f t="shared" ref="G104" si="172">G103/G$73</f>
        <v>0.10201025137330319</v>
      </c>
      <c r="H104" s="711">
        <f t="shared" ref="H104" si="173">H103/H$73</f>
        <v>0.10826542816730653</v>
      </c>
      <c r="I104" s="695"/>
      <c r="J104" s="695"/>
      <c r="K104" s="711">
        <f ca="1">K103/K$73</f>
        <v>9.9345240440715354E-2</v>
      </c>
      <c r="L104" s="711">
        <f t="shared" ref="L104" ca="1" si="174">L103/L$73</f>
        <v>0.12843856011726137</v>
      </c>
      <c r="M104" s="711">
        <f t="shared" ref="M104" ca="1" si="175">M103/M$73</f>
        <v>0.12751345379507711</v>
      </c>
      <c r="N104" s="711">
        <f t="shared" ref="N104" ca="1" si="176">N103/N$73</f>
        <v>0.13100426777534827</v>
      </c>
      <c r="O104" s="711">
        <f t="shared" ref="O104" ca="1" si="177">O103/O$73</f>
        <v>0.13658628670028872</v>
      </c>
    </row>
    <row r="105" spans="2:15" x14ac:dyDescent="0.55000000000000004">
      <c r="B105" s="695" t="s">
        <v>1069</v>
      </c>
      <c r="C105" s="709">
        <f>C103*$D$28</f>
        <v>1110.199480618918</v>
      </c>
      <c r="D105" s="709">
        <f t="shared" ref="D105:H105" si="178">D103*$D$28</f>
        <v>2359.4261917910571</v>
      </c>
      <c r="E105" s="709">
        <f t="shared" si="178"/>
        <v>2730.9470594825466</v>
      </c>
      <c r="F105" s="709">
        <f t="shared" si="178"/>
        <v>3171.7653893908609</v>
      </c>
      <c r="G105" s="709">
        <f t="shared" si="178"/>
        <v>3650.778085049174</v>
      </c>
      <c r="H105" s="709">
        <f t="shared" si="178"/>
        <v>4103.7989329486591</v>
      </c>
      <c r="I105" s="695"/>
      <c r="J105" s="695" t="s">
        <v>1069</v>
      </c>
      <c r="K105" s="709">
        <f>C61</f>
        <v>2741</v>
      </c>
      <c r="L105" s="709">
        <f t="shared" ref="L105:O105" si="179">D61</f>
        <v>2758.1920800000003</v>
      </c>
      <c r="M105" s="709">
        <f t="shared" si="179"/>
        <v>2823.2217413008839</v>
      </c>
      <c r="N105" s="709">
        <f t="shared" si="179"/>
        <v>3040.2716859668667</v>
      </c>
      <c r="O105" s="709">
        <f t="shared" si="179"/>
        <v>3304.8448673452949</v>
      </c>
    </row>
    <row r="106" spans="2:15" x14ac:dyDescent="0.55000000000000004">
      <c r="B106" s="695" t="s">
        <v>1464</v>
      </c>
      <c r="C106" s="711">
        <f t="shared" ref="C106:H106" si="180">C105/C96</f>
        <v>0.19782599440821774</v>
      </c>
      <c r="D106" s="711">
        <f t="shared" si="180"/>
        <v>0.23617004932395691</v>
      </c>
      <c r="E106" s="711">
        <f t="shared" si="180"/>
        <v>0.24139607038961403</v>
      </c>
      <c r="F106" s="711">
        <f t="shared" si="180"/>
        <v>0.25403188946635863</v>
      </c>
      <c r="G106" s="711">
        <f t="shared" si="180"/>
        <v>0.2673688418919839</v>
      </c>
      <c r="H106" s="711">
        <f t="shared" si="180"/>
        <v>0.27975502929938229</v>
      </c>
      <c r="I106" s="695"/>
      <c r="J106" s="695" t="s">
        <v>1464</v>
      </c>
      <c r="K106" s="711">
        <f t="shared" ref="K106:O106" ca="1" si="181">K105/K96</f>
        <v>0.38090381797066553</v>
      </c>
      <c r="L106" s="711">
        <f t="shared" ca="1" si="181"/>
        <v>0.26918428542915002</v>
      </c>
      <c r="M106" s="711">
        <f t="shared" ca="1" si="181"/>
        <v>0.2656164844600169</v>
      </c>
      <c r="N106" s="711">
        <f t="shared" ca="1" si="181"/>
        <v>0.27202517226217154</v>
      </c>
      <c r="O106" s="711">
        <f t="shared" ca="1" si="181"/>
        <v>0.2787002406909852</v>
      </c>
    </row>
    <row r="107" spans="2:15" x14ac:dyDescent="0.55000000000000004">
      <c r="B107" s="695" t="s">
        <v>1067</v>
      </c>
      <c r="C107" s="709">
        <f>C63+K63</f>
        <v>21</v>
      </c>
      <c r="D107" s="711"/>
      <c r="E107" s="711"/>
      <c r="F107" s="711"/>
      <c r="G107" s="711"/>
      <c r="H107" s="711"/>
      <c r="I107" s="695"/>
      <c r="J107" s="695" t="s">
        <v>1067</v>
      </c>
      <c r="K107" s="709">
        <f>C63+T63</f>
        <v>21</v>
      </c>
      <c r="L107" s="709">
        <f t="shared" ref="L107:O107" si="182">D63+U63</f>
        <v>0</v>
      </c>
      <c r="M107" s="709">
        <f t="shared" si="182"/>
        <v>0</v>
      </c>
      <c r="N107" s="709">
        <f t="shared" si="182"/>
        <v>0</v>
      </c>
      <c r="O107" s="709">
        <f t="shared" si="182"/>
        <v>0</v>
      </c>
    </row>
    <row r="108" spans="2:15" x14ac:dyDescent="0.55000000000000004">
      <c r="B108" s="695" t="s">
        <v>1066</v>
      </c>
      <c r="C108" s="709">
        <f>C64+K64</f>
        <v>669</v>
      </c>
      <c r="D108" s="709">
        <f>D64+L64</f>
        <v>512.20440888744781</v>
      </c>
      <c r="E108" s="709">
        <f>E64+M64</f>
        <v>530.03252491519254</v>
      </c>
      <c r="F108" s="709">
        <f>F64+N64</f>
        <v>556.31969969065267</v>
      </c>
      <c r="G108" s="709">
        <f>G64+O64</f>
        <v>584.74308479168803</v>
      </c>
      <c r="H108" s="709">
        <f>H64+P64</f>
        <v>614.66548548671994</v>
      </c>
      <c r="I108" s="695"/>
      <c r="J108" s="695" t="s">
        <v>1066</v>
      </c>
      <c r="K108" s="709">
        <f>C64+T64</f>
        <v>669</v>
      </c>
      <c r="L108" s="709">
        <f t="shared" ref="L108:O108" si="183">D64+U64</f>
        <v>512.20440888744781</v>
      </c>
      <c r="M108" s="709">
        <f t="shared" si="183"/>
        <v>530.03252491519254</v>
      </c>
      <c r="N108" s="709">
        <f t="shared" si="183"/>
        <v>556.31969969065267</v>
      </c>
      <c r="O108" s="709">
        <f t="shared" si="183"/>
        <v>584.74308479168803</v>
      </c>
    </row>
    <row r="109" spans="2:15" x14ac:dyDescent="0.55000000000000004">
      <c r="B109" s="695" t="s">
        <v>1065</v>
      </c>
      <c r="C109" s="709">
        <f t="shared" ref="C109:H109" si="184">C103-C105-C107-C108</f>
        <v>1781.0891665388817</v>
      </c>
      <c r="D109" s="709">
        <f t="shared" si="184"/>
        <v>4739.42163090555</v>
      </c>
      <c r="E109" s="709">
        <f t="shared" si="184"/>
        <v>5548.5270590943464</v>
      </c>
      <c r="F109" s="709">
        <f t="shared" si="184"/>
        <v>6503.4161670180374</v>
      </c>
      <c r="G109" s="709">
        <f t="shared" si="184"/>
        <v>7541.1823303177644</v>
      </c>
      <c r="H109" s="709">
        <f t="shared" si="184"/>
        <v>8519.5966555925534</v>
      </c>
      <c r="I109" s="695"/>
      <c r="J109" s="695" t="s">
        <v>1065</v>
      </c>
      <c r="K109" s="709">
        <f t="shared" ref="K109:O109" ca="1" si="185">K103-K105-K107-K108</f>
        <v>3720.1526719844742</v>
      </c>
      <c r="L109" s="709">
        <f t="shared" ca="1" si="185"/>
        <v>6582.5899008286251</v>
      </c>
      <c r="M109" s="709">
        <f t="shared" ca="1" si="185"/>
        <v>6757.876300456549</v>
      </c>
      <c r="N109" s="709">
        <f t="shared" ca="1" si="185"/>
        <v>7311.4689243366402</v>
      </c>
      <c r="O109" s="709">
        <f t="shared" ca="1" si="185"/>
        <v>8076.5362455871837</v>
      </c>
    </row>
    <row r="110" spans="2:15" x14ac:dyDescent="0.55000000000000004">
      <c r="B110" s="695"/>
      <c r="C110" s="711">
        <f>C109/C$73</f>
        <v>2.059943752285812E-2</v>
      </c>
      <c r="D110" s="711">
        <f t="shared" ref="D110" si="186">D109/D$73</f>
        <v>5.1513439227654605E-2</v>
      </c>
      <c r="E110" s="711">
        <f t="shared" ref="E110" si="187">E109/E$73</f>
        <v>5.657297044706764E-2</v>
      </c>
      <c r="F110" s="711">
        <f t="shared" ref="F110" si="188">F109/F$73</f>
        <v>6.0626547993746782E-2</v>
      </c>
      <c r="G110" s="711">
        <f t="shared" ref="G110" si="189">G109/G$73</f>
        <v>6.5322006719220338E-2</v>
      </c>
      <c r="H110" s="711">
        <f t="shared" ref="H110" si="190">H109/H$73</f>
        <v>6.9676199148235959E-2</v>
      </c>
      <c r="I110" s="695"/>
      <c r="J110" s="695"/>
      <c r="K110" s="711">
        <f ca="1">K109/K$73</f>
        <v>5.1681103540460065E-2</v>
      </c>
      <c r="L110" s="711">
        <f t="shared" ref="L110" ca="1" si="191">L109/L$73</f>
        <v>8.5807321279494614E-2</v>
      </c>
      <c r="M110" s="711">
        <f t="shared" ref="M110" ca="1" si="192">M109/M$73</f>
        <v>8.5224905534444909E-2</v>
      </c>
      <c r="N110" s="711">
        <f t="shared" ref="N110" ca="1" si="193">N109/N$73</f>
        <v>8.7809711862094353E-2</v>
      </c>
      <c r="O110" s="711">
        <f t="shared" ref="O110" ca="1" si="194">O109/O$73</f>
        <v>9.2188922407712523E-2</v>
      </c>
    </row>
    <row r="111" spans="2:15" x14ac:dyDescent="0.45">
      <c r="J111" s="696"/>
      <c r="K111" s="696"/>
      <c r="L111" s="696"/>
      <c r="M111" s="696"/>
      <c r="N111" s="696"/>
      <c r="O111" s="696"/>
    </row>
    <row r="112" spans="2:15" x14ac:dyDescent="0.55000000000000004">
      <c r="B112" s="696" t="s">
        <v>1460</v>
      </c>
      <c r="C112" s="709">
        <v>811.49</v>
      </c>
      <c r="D112" s="709">
        <v>809.72144995482699</v>
      </c>
      <c r="E112" s="709">
        <v>806.29024879918711</v>
      </c>
      <c r="F112" s="709">
        <v>803.32543451613947</v>
      </c>
      <c r="G112" s="709">
        <v>802.02327134355846</v>
      </c>
      <c r="H112" s="709">
        <v>802.02327134355846</v>
      </c>
      <c r="J112" s="696" t="s">
        <v>1460</v>
      </c>
      <c r="K112" s="709">
        <v>811.49</v>
      </c>
      <c r="L112" s="709">
        <v>809.72144995482699</v>
      </c>
      <c r="M112" s="709">
        <v>806.29024879918711</v>
      </c>
      <c r="N112" s="709">
        <v>803.32543451613947</v>
      </c>
      <c r="O112" s="709">
        <v>802.02327134355846</v>
      </c>
    </row>
    <row r="113" spans="2:15" x14ac:dyDescent="0.55000000000000004">
      <c r="B113" s="696" t="s">
        <v>1465</v>
      </c>
      <c r="C113" s="709">
        <f>$L$10</f>
        <v>0</v>
      </c>
      <c r="D113" s="709">
        <f>C113</f>
        <v>0</v>
      </c>
      <c r="E113" s="709">
        <f t="shared" ref="E113:H113" si="195">D113</f>
        <v>0</v>
      </c>
      <c r="F113" s="709">
        <f t="shared" si="195"/>
        <v>0</v>
      </c>
      <c r="G113" s="709">
        <f t="shared" si="195"/>
        <v>0</v>
      </c>
      <c r="H113" s="709">
        <f t="shared" si="195"/>
        <v>0</v>
      </c>
      <c r="J113" s="696" t="s">
        <v>1465</v>
      </c>
      <c r="K113" s="709"/>
      <c r="L113" s="709"/>
      <c r="M113" s="709"/>
      <c r="N113" s="709"/>
      <c r="O113" s="709"/>
    </row>
    <row r="114" spans="2:15" x14ac:dyDescent="0.45">
      <c r="B114" s="696" t="s">
        <v>135</v>
      </c>
      <c r="C114" s="712">
        <f>C109/(C112+C113)</f>
        <v>2.194838096019522</v>
      </c>
      <c r="D114" s="712">
        <f t="shared" ref="D114:H114" si="196">D109/(D112+D113)</f>
        <v>5.8531506497326387</v>
      </c>
      <c r="E114" s="712">
        <f t="shared" si="196"/>
        <v>6.8815504929618099</v>
      </c>
      <c r="F114" s="712">
        <f t="shared" si="196"/>
        <v>8.0956183977109948</v>
      </c>
      <c r="G114" s="712">
        <f t="shared" si="196"/>
        <v>9.4026976520078911</v>
      </c>
      <c r="H114" s="712">
        <f t="shared" si="196"/>
        <v>10.62263024029269</v>
      </c>
      <c r="J114" s="696" t="s">
        <v>135</v>
      </c>
      <c r="K114" s="712">
        <f ca="1">K109/(K112+K113)</f>
        <v>4.584348139822394</v>
      </c>
      <c r="L114" s="712">
        <f t="shared" ref="L114" ca="1" si="197">L109/(L112+L113)</f>
        <v>8.1294498264753354</v>
      </c>
      <c r="M114" s="712">
        <f t="shared" ref="M114" ca="1" si="198">M109/(M112+M113)</f>
        <v>8.3814436681097089</v>
      </c>
      <c r="N114" s="712">
        <f t="shared" ref="N114" ca="1" si="199">N109/(N112+N113)</f>
        <v>9.1015030897664762</v>
      </c>
      <c r="O114" s="712">
        <f t="shared" ref="O114" ca="1" si="200">O109/(O112+O113)</f>
        <v>10.070201868403743</v>
      </c>
    </row>
    <row r="115" spans="2:15" x14ac:dyDescent="0.45">
      <c r="C115" s="712"/>
      <c r="D115" s="712"/>
      <c r="E115" s="712"/>
      <c r="F115" s="712"/>
      <c r="G115" s="712"/>
      <c r="H115" s="712"/>
      <c r="J115" s="696"/>
      <c r="K115" s="712"/>
      <c r="L115" s="712"/>
      <c r="M115" s="712"/>
      <c r="N115" s="712"/>
      <c r="O115" s="712"/>
    </row>
    <row r="116" spans="2:15" ht="15.75" x14ac:dyDescent="0.55000000000000004">
      <c r="B116" s="49" t="s">
        <v>1475</v>
      </c>
      <c r="C116" s="49">
        <v>2022</v>
      </c>
      <c r="D116" s="49">
        <f>C116+1</f>
        <v>2023</v>
      </c>
      <c r="E116" s="49">
        <f t="shared" ref="E116:H116" si="201">D116+1</f>
        <v>2024</v>
      </c>
      <c r="F116" s="49">
        <f t="shared" si="201"/>
        <v>2025</v>
      </c>
      <c r="G116" s="49">
        <f t="shared" si="201"/>
        <v>2026</v>
      </c>
      <c r="H116" s="49">
        <f t="shared" si="201"/>
        <v>2027</v>
      </c>
      <c r="J116" s="49" t="s">
        <v>1475</v>
      </c>
      <c r="K116" s="49">
        <v>2022</v>
      </c>
      <c r="L116" s="49">
        <f>K116+1</f>
        <v>2023</v>
      </c>
      <c r="M116" s="49">
        <f t="shared" ref="M116:O116" si="202">L116+1</f>
        <v>2024</v>
      </c>
      <c r="N116" s="49">
        <f t="shared" si="202"/>
        <v>2025</v>
      </c>
      <c r="O116" s="49">
        <f t="shared" si="202"/>
        <v>2026</v>
      </c>
    </row>
    <row r="117" spans="2:15" x14ac:dyDescent="0.55000000000000004">
      <c r="B117" s="696" t="s">
        <v>1476</v>
      </c>
      <c r="C117" s="709">
        <v>811</v>
      </c>
      <c r="D117" s="709">
        <v>811</v>
      </c>
      <c r="E117" s="709">
        <v>811</v>
      </c>
      <c r="F117" s="709">
        <v>811</v>
      </c>
      <c r="G117" s="709">
        <v>811</v>
      </c>
      <c r="H117" s="709">
        <v>811</v>
      </c>
      <c r="J117" s="696" t="s">
        <v>1476</v>
      </c>
      <c r="K117" s="709">
        <v>811</v>
      </c>
      <c r="L117" s="709">
        <v>811</v>
      </c>
      <c r="M117" s="709">
        <v>811</v>
      </c>
      <c r="N117" s="709">
        <v>811</v>
      </c>
      <c r="O117" s="709">
        <v>811</v>
      </c>
    </row>
    <row r="118" spans="2:15" x14ac:dyDescent="0.55000000000000004">
      <c r="C118" s="709"/>
      <c r="D118" s="709"/>
      <c r="E118" s="709"/>
      <c r="F118" s="709"/>
      <c r="G118" s="709"/>
      <c r="H118" s="709"/>
      <c r="J118" s="696"/>
      <c r="K118" s="709"/>
      <c r="L118" s="709"/>
      <c r="M118" s="709"/>
      <c r="N118" s="709"/>
      <c r="O118" s="709"/>
    </row>
    <row r="119" spans="2:15" x14ac:dyDescent="0.55000000000000004">
      <c r="B119" s="696" t="s">
        <v>1472</v>
      </c>
      <c r="C119" s="709">
        <v>3723</v>
      </c>
      <c r="D119" s="709">
        <v>6580.2895111125508</v>
      </c>
      <c r="E119" s="709">
        <v>6729.6805241442225</v>
      </c>
      <c r="F119" s="709">
        <v>7261.5217785098603</v>
      </c>
      <c r="G119" s="709">
        <v>7913.4294312390703</v>
      </c>
      <c r="H119" s="709">
        <v>8635.9143978236789</v>
      </c>
      <c r="J119" s="696" t="s">
        <v>1472</v>
      </c>
      <c r="K119" s="709">
        <v>3723</v>
      </c>
      <c r="L119" s="709">
        <v>6580.2895111125508</v>
      </c>
      <c r="M119" s="709">
        <v>6729.6805241442225</v>
      </c>
      <c r="N119" s="709">
        <v>7261.5217785098603</v>
      </c>
      <c r="O119" s="709">
        <v>7913.4294312390703</v>
      </c>
    </row>
    <row r="120" spans="2:15" x14ac:dyDescent="0.45">
      <c r="B120" s="726" t="s">
        <v>1469</v>
      </c>
      <c r="C120" s="727">
        <f>C119/C117</f>
        <v>4.590628853267571</v>
      </c>
      <c r="D120" s="727">
        <f t="shared" ref="D120:H120" si="203">D119/D117</f>
        <v>8.1137971776973501</v>
      </c>
      <c r="E120" s="727">
        <f t="shared" si="203"/>
        <v>8.2980031123849844</v>
      </c>
      <c r="F120" s="727">
        <f t="shared" si="203"/>
        <v>8.9537876430454499</v>
      </c>
      <c r="G120" s="728">
        <f t="shared" si="203"/>
        <v>9.7576195206400378</v>
      </c>
      <c r="H120" s="728">
        <f t="shared" si="203"/>
        <v>10.648476446145104</v>
      </c>
      <c r="J120" s="726" t="s">
        <v>1469</v>
      </c>
      <c r="K120" s="727">
        <f>K119/K117</f>
        <v>4.590628853267571</v>
      </c>
      <c r="L120" s="727">
        <f t="shared" ref="L120:O120" si="204">L119/L117</f>
        <v>8.1137971776973501</v>
      </c>
      <c r="M120" s="727">
        <f t="shared" si="204"/>
        <v>8.2980031123849844</v>
      </c>
      <c r="N120" s="727">
        <f t="shared" si="204"/>
        <v>8.9537876430454499</v>
      </c>
      <c r="O120" s="728">
        <f t="shared" si="204"/>
        <v>9.7576195206400378</v>
      </c>
    </row>
    <row r="121" spans="2:15" x14ac:dyDescent="0.55000000000000004">
      <c r="C121" s="719"/>
      <c r="D121" s="719"/>
      <c r="E121" s="719"/>
      <c r="F121" s="719"/>
      <c r="G121" s="719"/>
      <c r="H121" s="719"/>
      <c r="J121" s="696"/>
      <c r="K121" s="719"/>
      <c r="L121" s="719"/>
      <c r="M121" s="719"/>
      <c r="N121" s="719"/>
      <c r="O121" s="719"/>
    </row>
    <row r="122" spans="2:15" x14ac:dyDescent="0.55000000000000004">
      <c r="B122" s="695" t="s">
        <v>1471</v>
      </c>
      <c r="C122" s="709">
        <v>1781.0891665388817</v>
      </c>
      <c r="D122" s="709">
        <v>4739.42163090555</v>
      </c>
      <c r="E122" s="709">
        <v>5548.5270590943464</v>
      </c>
      <c r="F122" s="709">
        <v>6503.4161670180374</v>
      </c>
      <c r="G122" s="709">
        <v>7541.1823303177644</v>
      </c>
      <c r="H122" s="709">
        <v>8519.5966555925534</v>
      </c>
      <c r="J122" s="695" t="s">
        <v>1471</v>
      </c>
      <c r="K122" s="709">
        <v>3720.1526719844742</v>
      </c>
      <c r="L122" s="709">
        <v>6582.5899008286251</v>
      </c>
      <c r="M122" s="709">
        <v>6757.876300456549</v>
      </c>
      <c r="N122" s="709">
        <v>7311.4689243366402</v>
      </c>
      <c r="O122" s="709">
        <v>8076.5362455871837</v>
      </c>
    </row>
    <row r="123" spans="2:15" ht="15.75" x14ac:dyDescent="0.55000000000000004">
      <c r="B123" s="25" t="s">
        <v>1470</v>
      </c>
      <c r="C123" s="729">
        <f>C122/C117</f>
        <v>2.1961642004178565</v>
      </c>
      <c r="D123" s="729">
        <f t="shared" ref="D123:H123" si="205">D122/D117</f>
        <v>5.8439230960610971</v>
      </c>
      <c r="E123" s="729">
        <f t="shared" si="205"/>
        <v>6.8415870025824246</v>
      </c>
      <c r="F123" s="729">
        <f t="shared" si="205"/>
        <v>8.019008837260218</v>
      </c>
      <c r="G123" s="730">
        <f t="shared" si="205"/>
        <v>9.2986218622907089</v>
      </c>
      <c r="H123" s="730">
        <f t="shared" si="205"/>
        <v>10.505051363246059</v>
      </c>
      <c r="J123" s="25" t="s">
        <v>1470</v>
      </c>
      <c r="K123" s="729">
        <f>K122/K117</f>
        <v>4.58711796792167</v>
      </c>
      <c r="L123" s="729">
        <f t="shared" ref="L123:O123" si="206">L122/L117</f>
        <v>8.1166336631672316</v>
      </c>
      <c r="M123" s="729">
        <f t="shared" si="206"/>
        <v>8.3327697909451892</v>
      </c>
      <c r="N123" s="729">
        <f t="shared" si="206"/>
        <v>9.0153747525729226</v>
      </c>
      <c r="O123" s="730">
        <f t="shared" si="206"/>
        <v>9.9587376641025696</v>
      </c>
    </row>
    <row r="124" spans="2:15" x14ac:dyDescent="0.45">
      <c r="J124" s="696"/>
      <c r="K124" s="696"/>
      <c r="L124" s="696"/>
      <c r="M124" s="696"/>
      <c r="N124" s="696"/>
      <c r="O124" s="696"/>
    </row>
    <row r="125" spans="2:15" x14ac:dyDescent="0.55000000000000004">
      <c r="B125" s="723" t="s">
        <v>1474</v>
      </c>
      <c r="C125" s="724">
        <f>C123-C120</f>
        <v>-2.3944646528497144</v>
      </c>
      <c r="D125" s="724">
        <f t="shared" ref="D125:G125" si="207">D123-D120</f>
        <v>-2.269874081636253</v>
      </c>
      <c r="E125" s="724">
        <f t="shared" si="207"/>
        <v>-1.4564161098025599</v>
      </c>
      <c r="F125" s="724">
        <f t="shared" si="207"/>
        <v>-0.93477880578523198</v>
      </c>
      <c r="G125" s="725">
        <f t="shared" si="207"/>
        <v>-0.45899765834932893</v>
      </c>
      <c r="H125" s="725">
        <f>H114-H69</f>
        <v>-0.14503038301652893</v>
      </c>
      <c r="J125" s="723" t="s">
        <v>1474</v>
      </c>
      <c r="K125" s="724">
        <f>K123-K120</f>
        <v>-3.5108853459009381E-3</v>
      </c>
      <c r="L125" s="724">
        <f t="shared" ref="L125:O125" si="208">L123-L120</f>
        <v>2.8364854698814668E-3</v>
      </c>
      <c r="M125" s="724">
        <f t="shared" si="208"/>
        <v>3.4766678560204767E-2</v>
      </c>
      <c r="N125" s="724">
        <f t="shared" si="208"/>
        <v>6.1587109527472705E-2</v>
      </c>
      <c r="O125" s="725">
        <f t="shared" si="208"/>
        <v>0.20111814346253176</v>
      </c>
    </row>
    <row r="126" spans="2:15" x14ac:dyDescent="0.55000000000000004">
      <c r="B126" s="720" t="s">
        <v>1473</v>
      </c>
      <c r="C126" s="721">
        <f>C125/C120</f>
        <v>-0.52159839738413061</v>
      </c>
      <c r="D126" s="721">
        <f t="shared" ref="D126:G126" si="209">D125/D120</f>
        <v>-0.2797548462112816</v>
      </c>
      <c r="E126" s="721">
        <f t="shared" si="209"/>
        <v>-0.17551404718429439</v>
      </c>
      <c r="F126" s="721">
        <f t="shared" si="209"/>
        <v>-0.10440037703052849</v>
      </c>
      <c r="G126" s="722">
        <f t="shared" si="209"/>
        <v>-4.7039921712301161E-2</v>
      </c>
      <c r="H126" s="722">
        <f>H125/H69</f>
        <v>-1.346907077499967E-2</v>
      </c>
      <c r="J126" s="720" t="s">
        <v>1477</v>
      </c>
      <c r="K126" s="721">
        <f>K125/K120</f>
        <v>-7.6479398751696506E-4</v>
      </c>
      <c r="L126" s="721">
        <f t="shared" ref="L126:O126" si="210">L125/L120</f>
        <v>3.4958791891892538E-4</v>
      </c>
      <c r="M126" s="721">
        <f t="shared" si="210"/>
        <v>4.1897644637315934E-3</v>
      </c>
      <c r="N126" s="721">
        <f t="shared" si="210"/>
        <v>6.8783303762300413E-3</v>
      </c>
      <c r="O126" s="722">
        <f t="shared" si="210"/>
        <v>2.0611394309555914E-2</v>
      </c>
    </row>
  </sheetData>
  <hyperlinks>
    <hyperlink ref="O11" r:id="rId1" xr:uid="{27714640-9A74-46E4-BA29-B87CC25C19FF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737B-634E-48A9-9314-C9CACCFF7B4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2116f0-a749-4dbd-a6c0-f771d8ea4ec9" xsi:nil="true"/>
    <lcf76f155ced4ddcb4097134ff3c332f xmlns="41ff2beb-1c03-40a9-abfc-913ce04fd00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D02952F17644DB1C8041DF225016C" ma:contentTypeVersion="12" ma:contentTypeDescription="Create a new document." ma:contentTypeScope="" ma:versionID="96606ef4132158f6ccbd01ef12b043ea">
  <xsd:schema xmlns:xsd="http://www.w3.org/2001/XMLSchema" xmlns:xs="http://www.w3.org/2001/XMLSchema" xmlns:p="http://schemas.microsoft.com/office/2006/metadata/properties" xmlns:ns2="41ff2beb-1c03-40a9-abfc-913ce04fd006" xmlns:ns3="062116f0-a749-4dbd-a6c0-f771d8ea4ec9" targetNamespace="http://schemas.microsoft.com/office/2006/metadata/properties" ma:root="true" ma:fieldsID="3be5b798379f8ade9e2511b38045756a" ns2:_="" ns3:_="">
    <xsd:import namespace="41ff2beb-1c03-40a9-abfc-913ce04fd006"/>
    <xsd:import namespace="062116f0-a749-4dbd-a6c0-f771d8ea4e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f2beb-1c03-40a9-abfc-913ce04fd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1d24526-0c59-460d-bfcc-f0c7522dbc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116f0-a749-4dbd-a6c0-f771d8ea4e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cd7e8f3-d5a9-4b3f-97af-a83c93c3d3df}" ma:internalName="TaxCatchAll" ma:showField="CatchAllData" ma:web="062116f0-a749-4dbd-a6c0-f771d8ea4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C64CC3-12AC-48F4-96FB-D4DF1C84FA6F}">
  <ds:schemaRefs>
    <ds:schemaRef ds:uri="http://schemas.microsoft.com/office/2006/metadata/properties"/>
    <ds:schemaRef ds:uri="http://schemas.microsoft.com/office/infopath/2007/PartnerControls"/>
    <ds:schemaRef ds:uri="062116f0-a749-4dbd-a6c0-f771d8ea4ec9"/>
    <ds:schemaRef ds:uri="41ff2beb-1c03-40a9-abfc-913ce04fd006"/>
  </ds:schemaRefs>
</ds:datastoreItem>
</file>

<file path=customXml/itemProps2.xml><?xml version="1.0" encoding="utf-8"?>
<ds:datastoreItem xmlns:ds="http://schemas.openxmlformats.org/officeDocument/2006/customXml" ds:itemID="{93E7F4DA-BFC5-4CB2-9A86-4812C134E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085F55-3BAB-4476-8699-8F5A6A26A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ff2beb-1c03-40a9-abfc-913ce04fd006"/>
    <ds:schemaRef ds:uri="062116f0-a749-4dbd-a6c0-f771d8ea4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10</vt:i4>
      </vt:variant>
    </vt:vector>
  </HeadingPairs>
  <TitlesOfParts>
    <vt:vector size="29" baseType="lpstr">
      <vt:lpstr>Trading Comps</vt:lpstr>
      <vt:lpstr>Vestas Input_morningstar</vt:lpstr>
      <vt:lpstr>Vestas_Pitchbooksum</vt:lpstr>
      <vt:lpstr>DCF-Vestas</vt:lpstr>
      <vt:lpstr>Vestas_Valuation Summary</vt:lpstr>
      <vt:lpstr>Vestas_Revenue Breakup</vt:lpstr>
      <vt:lpstr>Acq Feasibility</vt:lpstr>
      <vt:lpstr>Football feild chart_Vestas</vt:lpstr>
      <vt:lpstr>SIEVES_combined</vt:lpstr>
      <vt:lpstr>SIEVES_Synergies</vt:lpstr>
      <vt:lpstr>Synergies_Vestas</vt:lpstr>
      <vt:lpstr>Vestas Stock Price Movement</vt:lpstr>
      <vt:lpstr>DCF-Nuvve</vt:lpstr>
      <vt:lpstr>Nuvve_Valuation Summary</vt:lpstr>
      <vt:lpstr>NUVVE_BS</vt:lpstr>
      <vt:lpstr>NUVVE_IS</vt:lpstr>
      <vt:lpstr>NUVVE_CF</vt:lpstr>
      <vt:lpstr>Merger Model</vt:lpstr>
      <vt:lpstr>Sheet1</vt:lpstr>
      <vt:lpstr>CurrencyInput</vt:lpstr>
      <vt:lpstr>Vestas_Pitchbooksum!PreparedFor</vt:lpstr>
      <vt:lpstr>'DCF-Nuvve'!tgr</vt:lpstr>
      <vt:lpstr>tgr</vt:lpstr>
      <vt:lpstr>'DCF-Nuvve'!TGRR</vt:lpstr>
      <vt:lpstr>TGRR</vt:lpstr>
      <vt:lpstr>'DCF-Nuvve'!wacc</vt:lpstr>
      <vt:lpstr>wacc</vt:lpstr>
      <vt:lpstr>'DCF-Nuvve'!WACCC</vt:lpstr>
      <vt:lpstr>WACCC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Udasi</dc:creator>
  <cp:lastModifiedBy>Suraj Udasi</cp:lastModifiedBy>
  <dcterms:created xsi:type="dcterms:W3CDTF">2023-02-28T23:43:57Z</dcterms:created>
  <dcterms:modified xsi:type="dcterms:W3CDTF">2024-01-20T15:44:33Z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0x01010037BD02952F17644DB1C8041DF225016C</vt:lpwstr>
  </property>
  <property fmtid="{D5CDD505-2E9C-101B-9397-08002B2CF9AE}" pid="3" name="MediaServiceImageTags">
    <vt:lpwstr/>
  </property>
</Properties>
</file>