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iCloudDrive\Hult\5. GitHub\Finance\Bond_Pricing\"/>
    </mc:Choice>
  </mc:AlternateContent>
  <xr:revisionPtr revIDLastSave="0" documentId="13_ncr:1_{7BF7E566-AC07-43A3-BAA1-0DFB3D6F192B}" xr6:coauthVersionLast="47" xr6:coauthVersionMax="47" xr10:uidLastSave="{00000000-0000-0000-0000-000000000000}"/>
  <bookViews>
    <workbookView xWindow="-98" yWindow="-98" windowWidth="21795" windowHeight="13875" xr2:uid="{178032D1-9113-43DB-B84A-F2255042D9EC}"/>
  </bookViews>
  <sheets>
    <sheet name="Bond Basics" sheetId="4" r:id="rId1"/>
    <sheet name="Bond Pricing &amp; Yields" sheetId="1" r:id="rId2"/>
    <sheet name="STRIPS Bond" sheetId="5" r:id="rId3"/>
    <sheet name="Duration" sheetId="6" r:id="rId4"/>
    <sheet name="Convexity" sheetId="7" r:id="rId5"/>
  </sheets>
  <externalReferences>
    <externalReference r:id="rId6"/>
    <externalReference r:id="rId7"/>
  </externalReferences>
  <definedNames>
    <definedName name="coup" localSheetId="4">Convexity!#REF!</definedName>
    <definedName name="coup">[1]Convexity!$C$7</definedName>
    <definedName name="mat" localSheetId="4">Convexity!#REF!</definedName>
    <definedName name="mat">[1]Convexity!$C$9</definedName>
    <definedName name="price" localSheetId="4">Convexity!#REF!</definedName>
    <definedName name="price">[1]Convexity!$C$10</definedName>
    <definedName name="_xlnm.Print_Area" localSheetId="2">'STRIPS Bond'!$B$64:$V$64</definedName>
    <definedName name="Selling_Price">'[2]Base Case'!$B$11</definedName>
    <definedName name="taxtable">#REF!</definedName>
    <definedName name="Variable_Cost_per_unit">'[2]Base Case'!$B$12</definedName>
    <definedName name="ytm" localSheetId="4">Convexity!#REF!</definedName>
    <definedName name="ytm">[1]Convexity!$C$8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7" l="1"/>
  <c r="G34" i="6"/>
  <c r="G33" i="6"/>
  <c r="G62" i="5"/>
  <c r="G43" i="5"/>
  <c r="E43" i="5"/>
  <c r="C42" i="1"/>
  <c r="D42" i="1"/>
  <c r="D43" i="1"/>
  <c r="D31" i="1"/>
  <c r="E14" i="1"/>
  <c r="E13" i="1"/>
  <c r="E15" i="1" s="1"/>
  <c r="E12" i="1"/>
  <c r="C13" i="1"/>
  <c r="E16" i="1" l="1"/>
  <c r="F62" i="5" l="1"/>
  <c r="E62" i="5"/>
  <c r="F63" i="5"/>
  <c r="F43" i="5"/>
  <c r="C24" i="6"/>
  <c r="C7" i="7"/>
  <c r="F6" i="7"/>
  <c r="C27" i="6"/>
  <c r="C25" i="6"/>
  <c r="G45" i="5"/>
  <c r="G44" i="5"/>
  <c r="D45" i="5"/>
  <c r="D46" i="5" s="1"/>
  <c r="C12" i="1"/>
  <c r="D43" i="5"/>
  <c r="C44" i="5"/>
  <c r="I43" i="5"/>
  <c r="E64" i="5"/>
  <c r="E44" i="5" l="1"/>
  <c r="D12" i="5"/>
  <c r="D11" i="5"/>
  <c r="D30" i="5"/>
  <c r="F14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15" i="7"/>
  <c r="E16" i="7"/>
  <c r="E17" i="7"/>
  <c r="E18" i="7"/>
  <c r="E19" i="7"/>
  <c r="E20" i="7"/>
  <c r="E14" i="7"/>
  <c r="D41" i="7"/>
  <c r="D42" i="7"/>
  <c r="C45" i="6"/>
  <c r="D45" i="6"/>
  <c r="E45" i="6"/>
  <c r="F45" i="6"/>
  <c r="G45" i="6"/>
  <c r="C46" i="6"/>
  <c r="D46" i="6"/>
  <c r="E46" i="6"/>
  <c r="F46" i="6"/>
  <c r="G46" i="6"/>
  <c r="C47" i="6"/>
  <c r="D47" i="6"/>
  <c r="E47" i="6"/>
  <c r="F47" i="6"/>
  <c r="G47" i="6"/>
  <c r="C48" i="6"/>
  <c r="D48" i="6"/>
  <c r="E48" i="6"/>
  <c r="F48" i="6"/>
  <c r="G48" i="6"/>
  <c r="C44" i="6"/>
  <c r="D44" i="6"/>
  <c r="E44" i="6"/>
  <c r="F44" i="6"/>
  <c r="E18" i="6"/>
  <c r="E4" i="4"/>
  <c r="F5" i="7"/>
  <c r="C43" i="7"/>
  <c r="D43" i="7" s="1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14" i="7"/>
  <c r="D14" i="7" s="1"/>
  <c r="C10" i="7"/>
  <c r="F9" i="7" s="1"/>
  <c r="F18" i="6"/>
  <c r="G44" i="6"/>
  <c r="C26" i="6"/>
  <c r="C49" i="4"/>
  <c r="I44" i="5"/>
  <c r="I45" i="5"/>
  <c r="H45" i="6"/>
  <c r="G5" i="7"/>
  <c r="D19" i="6"/>
  <c r="I51" i="5"/>
  <c r="I46" i="5"/>
  <c r="G10" i="7"/>
  <c r="G7" i="7"/>
  <c r="H13" i="6"/>
  <c r="I49" i="5"/>
  <c r="H35" i="6"/>
  <c r="D25" i="6"/>
  <c r="N43" i="5"/>
  <c r="H14" i="7"/>
  <c r="L43" i="5"/>
  <c r="E5" i="6"/>
  <c r="G14" i="7"/>
  <c r="E12" i="6"/>
  <c r="D26" i="6"/>
  <c r="H48" i="6"/>
  <c r="G11" i="7"/>
  <c r="I47" i="5"/>
  <c r="D27" i="6"/>
  <c r="G6" i="7"/>
  <c r="I48" i="5"/>
  <c r="H44" i="6"/>
  <c r="G5" i="6"/>
  <c r="E20" i="6"/>
  <c r="G8" i="7"/>
  <c r="F5" i="6"/>
  <c r="H47" i="6"/>
  <c r="J43" i="5"/>
  <c r="H46" i="6"/>
  <c r="I50" i="5"/>
  <c r="D11" i="6"/>
  <c r="I14" i="7"/>
  <c r="I7" i="6"/>
  <c r="E11" i="5"/>
  <c r="J14" i="7"/>
  <c r="D24" i="6"/>
  <c r="F7" i="7" l="1"/>
  <c r="C43" i="5"/>
  <c r="E12" i="5"/>
  <c r="C31" i="1"/>
  <c r="E31" i="1"/>
  <c r="F12" i="5"/>
  <c r="D44" i="5" l="1"/>
  <c r="E42" i="1"/>
  <c r="E43" i="1"/>
  <c r="B15" i="7" l="1"/>
  <c r="C37" i="6"/>
  <c r="C36" i="6"/>
  <c r="C35" i="6"/>
  <c r="C34" i="6"/>
  <c r="C33" i="6"/>
  <c r="D18" i="6"/>
  <c r="F17" i="6"/>
  <c r="D17" i="6"/>
  <c r="F16" i="6"/>
  <c r="D16" i="6"/>
  <c r="F15" i="6"/>
  <c r="D15" i="6"/>
  <c r="E10" i="6"/>
  <c r="F10" i="6" s="1"/>
  <c r="D10" i="6"/>
  <c r="E9" i="6"/>
  <c r="F9" i="6" s="1"/>
  <c r="D9" i="6"/>
  <c r="E8" i="6"/>
  <c r="F8" i="6" s="1"/>
  <c r="D8" i="6"/>
  <c r="E7" i="6"/>
  <c r="F7" i="6" s="1"/>
  <c r="D7" i="6"/>
  <c r="C62" i="5"/>
  <c r="C40" i="5" s="1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O22" i="5"/>
  <c r="N22" i="5"/>
  <c r="M22" i="5"/>
  <c r="L22" i="5"/>
  <c r="K22" i="5"/>
  <c r="J22" i="5"/>
  <c r="I22" i="5"/>
  <c r="H22" i="5"/>
  <c r="G22" i="5"/>
  <c r="F22" i="5"/>
  <c r="E22" i="5"/>
  <c r="D22" i="5"/>
  <c r="N21" i="5"/>
  <c r="M21" i="5"/>
  <c r="L21" i="5"/>
  <c r="K21" i="5"/>
  <c r="J21" i="5"/>
  <c r="I21" i="5"/>
  <c r="H21" i="5"/>
  <c r="G21" i="5"/>
  <c r="F21" i="5"/>
  <c r="E21" i="5"/>
  <c r="D21" i="5"/>
  <c r="M20" i="5"/>
  <c r="L20" i="5"/>
  <c r="K20" i="5"/>
  <c r="J20" i="5"/>
  <c r="I20" i="5"/>
  <c r="H20" i="5"/>
  <c r="G20" i="5"/>
  <c r="F20" i="5"/>
  <c r="E20" i="5"/>
  <c r="D20" i="5"/>
  <c r="L19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I16" i="5"/>
  <c r="H16" i="5"/>
  <c r="G16" i="5"/>
  <c r="F16" i="5"/>
  <c r="E16" i="5"/>
  <c r="D16" i="5"/>
  <c r="H15" i="5"/>
  <c r="G15" i="5"/>
  <c r="F15" i="5"/>
  <c r="E15" i="5"/>
  <c r="D15" i="5"/>
  <c r="G14" i="5"/>
  <c r="F14" i="5"/>
  <c r="E14" i="5"/>
  <c r="D14" i="5"/>
  <c r="F13" i="5"/>
  <c r="E13" i="5"/>
  <c r="D13" i="5"/>
  <c r="I96" i="4"/>
  <c r="C99" i="4" s="1"/>
  <c r="H96" i="4"/>
  <c r="C96" i="4" s="1"/>
  <c r="H86" i="4"/>
  <c r="G85" i="4"/>
  <c r="C84" i="4"/>
  <c r="E74" i="4"/>
  <c r="H75" i="4" s="1"/>
  <c r="E69" i="4"/>
  <c r="H70" i="4" s="1"/>
  <c r="C62" i="4"/>
  <c r="E60" i="4"/>
  <c r="C59" i="4" s="1"/>
  <c r="H48" i="4"/>
  <c r="F49" i="4" s="1"/>
  <c r="E39" i="4"/>
  <c r="C36" i="4" s="1"/>
  <c r="G34" i="4"/>
  <c r="C34" i="4" s="1"/>
  <c r="G22" i="4"/>
  <c r="H23" i="4" s="1"/>
  <c r="G14" i="4"/>
  <c r="H15" i="4" s="1"/>
  <c r="C14" i="4" s="1"/>
  <c r="G10" i="4"/>
  <c r="H11" i="4" s="1"/>
  <c r="C10" i="4" s="1"/>
  <c r="C6" i="1"/>
  <c r="E6" i="1"/>
  <c r="E7" i="1"/>
  <c r="C7" i="1"/>
  <c r="G12" i="1"/>
  <c r="G13" i="1"/>
  <c r="G15" i="1" s="1"/>
  <c r="G14" i="1"/>
  <c r="H33" i="6"/>
  <c r="D33" i="6"/>
  <c r="D37" i="6"/>
  <c r="D14" i="4"/>
  <c r="D34" i="6"/>
  <c r="D48" i="4"/>
  <c r="D12" i="4"/>
  <c r="D6" i="1"/>
  <c r="D15" i="4"/>
  <c r="D62" i="4"/>
  <c r="D35" i="6"/>
  <c r="D22" i="4"/>
  <c r="D59" i="4"/>
  <c r="D16" i="4"/>
  <c r="D36" i="4"/>
  <c r="F6" i="1"/>
  <c r="D10" i="4"/>
  <c r="F7" i="1"/>
  <c r="D23" i="4"/>
  <c r="D36" i="6"/>
  <c r="D49" i="4"/>
  <c r="C70" i="4"/>
  <c r="D34" i="4"/>
  <c r="H34" i="6"/>
  <c r="D11" i="4"/>
  <c r="D21" i="4"/>
  <c r="D7" i="1"/>
  <c r="F50" i="4"/>
  <c r="D35" i="4"/>
  <c r="F55" i="5" l="1"/>
  <c r="F49" i="5"/>
  <c r="F57" i="5"/>
  <c r="F50" i="5"/>
  <c r="F61" i="5"/>
  <c r="F46" i="5"/>
  <c r="F58" i="5"/>
  <c r="F47" i="5"/>
  <c r="F51" i="5"/>
  <c r="F59" i="5"/>
  <c r="F48" i="5"/>
  <c r="F52" i="5"/>
  <c r="F56" i="5"/>
  <c r="F60" i="5"/>
  <c r="F45" i="5"/>
  <c r="F53" i="5"/>
  <c r="F44" i="5"/>
  <c r="F54" i="5"/>
  <c r="B16" i="7"/>
  <c r="D16" i="7" s="1"/>
  <c r="D15" i="7"/>
  <c r="F11" i="6"/>
  <c r="G7" i="6" s="1"/>
  <c r="F19" i="6"/>
  <c r="G19" i="6" s="1"/>
  <c r="G35" i="6"/>
  <c r="C14" i="1"/>
  <c r="G97" i="4"/>
  <c r="B17" i="7"/>
  <c r="D17" i="7" s="1"/>
  <c r="G11" i="6"/>
  <c r="H98" i="4"/>
  <c r="I98" i="4"/>
  <c r="I84" i="4" s="1"/>
  <c r="C69" i="4"/>
  <c r="C48" i="4"/>
  <c r="E35" i="4"/>
  <c r="C35" i="4" s="1"/>
  <c r="C22" i="4"/>
  <c r="C23" i="4" s="1"/>
  <c r="C21" i="4"/>
  <c r="C11" i="4"/>
  <c r="C12" i="4" s="1"/>
  <c r="C15" i="4"/>
  <c r="C16" i="4" s="1"/>
  <c r="G16" i="1"/>
  <c r="G16" i="6" l="1"/>
  <c r="H16" i="6" s="1"/>
  <c r="G18" i="6"/>
  <c r="H18" i="6" s="1"/>
  <c r="H19" i="6" s="1"/>
  <c r="H20" i="6" s="1"/>
  <c r="G17" i="6"/>
  <c r="H17" i="6" s="1"/>
  <c r="G15" i="6"/>
  <c r="H15" i="6" s="1"/>
  <c r="H7" i="6"/>
  <c r="G10" i="6"/>
  <c r="H10" i="6" s="1"/>
  <c r="G9" i="6"/>
  <c r="H9" i="6" s="1"/>
  <c r="G8" i="6"/>
  <c r="H8" i="6" s="1"/>
  <c r="C15" i="1"/>
  <c r="C16" i="1" s="1"/>
  <c r="F16" i="7"/>
  <c r="F15" i="7"/>
  <c r="B18" i="7"/>
  <c r="D18" i="7" s="1"/>
  <c r="C87" i="4"/>
  <c r="I86" i="4"/>
  <c r="G87" i="4" s="1"/>
  <c r="C90" i="4" s="1"/>
  <c r="G99" i="4"/>
  <c r="C102" i="4" s="1"/>
  <c r="G46" i="5" l="1"/>
  <c r="H11" i="6"/>
  <c r="F17" i="7"/>
  <c r="B19" i="7"/>
  <c r="D19" i="7" s="1"/>
  <c r="F18" i="7"/>
  <c r="H12" i="6" l="1"/>
  <c r="B20" i="7"/>
  <c r="D20" i="7" s="1"/>
  <c r="D47" i="5"/>
  <c r="G47" i="5" l="1"/>
  <c r="F19" i="7"/>
  <c r="B21" i="7"/>
  <c r="D21" i="7" s="1"/>
  <c r="D48" i="5"/>
  <c r="G48" i="5" l="1"/>
  <c r="B22" i="7"/>
  <c r="D22" i="7" s="1"/>
  <c r="F20" i="7"/>
  <c r="D49" i="5"/>
  <c r="G49" i="5" l="1"/>
  <c r="F21" i="7"/>
  <c r="B23" i="7"/>
  <c r="D23" i="7" s="1"/>
  <c r="D50" i="5"/>
  <c r="G50" i="5" l="1"/>
  <c r="F22" i="7"/>
  <c r="B24" i="7"/>
  <c r="D24" i="7" s="1"/>
  <c r="D51" i="5"/>
  <c r="G51" i="5" l="1"/>
  <c r="F23" i="7"/>
  <c r="B25" i="7"/>
  <c r="D25" i="7" s="1"/>
  <c r="D52" i="5"/>
  <c r="G52" i="5" l="1"/>
  <c r="F24" i="7"/>
  <c r="B26" i="7"/>
  <c r="D26" i="7" s="1"/>
  <c r="D53" i="5"/>
  <c r="G53" i="5" l="1"/>
  <c r="F25" i="7"/>
  <c r="B27" i="7"/>
  <c r="D27" i="7" s="1"/>
  <c r="D54" i="5"/>
  <c r="G54" i="5" l="1"/>
  <c r="F26" i="7"/>
  <c r="B28" i="7"/>
  <c r="D28" i="7" s="1"/>
  <c r="D55" i="5"/>
  <c r="G55" i="5" l="1"/>
  <c r="F27" i="7"/>
  <c r="B29" i="7"/>
  <c r="D29" i="7" s="1"/>
  <c r="D56" i="5"/>
  <c r="G56" i="5" l="1"/>
  <c r="F28" i="7"/>
  <c r="B30" i="7"/>
  <c r="D30" i="7" s="1"/>
  <c r="D57" i="5"/>
  <c r="G57" i="5" l="1"/>
  <c r="D58" i="5"/>
  <c r="F29" i="7"/>
  <c r="B31" i="7"/>
  <c r="D31" i="7" s="1"/>
  <c r="G58" i="5" l="1"/>
  <c r="D59" i="5"/>
  <c r="D60" i="5" s="1"/>
  <c r="F30" i="7"/>
  <c r="B32" i="7"/>
  <c r="D32" i="7" s="1"/>
  <c r="G60" i="5" l="1"/>
  <c r="G59" i="5"/>
  <c r="F31" i="7"/>
  <c r="B33" i="7"/>
  <c r="D33" i="7" s="1"/>
  <c r="D61" i="5"/>
  <c r="G61" i="5" l="1"/>
  <c r="D62" i="5"/>
  <c r="F32" i="7"/>
  <c r="B34" i="7"/>
  <c r="D34" i="7" s="1"/>
  <c r="B35" i="7" l="1"/>
  <c r="D35" i="7" s="1"/>
  <c r="F34" i="7"/>
  <c r="F33" i="7"/>
  <c r="G63" i="5"/>
  <c r="B36" i="7" l="1"/>
  <c r="D36" i="7" s="1"/>
  <c r="F35" i="7" l="1"/>
  <c r="B37" i="7"/>
  <c r="D37" i="7" s="1"/>
  <c r="F36" i="7"/>
  <c r="B38" i="7" l="1"/>
  <c r="D38" i="7" s="1"/>
  <c r="F37" i="7" l="1"/>
  <c r="B39" i="7"/>
  <c r="D39" i="7" s="1"/>
  <c r="F38" i="7"/>
  <c r="B40" i="7" l="1"/>
  <c r="D40" i="7" s="1"/>
  <c r="F39" i="7" l="1"/>
  <c r="B41" i="7"/>
  <c r="F40" i="7"/>
  <c r="B42" i="7" l="1"/>
  <c r="F41" i="7" l="1"/>
  <c r="B43" i="7"/>
  <c r="D44" i="7" s="1"/>
  <c r="F42" i="7" l="1"/>
  <c r="F43" i="7" l="1"/>
  <c r="F44" i="7" s="1"/>
  <c r="F10" i="7" s="1"/>
  <c r="F1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 Swensen</author>
  </authors>
  <commentList>
    <comment ref="C6" authorId="0" shapeId="0" xr:uid="{A603C21E-5482-AE4F-8410-4780D484CE83}">
      <text>
        <r>
          <rPr>
            <b/>
            <sz val="8"/>
            <color rgb="FF000000"/>
            <rFont val="Tahoma"/>
            <family val="2"/>
          </rPr>
          <t xml:space="preserve">Enter par value
</t>
        </r>
        <r>
          <rPr>
            <b/>
            <sz val="8"/>
            <color rgb="FF000000"/>
            <rFont val="Tahoma"/>
            <family val="2"/>
          </rPr>
          <t>of coupon bonds</t>
        </r>
      </text>
    </comment>
    <comment ref="C10" authorId="0" shapeId="0" xr:uid="{DAA11F3B-BAD2-014E-869B-64C0ACE9859F}">
      <text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u/>
            <sz val="8"/>
            <color rgb="FF000000"/>
            <rFont val="Tahoma"/>
            <family val="2"/>
          </rPr>
          <t>Current Coupon Yield Curve</t>
        </r>
        <r>
          <rPr>
            <b/>
            <sz val="8"/>
            <color rgb="FF000000"/>
            <rFont val="Tahoma"/>
            <family val="2"/>
          </rPr>
          <t xml:space="preserve">:
</t>
        </r>
        <r>
          <rPr>
            <b/>
            <sz val="8"/>
            <color rgb="FF000000"/>
            <rFont val="Tahoma"/>
            <family val="2"/>
          </rPr>
          <t xml:space="preserve">The coupon rates entered in this column
</t>
        </r>
        <r>
          <rPr>
            <b/>
            <sz val="8"/>
            <color rgb="FF000000"/>
            <rFont val="Tahoma"/>
            <family val="2"/>
          </rPr>
          <t xml:space="preserve">are for bonds of varying maturities
</t>
        </r>
        <r>
          <rPr>
            <b/>
            <sz val="8"/>
            <color rgb="FF000000"/>
            <rFont val="Tahoma"/>
            <family val="2"/>
          </rPr>
          <t xml:space="preserve">that currently sell at par value.  </t>
        </r>
      </text>
    </comment>
    <comment ref="B11" authorId="0" shapeId="0" xr:uid="{84EFF5BC-2D0B-8242-9BC2-11BD03CEE031}">
      <text>
        <r>
          <rPr>
            <b/>
            <sz val="8"/>
            <color rgb="FF000000"/>
            <rFont val="Tahoma"/>
            <family val="2"/>
          </rPr>
          <t xml:space="preserve">Enter time to maturity
</t>
        </r>
        <r>
          <rPr>
            <b/>
            <sz val="8"/>
            <color rgb="FF000000"/>
            <rFont val="Tahoma"/>
            <family val="2"/>
          </rPr>
          <t>for each coupon bond</t>
        </r>
      </text>
    </comment>
    <comment ref="C11" authorId="0" shapeId="0" xr:uid="{48D2CECE-518D-8F45-A52F-B72184DAAD5F}">
      <text>
        <r>
          <rPr>
            <b/>
            <sz val="8"/>
            <color rgb="FF000000"/>
            <rFont val="Tahoma"/>
            <family val="2"/>
          </rPr>
          <t xml:space="preserve">Enter coupon rate for
</t>
        </r>
        <r>
          <rPr>
            <b/>
            <sz val="8"/>
            <color rgb="FF000000"/>
            <rFont val="Tahoma"/>
            <family val="2"/>
          </rPr>
          <t xml:space="preserve">one-year bond selling at par value
</t>
        </r>
        <r>
          <rPr>
            <b/>
            <sz val="8"/>
            <color rgb="FF000000"/>
            <rFont val="Tahoma"/>
            <family val="2"/>
          </rPr>
          <t xml:space="preserve">(Note: since the bond is selling at par,
</t>
        </r>
        <r>
          <rPr>
            <b/>
            <sz val="8"/>
            <color rgb="FF000000"/>
            <rFont val="Tahoma"/>
            <family val="2"/>
          </rPr>
          <t>Coupon Rate = Yield to Maturity)</t>
        </r>
      </text>
    </comment>
    <comment ref="D11" authorId="0" shapeId="0" xr:uid="{5C37D5FD-5CD1-1A4F-A520-0A8BA5A2A291}">
      <text>
        <r>
          <rPr>
            <b/>
            <sz val="8"/>
            <color rgb="FF000000"/>
            <rFont val="Tahoma"/>
            <family val="2"/>
          </rPr>
          <t xml:space="preserve">Calculates cash flows for
</t>
        </r>
        <r>
          <rPr>
            <b/>
            <sz val="8"/>
            <color rgb="FF000000"/>
            <rFont val="Tahoma"/>
            <family val="2"/>
          </rPr>
          <t xml:space="preserve">one-year coupon bond in this row: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1</t>
        </r>
        <r>
          <rPr>
            <b/>
            <sz val="8"/>
            <color rgb="FF000000"/>
            <rFont val="Tahoma"/>
            <family val="2"/>
          </rPr>
          <t xml:space="preserve"> = Coupon interest plus par value</t>
        </r>
      </text>
    </comment>
    <comment ref="C12" authorId="0" shapeId="0" xr:uid="{BD7421A0-C558-D64B-958D-056AE64E7D6E}">
      <text>
        <r>
          <rPr>
            <b/>
            <sz val="8"/>
            <color rgb="FF000000"/>
            <rFont val="Tahoma"/>
            <family val="2"/>
          </rPr>
          <t xml:space="preserve">Enter coupon rate for
</t>
        </r>
        <r>
          <rPr>
            <b/>
            <sz val="8"/>
            <color rgb="FF000000"/>
            <rFont val="Tahoma"/>
            <family val="2"/>
          </rPr>
          <t xml:space="preserve">two-year bond selling at par value
</t>
        </r>
        <r>
          <rPr>
            <b/>
            <sz val="8"/>
            <color rgb="FF000000"/>
            <rFont val="Tahoma"/>
            <family val="2"/>
          </rPr>
          <t xml:space="preserve">(Note: since the bond is selling at par,
</t>
        </r>
        <r>
          <rPr>
            <b/>
            <sz val="8"/>
            <color rgb="FF000000"/>
            <rFont val="Tahoma"/>
            <family val="2"/>
          </rPr>
          <t>Coupon Rate = Yield to Maturity)</t>
        </r>
      </text>
    </comment>
    <comment ref="D12" authorId="0" shapeId="0" xr:uid="{A3F40EBD-67E8-2B40-9F9B-37F57DE875B3}">
      <text>
        <r>
          <rPr>
            <b/>
            <sz val="8"/>
            <color rgb="FF000000"/>
            <rFont val="Tahoma"/>
            <family val="2"/>
          </rPr>
          <t xml:space="preserve">Calculates cash flows for
</t>
        </r>
        <r>
          <rPr>
            <b/>
            <sz val="8"/>
            <color rgb="FF000000"/>
            <rFont val="Tahoma"/>
            <family val="2"/>
          </rPr>
          <t xml:space="preserve">two-year coupon bond in this row: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1</t>
        </r>
        <r>
          <rPr>
            <b/>
            <sz val="8"/>
            <color rgb="FF000000"/>
            <rFont val="Tahoma"/>
            <family val="2"/>
          </rPr>
          <t xml:space="preserve"> = Coupon interest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2</t>
        </r>
        <r>
          <rPr>
            <b/>
            <sz val="8"/>
            <color rgb="FF000000"/>
            <rFont val="Tahoma"/>
            <family val="2"/>
          </rPr>
          <t xml:space="preserve"> = Coupon interest plus par value</t>
        </r>
      </text>
    </comment>
    <comment ref="C13" authorId="0" shapeId="0" xr:uid="{8F22CE15-E218-FA49-8F96-8C728E078BAE}">
      <text>
        <r>
          <rPr>
            <b/>
            <sz val="8"/>
            <color rgb="FF000000"/>
            <rFont val="Tahoma"/>
            <family val="2"/>
          </rPr>
          <t xml:space="preserve">Enter coupon rate for
</t>
        </r>
        <r>
          <rPr>
            <b/>
            <sz val="8"/>
            <color rgb="FF000000"/>
            <rFont val="Tahoma"/>
            <family val="2"/>
          </rPr>
          <t xml:space="preserve">three-year bond selling at par value
</t>
        </r>
        <r>
          <rPr>
            <b/>
            <sz val="8"/>
            <color rgb="FF000000"/>
            <rFont val="Tahoma"/>
            <family val="2"/>
          </rPr>
          <t xml:space="preserve">(Note: since the bond is selling at par,
</t>
        </r>
        <r>
          <rPr>
            <b/>
            <sz val="8"/>
            <color rgb="FF000000"/>
            <rFont val="Tahoma"/>
            <family val="2"/>
          </rPr>
          <t>Coupon Rate = Yield to Maturity)</t>
        </r>
      </text>
    </comment>
    <comment ref="D13" authorId="0" shapeId="0" xr:uid="{551EEEDA-8074-034D-80B9-162699402D21}">
      <text>
        <r>
          <rPr>
            <b/>
            <sz val="8"/>
            <color rgb="FF000000"/>
            <rFont val="Tahoma"/>
            <family val="2"/>
          </rPr>
          <t xml:space="preserve">Calculates cash flows for
</t>
        </r>
        <r>
          <rPr>
            <b/>
            <sz val="8"/>
            <color rgb="FF000000"/>
            <rFont val="Tahoma"/>
            <family val="2"/>
          </rPr>
          <t xml:space="preserve">three-year coupon bond in this row: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1</t>
        </r>
        <r>
          <rPr>
            <b/>
            <sz val="8"/>
            <color rgb="FF000000"/>
            <rFont val="Tahoma"/>
            <family val="2"/>
          </rPr>
          <t xml:space="preserve"> = Coupon interest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2</t>
        </r>
        <r>
          <rPr>
            <b/>
            <sz val="8"/>
            <color rgb="FF000000"/>
            <rFont val="Tahoma"/>
            <family val="2"/>
          </rPr>
          <t xml:space="preserve"> = Coupon interest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 xml:space="preserve">3 </t>
        </r>
        <r>
          <rPr>
            <b/>
            <sz val="8"/>
            <color rgb="FF000000"/>
            <rFont val="Tahoma"/>
            <family val="2"/>
          </rPr>
          <t>= Coupon interest plus par value</t>
        </r>
      </text>
    </comment>
    <comment ref="C14" authorId="0" shapeId="0" xr:uid="{89CE4DC9-9BD4-1849-A25E-EC215DBE8926}">
      <text>
        <r>
          <rPr>
            <b/>
            <sz val="8"/>
            <color rgb="FF000000"/>
            <rFont val="Tahoma"/>
            <family val="2"/>
          </rPr>
          <t xml:space="preserve">Enter coupon rate for
</t>
        </r>
        <r>
          <rPr>
            <b/>
            <sz val="8"/>
            <color rgb="FF000000"/>
            <rFont val="Tahoma"/>
            <family val="2"/>
          </rPr>
          <t xml:space="preserve">four-year bond selling at par value
</t>
        </r>
        <r>
          <rPr>
            <b/>
            <sz val="8"/>
            <color rgb="FF000000"/>
            <rFont val="Tahoma"/>
            <family val="2"/>
          </rPr>
          <t xml:space="preserve">(Note: since the bond is selling at par,
</t>
        </r>
        <r>
          <rPr>
            <b/>
            <sz val="8"/>
            <color rgb="FF000000"/>
            <rFont val="Tahoma"/>
            <family val="2"/>
          </rPr>
          <t>Coupon Rate = Yield to Maturity)</t>
        </r>
      </text>
    </comment>
    <comment ref="D14" authorId="0" shapeId="0" xr:uid="{3000395F-1E72-DD4F-8108-3E8ABE3AD8FA}">
      <text>
        <r>
          <rPr>
            <b/>
            <sz val="8"/>
            <color rgb="FF000000"/>
            <rFont val="Tahoma"/>
            <family val="2"/>
          </rPr>
          <t xml:space="preserve">Calculates cash flows for
</t>
        </r>
        <r>
          <rPr>
            <b/>
            <sz val="8"/>
            <color rgb="FF000000"/>
            <rFont val="Tahoma"/>
            <family val="2"/>
          </rPr>
          <t xml:space="preserve">four-year coupon bond in this row: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1</t>
        </r>
        <r>
          <rPr>
            <b/>
            <sz val="8"/>
            <color rgb="FF000000"/>
            <rFont val="Tahoma"/>
            <family val="2"/>
          </rPr>
          <t xml:space="preserve"> = Coupon interest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2</t>
        </r>
        <r>
          <rPr>
            <b/>
            <sz val="8"/>
            <color rgb="FF000000"/>
            <rFont val="Tahoma"/>
            <family val="2"/>
          </rPr>
          <t xml:space="preserve"> = Coupon interest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3</t>
        </r>
        <r>
          <rPr>
            <b/>
            <sz val="8"/>
            <color rgb="FF000000"/>
            <rFont val="Tahoma"/>
            <family val="2"/>
          </rPr>
          <t xml:space="preserve"> = Coupon interest
</t>
        </r>
        <r>
          <rPr>
            <b/>
            <sz val="8"/>
            <color rgb="FF000000"/>
            <rFont val="Tahoma"/>
            <family val="2"/>
          </rPr>
          <t>CF</t>
        </r>
        <r>
          <rPr>
            <b/>
            <vertAlign val="subscript"/>
            <sz val="8"/>
            <color rgb="FF000000"/>
            <rFont val="Tahoma"/>
            <family val="2"/>
          </rPr>
          <t>4</t>
        </r>
        <r>
          <rPr>
            <b/>
            <sz val="8"/>
            <color rgb="FF000000"/>
            <rFont val="Tahoma"/>
            <family val="2"/>
          </rPr>
          <t xml:space="preserve"> = Coupon interest plus par value</t>
        </r>
      </text>
    </comment>
    <comment ref="C37" authorId="0" shapeId="0" xr:uid="{1A3E068F-9C0F-354A-A32F-6690AF21E4DB}">
      <text>
        <r>
          <rPr>
            <b/>
            <sz val="8"/>
            <color rgb="FF000000"/>
            <rFont val="Tahoma"/>
            <family val="2"/>
          </rPr>
          <t xml:space="preserve">Enter coupon rate
</t>
        </r>
        <r>
          <rPr>
            <b/>
            <sz val="8"/>
            <color rgb="FF000000"/>
            <rFont val="Tahoma"/>
            <family val="2"/>
          </rPr>
          <t>for sample bond</t>
        </r>
      </text>
    </comment>
    <comment ref="C38" authorId="0" shapeId="0" xr:uid="{9ECB3A02-CE39-DE43-AC5E-2186812CF304}">
      <text>
        <r>
          <rPr>
            <b/>
            <sz val="8"/>
            <color rgb="FF000000"/>
            <rFont val="Tahoma"/>
            <family val="2"/>
          </rPr>
          <t xml:space="preserve">Enter term to maturity
</t>
        </r>
        <r>
          <rPr>
            <b/>
            <sz val="8"/>
            <color rgb="FF000000"/>
            <rFont val="Tahoma"/>
            <family val="2"/>
          </rPr>
          <t>for sample bond</t>
        </r>
      </text>
    </comment>
    <comment ref="C39" authorId="0" shapeId="0" xr:uid="{AB855793-7889-4942-A013-53D10E70BAD7}">
      <text>
        <r>
          <rPr>
            <b/>
            <sz val="8"/>
            <color rgb="FF000000"/>
            <rFont val="Tahoma"/>
            <family val="2"/>
          </rPr>
          <t xml:space="preserve">Enter par value
</t>
        </r>
        <r>
          <rPr>
            <b/>
            <sz val="8"/>
            <color rgb="FF000000"/>
            <rFont val="Tahoma"/>
            <family val="2"/>
          </rPr>
          <t>for sample bond</t>
        </r>
      </text>
    </comment>
    <comment ref="D42" authorId="0" shapeId="0" xr:uid="{8765AD20-A3D6-9C4F-BE2F-B2F059933155}">
      <text>
        <r>
          <rPr>
            <b/>
            <sz val="8"/>
            <color rgb="FF000000"/>
            <rFont val="Tahoma"/>
            <family val="2"/>
          </rPr>
          <t xml:space="preserve">Spot rates are calculated in this column
</t>
        </r>
        <r>
          <rPr>
            <b/>
            <sz val="8"/>
            <color rgb="FF000000"/>
            <rFont val="Tahoma"/>
            <family val="2"/>
          </rPr>
          <t xml:space="preserve">based on the yields and cash flows
</t>
        </r>
        <r>
          <rPr>
            <b/>
            <sz val="8"/>
            <color rgb="FF000000"/>
            <rFont val="Tahoma"/>
            <family val="2"/>
          </rPr>
          <t>for the par value coupon bonds above.</t>
        </r>
      </text>
    </comment>
    <comment ref="D43" authorId="0" shapeId="0" xr:uid="{035AE58F-5A7A-4545-A437-82B078590618}">
      <text>
        <r>
          <rPr>
            <b/>
            <sz val="8"/>
            <color rgb="FF000000"/>
            <rFont val="Tahoma"/>
            <family val="2"/>
          </rPr>
          <t xml:space="preserve">Calculates one-year spot rate:
</t>
        </r>
        <r>
          <rPr>
            <b/>
            <sz val="8"/>
            <color rgb="FF000000"/>
            <rFont val="Tahoma"/>
            <family val="2"/>
          </rPr>
          <t>equal to YTM for one-year coupon bond</t>
        </r>
      </text>
    </comment>
    <comment ref="E43" authorId="0" shapeId="0" xr:uid="{49C66962-1D4A-4A4D-85AD-B89B899053C3}">
      <text>
        <r>
          <rPr>
            <b/>
            <sz val="8"/>
            <color rgb="FF000000"/>
            <rFont val="Tahoma"/>
            <family val="2"/>
          </rPr>
          <t>Calculates CF</t>
        </r>
        <r>
          <rPr>
            <b/>
            <vertAlign val="subscript"/>
            <sz val="8"/>
            <color rgb="FF000000"/>
            <rFont val="Tahoma"/>
            <family val="2"/>
          </rPr>
          <t>1</t>
        </r>
        <r>
          <rPr>
            <b/>
            <sz val="8"/>
            <color rgb="FF000000"/>
            <rFont val="Tahoma"/>
            <family val="2"/>
          </rPr>
          <t xml:space="preserve"> for sample bond:
</t>
        </r>
        <r>
          <rPr>
            <b/>
            <sz val="8"/>
            <color rgb="FF000000"/>
            <rFont val="Tahoma"/>
            <family val="2"/>
          </rPr>
          <t>coupon rate times par value</t>
        </r>
      </text>
    </comment>
    <comment ref="F43" authorId="0" shapeId="0" xr:uid="{8F62CB54-3A5A-B245-9A47-2AF5482662E4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>1</t>
        </r>
        <r>
          <rPr>
            <b/>
            <sz val="8"/>
            <color rgb="FF000000"/>
            <rFont val="Tahoma"/>
            <family val="2"/>
          </rPr>
          <t xml:space="preserve">  by discounting
</t>
        </r>
        <r>
          <rPr>
            <b/>
            <sz val="8"/>
            <color rgb="FF000000"/>
            <rFont val="Tahoma"/>
            <family val="2"/>
          </rPr>
          <t xml:space="preserve">at the yield to maturity </t>
        </r>
      </text>
    </comment>
    <comment ref="G43" authorId="0" shapeId="0" xr:uid="{6AE65521-1C0C-224B-B294-F2C32034891D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 xml:space="preserve">1  </t>
        </r>
        <r>
          <rPr>
            <b/>
            <sz val="8"/>
            <color rgb="FF000000"/>
            <rFont val="Tahoma"/>
            <family val="2"/>
          </rPr>
          <t xml:space="preserve">by discounting
</t>
        </r>
        <r>
          <rPr>
            <b/>
            <sz val="8"/>
            <color rgb="FF000000"/>
            <rFont val="Tahoma"/>
            <family val="2"/>
          </rPr>
          <t>at the appropriate one-year spot rate</t>
        </r>
      </text>
    </comment>
    <comment ref="D44" authorId="0" shapeId="0" xr:uid="{49BA9AF3-3552-0545-9A13-9A4CF6AF3419}">
      <text>
        <r>
          <rPr>
            <b/>
            <sz val="8"/>
            <color rgb="FF000000"/>
            <rFont val="Tahoma"/>
            <family val="2"/>
          </rPr>
          <t xml:space="preserve">Calculates two-year spot rate
</t>
        </r>
        <r>
          <rPr>
            <b/>
            <sz val="8"/>
            <color rgb="FF000000"/>
            <rFont val="Tahoma"/>
            <family val="2"/>
          </rPr>
          <t xml:space="preserve">using yield &amp; cash flows for two-year par bond
</t>
        </r>
        <r>
          <rPr>
            <b/>
            <sz val="8"/>
            <color rgb="FF000000"/>
            <rFont val="Tahoma"/>
            <family val="2"/>
          </rPr>
          <t>and one-year spot rate</t>
        </r>
      </text>
    </comment>
    <comment ref="E44" authorId="0" shapeId="0" xr:uid="{94000A7B-DA9F-EB40-9334-31CAF0E9C6D4}">
      <text>
        <r>
          <rPr>
            <b/>
            <sz val="8"/>
            <color rgb="FF000000"/>
            <rFont val="Tahoma"/>
            <family val="2"/>
          </rPr>
          <t>Calculates CF</t>
        </r>
        <r>
          <rPr>
            <b/>
            <vertAlign val="subscript"/>
            <sz val="8"/>
            <color rgb="FF000000"/>
            <rFont val="Tahoma"/>
            <family val="2"/>
          </rPr>
          <t>2</t>
        </r>
        <r>
          <rPr>
            <b/>
            <sz val="8"/>
            <color rgb="FF000000"/>
            <rFont val="Tahoma"/>
            <family val="2"/>
          </rPr>
          <t xml:space="preserve"> for sample bond:
</t>
        </r>
        <r>
          <rPr>
            <b/>
            <sz val="8"/>
            <color rgb="FF000000"/>
            <rFont val="Tahoma"/>
            <family val="2"/>
          </rPr>
          <t>coupon rate times par value</t>
        </r>
      </text>
    </comment>
    <comment ref="F44" authorId="0" shapeId="0" xr:uid="{600FE6DF-7414-D449-8A80-032064522883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>2</t>
        </r>
        <r>
          <rPr>
            <b/>
            <sz val="8"/>
            <color rgb="FF000000"/>
            <rFont val="Tahoma"/>
            <family val="2"/>
          </rPr>
          <t xml:space="preserve">  by discounting
</t>
        </r>
        <r>
          <rPr>
            <b/>
            <sz val="8"/>
            <color rgb="FF000000"/>
            <rFont val="Tahoma"/>
            <family val="2"/>
          </rPr>
          <t>at the yield to maturity</t>
        </r>
      </text>
    </comment>
    <comment ref="G44" authorId="0" shapeId="0" xr:uid="{B0AF782C-6BEB-D94A-822F-6BBA6F1BF385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 xml:space="preserve">2  </t>
        </r>
        <r>
          <rPr>
            <b/>
            <sz val="8"/>
            <color rgb="FF000000"/>
            <rFont val="Tahoma"/>
            <family val="2"/>
          </rPr>
          <t xml:space="preserve">by discounting
</t>
        </r>
        <r>
          <rPr>
            <b/>
            <sz val="8"/>
            <color rgb="FF000000"/>
            <rFont val="Tahoma"/>
            <family val="2"/>
          </rPr>
          <t>at the appropriate two-year spot rate</t>
        </r>
      </text>
    </comment>
    <comment ref="D45" authorId="0" shapeId="0" xr:uid="{8ABFE8A5-5B1B-2B48-A345-3B9EA313B9FB}">
      <text>
        <r>
          <rPr>
            <b/>
            <sz val="8"/>
            <color rgb="FF000000"/>
            <rFont val="Tahoma"/>
            <family val="2"/>
          </rPr>
          <t xml:space="preserve">Calculates three-year spot rate
</t>
        </r>
        <r>
          <rPr>
            <b/>
            <sz val="8"/>
            <color rgb="FF000000"/>
            <rFont val="Tahoma"/>
            <family val="2"/>
          </rPr>
          <t xml:space="preserve">using yield &amp; cash flows for three-year par bond,
</t>
        </r>
        <r>
          <rPr>
            <b/>
            <sz val="8"/>
            <color rgb="FF000000"/>
            <rFont val="Tahoma"/>
            <family val="2"/>
          </rPr>
          <t>one-year spot rate and two-year spot rate</t>
        </r>
      </text>
    </comment>
    <comment ref="E45" authorId="0" shapeId="0" xr:uid="{F489A131-4D14-344F-AE11-A672D8E9DF4B}">
      <text>
        <r>
          <rPr>
            <b/>
            <sz val="8"/>
            <color rgb="FF000000"/>
            <rFont val="Tahoma"/>
            <family val="2"/>
          </rPr>
          <t>Calculates CF</t>
        </r>
        <r>
          <rPr>
            <b/>
            <vertAlign val="subscript"/>
            <sz val="8"/>
            <color rgb="FF000000"/>
            <rFont val="Tahoma"/>
            <family val="2"/>
          </rPr>
          <t>3</t>
        </r>
        <r>
          <rPr>
            <b/>
            <sz val="8"/>
            <color rgb="FF000000"/>
            <rFont val="Tahoma"/>
            <family val="2"/>
          </rPr>
          <t xml:space="preserve"> for sample bond:
</t>
        </r>
        <r>
          <rPr>
            <b/>
            <sz val="8"/>
            <color rgb="FF000000"/>
            <rFont val="Tahoma"/>
            <family val="2"/>
          </rPr>
          <t>coupon rate times par value</t>
        </r>
      </text>
    </comment>
    <comment ref="F45" authorId="0" shapeId="0" xr:uid="{2C670A78-C8BE-6B4A-8BC0-C5FB978E8F41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>3</t>
        </r>
        <r>
          <rPr>
            <b/>
            <sz val="8"/>
            <color rgb="FF000000"/>
            <rFont val="Tahoma"/>
            <family val="2"/>
          </rPr>
          <t xml:space="preserve">  by discounting
</t>
        </r>
        <r>
          <rPr>
            <b/>
            <sz val="8"/>
            <color rgb="FF000000"/>
            <rFont val="Tahoma"/>
            <family val="2"/>
          </rPr>
          <t>at the yield to maturity</t>
        </r>
      </text>
    </comment>
    <comment ref="G45" authorId="0" shapeId="0" xr:uid="{27375DCE-9D50-1C45-BB99-4F1AA6AC1504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 xml:space="preserve">3  </t>
        </r>
        <r>
          <rPr>
            <b/>
            <sz val="8"/>
            <color rgb="FF000000"/>
            <rFont val="Tahoma"/>
            <family val="2"/>
          </rPr>
          <t xml:space="preserve">by discounting
</t>
        </r>
        <r>
          <rPr>
            <b/>
            <sz val="8"/>
            <color rgb="FF000000"/>
            <rFont val="Tahoma"/>
            <family val="2"/>
          </rPr>
          <t>at the appropriate three-year spot rate</t>
        </r>
      </text>
    </comment>
    <comment ref="D46" authorId="0" shapeId="0" xr:uid="{0C72228C-BBC9-B344-B9AC-A389F8ACC311}">
      <text>
        <r>
          <rPr>
            <b/>
            <sz val="8"/>
            <color rgb="FF000000"/>
            <rFont val="Tahoma"/>
            <family val="2"/>
          </rPr>
          <t xml:space="preserve">Calculates four-year spot rate
</t>
        </r>
        <r>
          <rPr>
            <b/>
            <sz val="8"/>
            <color rgb="FF000000"/>
            <rFont val="Tahoma"/>
            <family val="2"/>
          </rPr>
          <t xml:space="preserve">using yield &amp; cash flows for four-year par bond,
</t>
        </r>
        <r>
          <rPr>
            <b/>
            <sz val="8"/>
            <color rgb="FF000000"/>
            <rFont val="Tahoma"/>
            <family val="2"/>
          </rPr>
          <t>and one-year, two-year and three-year spot rates</t>
        </r>
      </text>
    </comment>
    <comment ref="E62" authorId="0" shapeId="0" xr:uid="{37F3A272-FEC2-3F47-9C8E-B1DD9566F0C4}">
      <text>
        <r>
          <rPr>
            <b/>
            <sz val="8"/>
            <color rgb="FF000000"/>
            <rFont val="Tahoma"/>
            <family val="2"/>
          </rPr>
          <t>Calculates CF</t>
        </r>
        <r>
          <rPr>
            <b/>
            <vertAlign val="subscript"/>
            <sz val="8"/>
            <color rgb="FF000000"/>
            <rFont val="Tahoma"/>
            <family val="2"/>
          </rPr>
          <t>20</t>
        </r>
        <r>
          <rPr>
            <b/>
            <sz val="8"/>
            <color rgb="FF000000"/>
            <rFont val="Tahoma"/>
            <family val="2"/>
          </rPr>
          <t xml:space="preserve"> for sample bond:
</t>
        </r>
        <r>
          <rPr>
            <b/>
            <sz val="8"/>
            <color rgb="FF000000"/>
            <rFont val="Tahoma"/>
            <family val="2"/>
          </rPr>
          <t xml:space="preserve">(coupon rate times par value)
</t>
        </r>
        <r>
          <rPr>
            <b/>
            <sz val="8"/>
            <color rgb="FF000000"/>
            <rFont val="Tahoma"/>
            <family val="2"/>
          </rPr>
          <t xml:space="preserve">plus
</t>
        </r>
        <r>
          <rPr>
            <b/>
            <sz val="8"/>
            <color rgb="FF000000"/>
            <rFont val="Tahoma"/>
            <family val="2"/>
          </rPr>
          <t>(par value)</t>
        </r>
      </text>
    </comment>
    <comment ref="F62" authorId="0" shapeId="0" xr:uid="{0424B845-2FF8-8749-A6A6-10642A79FC71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>20</t>
        </r>
        <r>
          <rPr>
            <b/>
            <sz val="8"/>
            <color rgb="FF000000"/>
            <rFont val="Tahoma"/>
            <family val="2"/>
          </rPr>
          <t xml:space="preserve">  by discounting
</t>
        </r>
        <r>
          <rPr>
            <b/>
            <sz val="8"/>
            <color rgb="FF000000"/>
            <rFont val="Tahoma"/>
            <family val="2"/>
          </rPr>
          <t xml:space="preserve">at the yield to maturity </t>
        </r>
      </text>
    </comment>
    <comment ref="G62" authorId="0" shapeId="0" xr:uid="{C138122C-0FDE-B140-9FC4-FB55E52C847A}">
      <text>
        <r>
          <rPr>
            <b/>
            <sz val="8"/>
            <color rgb="FF000000"/>
            <rFont val="Tahoma"/>
            <family val="2"/>
          </rPr>
          <t>Calculates present value of CF</t>
        </r>
        <r>
          <rPr>
            <b/>
            <vertAlign val="subscript"/>
            <sz val="8"/>
            <color rgb="FF000000"/>
            <rFont val="Tahoma"/>
            <family val="2"/>
          </rPr>
          <t xml:space="preserve">20  </t>
        </r>
        <r>
          <rPr>
            <b/>
            <sz val="8"/>
            <color rgb="FF000000"/>
            <rFont val="Tahoma"/>
            <family val="2"/>
          </rPr>
          <t xml:space="preserve">by discounting
</t>
        </r>
        <r>
          <rPr>
            <b/>
            <sz val="8"/>
            <color rgb="FF000000"/>
            <rFont val="Tahoma"/>
            <family val="2"/>
          </rPr>
          <t>at the appropriate twenty-year spot rate</t>
        </r>
      </text>
    </comment>
    <comment ref="F63" authorId="0" shapeId="0" xr:uid="{CED391C4-93D5-5E4F-8E53-8F284352B92D}">
      <text>
        <r>
          <rPr>
            <b/>
            <sz val="8"/>
            <color rgb="FF000000"/>
            <rFont val="Tahoma"/>
            <family val="2"/>
          </rPr>
          <t xml:space="preserve">Calculates value of sample bond
</t>
        </r>
        <r>
          <rPr>
            <b/>
            <sz val="8"/>
            <color rgb="FF000000"/>
            <rFont val="Tahoma"/>
            <family val="2"/>
          </rPr>
          <t xml:space="preserve">by discounting each cash flow
</t>
        </r>
        <r>
          <rPr>
            <b/>
            <sz val="8"/>
            <color rgb="FF000000"/>
            <rFont val="Tahoma"/>
            <family val="2"/>
          </rPr>
          <t>at the yield to maturity.</t>
        </r>
      </text>
    </comment>
    <comment ref="G63" authorId="0" shapeId="0" xr:uid="{C70BF924-CD4B-7945-9472-A43DDF4A9403}">
      <text>
        <r>
          <rPr>
            <b/>
            <sz val="8"/>
            <color rgb="FF000000"/>
            <rFont val="Tahoma"/>
            <family val="2"/>
          </rPr>
          <t xml:space="preserve">Calculates value of sample bond
</t>
        </r>
        <r>
          <rPr>
            <b/>
            <sz val="8"/>
            <color rgb="FF000000"/>
            <rFont val="Tahoma"/>
            <family val="2"/>
          </rPr>
          <t xml:space="preserve">by discounting each cash flow
</t>
        </r>
        <r>
          <rPr>
            <b/>
            <sz val="8"/>
            <color rgb="FF000000"/>
            <rFont val="Tahoma"/>
            <family val="2"/>
          </rPr>
          <t>at the appropriate spot rate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89243E-2629-47E7-9AC0-0B197EF7464D}" keepAlive="1" name="Query - Spreadsheet 14 2" description="Connection to the 'Spreadsheet 14 2' query in the workbook." type="5" refreshedVersion="6" background="1">
    <dbPr connection="Provider=Microsoft.Mashup.OleDb.1;Data Source=$Workbook$;Location=Spreadsheet 14 2;Extended Properties=&quot;&quot;" command="SELECT * FROM [Spreadsheet 14 2]"/>
  </connection>
</connections>
</file>

<file path=xl/sharedStrings.xml><?xml version="1.0" encoding="utf-8"?>
<sst xmlns="http://schemas.openxmlformats.org/spreadsheetml/2006/main" count="327" uniqueCount="232">
  <si>
    <t>=B12+B15</t>
  </si>
  <si>
    <t>Invoice price</t>
  </si>
  <si>
    <t>=(B13/B14)*B6*100/2</t>
  </si>
  <si>
    <t>Accrued interest</t>
  </si>
  <si>
    <t>=COUPDAYS(B4,B5,2,1)</t>
  </si>
  <si>
    <t>Days in coupon period</t>
  </si>
  <si>
    <t>=COUPDAYBS(B4,B5,2,1)</t>
  </si>
  <si>
    <t>Days since last coupon</t>
  </si>
  <si>
    <t>=PRICE(B4,B5,B6,B7,B8,B9)</t>
  </si>
  <si>
    <t>Flat price (% of par)</t>
  </si>
  <si>
    <t>Coupon payments per year</t>
  </si>
  <si>
    <t>Redemption value (% of face value)</t>
  </si>
  <si>
    <t>Yield to maturity</t>
  </si>
  <si>
    <t>Annual coupon rate</t>
  </si>
  <si>
    <t>=DATE(2045,11,15)</t>
  </si>
  <si>
    <t>Maturity date</t>
  </si>
  <si>
    <t>=DATE(2018,11,15)</t>
  </si>
  <si>
    <t>Settlement date</t>
  </si>
  <si>
    <t>30-year maturity</t>
  </si>
  <si>
    <t>maturing November 2043</t>
  </si>
  <si>
    <t>maturing Nov 2045</t>
  </si>
  <si>
    <t>8% coupon bond,</t>
  </si>
  <si>
    <t>3% coupon bond,</t>
  </si>
  <si>
    <t>4.75% coupon bond,</t>
  </si>
  <si>
    <t>Bond Pricing</t>
  </si>
  <si>
    <t>Semiannual coupons</t>
  </si>
  <si>
    <t>Annual coupons</t>
  </si>
  <si>
    <t>Bond price (flat)</t>
  </si>
  <si>
    <t xml:space="preserve">Yield to maturity (decimal) </t>
  </si>
  <si>
    <t>YTM</t>
  </si>
  <si>
    <t>Collable Bond</t>
  </si>
  <si>
    <t>Regular Bond</t>
  </si>
  <si>
    <t>Coupon rate</t>
  </si>
  <si>
    <t>Payment</t>
  </si>
  <si>
    <t>semiannual</t>
  </si>
  <si>
    <t>Bond Selling Price today</t>
  </si>
  <si>
    <t>Callable price</t>
  </si>
  <si>
    <t>Par Value</t>
  </si>
  <si>
    <t>Years to call</t>
  </si>
  <si>
    <t>Maturity</t>
  </si>
  <si>
    <t>Yield to Maturity</t>
  </si>
  <si>
    <t>Yield to Call if called at Years to call</t>
  </si>
  <si>
    <t>A General Power bond with a face value of $1,000  carries a coupon rate of 8%, has 9 years until maturity, and sells at a yield to maturity of 8%.</t>
  </si>
  <si>
    <t xml:space="preserve"> (Assume annual interest payments.)</t>
  </si>
  <si>
    <t>Requirements.</t>
  </si>
  <si>
    <t>rate(YTM)</t>
  </si>
  <si>
    <t>nper</t>
  </si>
  <si>
    <t>pmt</t>
  </si>
  <si>
    <t>pv</t>
  </si>
  <si>
    <t>fv</t>
  </si>
  <si>
    <t>a. At what price does the bond sell?</t>
  </si>
  <si>
    <t>?</t>
  </si>
  <si>
    <t>a-1. Current Yield</t>
  </si>
  <si>
    <t>a-2. Investment Yield</t>
  </si>
  <si>
    <t xml:space="preserve">b. bond price at the YTM 6% </t>
  </si>
  <si>
    <t>b-1. Current Yield</t>
  </si>
  <si>
    <t>b-2. Investment Yield</t>
  </si>
  <si>
    <t>b-3. Why Investment Yield is positive/negative</t>
  </si>
  <si>
    <t>Negative. Price to be purchased is higher than face value.</t>
  </si>
  <si>
    <t>At maturity the bond holder will receive only the $1,000 face value, reducing the total return on investment as measured by yield to maturity.</t>
  </si>
  <si>
    <t xml:space="preserve">c. bond price at the YTM 10% </t>
  </si>
  <si>
    <t>c-1. Current Yield</t>
  </si>
  <si>
    <t>c-2. Investment Yield</t>
  </si>
  <si>
    <t>c-3. Why Investment Yield is positive/negative</t>
  </si>
  <si>
    <t>Positive. Price to be purchased is lower than face value</t>
  </si>
  <si>
    <t>At maturity the holder of the bond will receive the $1,000 face value, increasing the total return on investment as measured by yield to maturity.</t>
  </si>
  <si>
    <t xml:space="preserve">Yield to Call  </t>
  </si>
  <si>
    <t>A bond with a face value of $1,000 has 8 years until maturity, carries a coupon rate of 8%, and sells for $1,100.</t>
  </si>
  <si>
    <t>annual rate</t>
  </si>
  <si>
    <t xml:space="preserve">a. Current yield on the bond?  </t>
  </si>
  <si>
    <t xml:space="preserve"> </t>
  </si>
  <si>
    <t>b. YTM with annual interest payment?</t>
  </si>
  <si>
    <t>c. YTM with Semi-annual interest payment?</t>
  </si>
  <si>
    <t>semi-annual rate</t>
  </si>
  <si>
    <t>Sure Tea Co. has issued 9% annual coupon, $1,000 face value bonds that are now selling at a yield to maturity of 10%</t>
  </si>
  <si>
    <t xml:space="preserve">and current yield of 9.8375%. What is the remaining maturity of these bonds?  </t>
  </si>
  <si>
    <t>Price</t>
  </si>
  <si>
    <t>Remaining maturity</t>
  </si>
  <si>
    <t xml:space="preserve"> =90/9.8375%</t>
  </si>
  <si>
    <t>Current Yied (%) = Coupon / Bond Price</t>
  </si>
  <si>
    <t>Q1. A year ago, you bought a bond for $980 that has a coupon rate of 8% and a 10-year maturity. A year later, the bond price is $1,200 and received the coupon.</t>
  </si>
  <si>
    <t xml:space="preserve"> (Assume a face value of $1,000 and annual coupon payments.)</t>
  </si>
  <si>
    <t>(A year later, when the bond price is $1,200.)</t>
  </si>
  <si>
    <t>a. What is the new yield to maturity on the bond?</t>
  </si>
  <si>
    <t>rate</t>
  </si>
  <si>
    <t>New YTM</t>
  </si>
  <si>
    <t>b. What is your rate of return over the years?</t>
  </si>
  <si>
    <t>Holding Period Rate of Return</t>
  </si>
  <si>
    <t xml:space="preserve"> =(1200-980+80)/980</t>
  </si>
  <si>
    <t>Q2. You bought a 20-year bond with a coupon rate of 8% that has a yield to maturity of 9%. (Assume a face value of $1,000 and received</t>
  </si>
  <si>
    <t xml:space="preserve">a semi-annual coupon payment.) Six months later, the yield to maturity is 10%. </t>
  </si>
  <si>
    <t>(You bought the bond 6 months ago when YTM was 9%.)</t>
  </si>
  <si>
    <t>a. What is your return over the 6 months?</t>
  </si>
  <si>
    <t>6-month rate of return</t>
  </si>
  <si>
    <t xml:space="preserve"> =(829.83-907.99+40)/907.99</t>
  </si>
  <si>
    <t xml:space="preserve"> =9%/2</t>
  </si>
  <si>
    <t>(6 months later, when YTM is 10%.)</t>
  </si>
  <si>
    <t xml:space="preserve"> =10%/2</t>
  </si>
  <si>
    <t>Q1. Suppose that you buy a corporate bond with a 2-year maturity and a coupon of 4% paid annually.</t>
  </si>
  <si>
    <t>Assume you buy the bond at its face value of $1,000, and the inflation rate is 2% in each year.</t>
  </si>
  <si>
    <t>a. What will be your cash flow in Year 1 on corporate bond?</t>
  </si>
  <si>
    <t>Ordinary bond Cash flows</t>
  </si>
  <si>
    <t>Cash flow Year 1</t>
  </si>
  <si>
    <t>Nominal cash flows (ignoring inflation)</t>
  </si>
  <si>
    <t>b. What will be your cash flow in Year 2 on corporate bond?</t>
  </si>
  <si>
    <t>Real cash flows (discounted by inflation)</t>
  </si>
  <si>
    <t>Cash flow Year 2</t>
  </si>
  <si>
    <t xml:space="preserve"> =40/(1+2%)^1</t>
  </si>
  <si>
    <t xml:space="preserve"> =1040/(1+2%)^2</t>
  </si>
  <si>
    <t xml:space="preserve"> =(1+4%)/(1+2%)-1</t>
  </si>
  <si>
    <t>c. What will be your real rate of annual return over the two-year period?</t>
  </si>
  <si>
    <t>Real rate of annual return (YTM)</t>
  </si>
  <si>
    <t>Q2. Suppose that you buy a TIPS bond with a 2-year maturity and a coupon of 4% paid annually.</t>
  </si>
  <si>
    <t>a. What will be your cash flow in Year 1 on TIPS bond?</t>
  </si>
  <si>
    <t>TIPS Cash flows</t>
  </si>
  <si>
    <t>Nominal cash flows (increased by inflation)</t>
  </si>
  <si>
    <t>YTM (IRR)</t>
  </si>
  <si>
    <t xml:space="preserve"> =1000*4%*(1+2%)</t>
  </si>
  <si>
    <t xml:space="preserve"> =1000*4%*(1+2%)^2+1000*(1+2%)^2</t>
  </si>
  <si>
    <t>b. What will be your cash flow in Year 2 on TIPS bond?</t>
  </si>
  <si>
    <t xml:space="preserve"> =40.8/(1+2%)^1</t>
  </si>
  <si>
    <t xml:space="preserve"> =1082.02/(1+2%)^2</t>
  </si>
  <si>
    <t xml:space="preserve"> =(1+6.08%)/(1+2%)-1</t>
  </si>
  <si>
    <t>Bond Value = Par Value</t>
  </si>
  <si>
    <t>Coupon Rate = Yield to Maturity</t>
  </si>
  <si>
    <t>Period</t>
  </si>
  <si>
    <t>Spot Rate</t>
  </si>
  <si>
    <t>Bond Value</t>
  </si>
  <si>
    <t>Time until</t>
  </si>
  <si>
    <t>Time until Payment</t>
  </si>
  <si>
    <t>Cash flow</t>
  </si>
  <si>
    <t>PV of CF</t>
  </si>
  <si>
    <t>Weight*</t>
  </si>
  <si>
    <t>Par 1,000</t>
  </si>
  <si>
    <t>YTM 10%</t>
  </si>
  <si>
    <t>Maturity: 2 years</t>
  </si>
  <si>
    <t>Sum:</t>
  </si>
  <si>
    <t>Duration (annual)</t>
  </si>
  <si>
    <t>Duration (Semiannual)</t>
  </si>
  <si>
    <t>calculate the % change in bond price and bond price when the rate increases, based on Modifed Duration.</t>
  </si>
  <si>
    <t>Modified Duration</t>
  </si>
  <si>
    <t>Bond Price ($)</t>
  </si>
  <si>
    <t>Inputs</t>
  </si>
  <si>
    <t>Outputs</t>
  </si>
  <si>
    <t>Coupon rates</t>
  </si>
  <si>
    <t>Maturity \  per year</t>
  </si>
  <si>
    <t>Infinite (perpetuity)</t>
  </si>
  <si>
    <t>A. Calculating Duration of two bonds</t>
  </si>
  <si>
    <t>B. Computing Duration using Excel Functions</t>
  </si>
  <si>
    <t>par ($)</t>
  </si>
  <si>
    <t>Price Change with MD only (%)</t>
  </si>
  <si>
    <t>coupon $)</t>
  </si>
  <si>
    <t>new Price with MD only ($)</t>
  </si>
  <si>
    <t>YTM (%)</t>
  </si>
  <si>
    <t>Convexity:</t>
  </si>
  <si>
    <t>maturity (years)</t>
  </si>
  <si>
    <t>Using formula:</t>
  </si>
  <si>
    <t>price ($)</t>
  </si>
  <si>
    <t>Price Change with Convexity (%)</t>
  </si>
  <si>
    <t>YTM increased to</t>
  </si>
  <si>
    <t>new Price with Convexity ($)</t>
  </si>
  <si>
    <t>Time (t)</t>
  </si>
  <si>
    <t>PV(CF)</t>
  </si>
  <si>
    <t>source: Fabozzi: Bond Markets, Analysis and Strategies , 3rd ed, Eqn 4.22 (pages 69-70)</t>
  </si>
  <si>
    <t>Coupon Rate</t>
  </si>
  <si>
    <t>Part 1. Bond Prices and Yields</t>
  </si>
  <si>
    <t>Part 2. Yield To Maturity (YTM) with Multiple Interest Payments a year.</t>
  </si>
  <si>
    <t>Part 3. Number of Period.</t>
  </si>
  <si>
    <t>Part 4. Holding Period Rate of Return (from the investor's point of view)</t>
  </si>
  <si>
    <t>Part 5. Treasury Inflation Protected Securities (TIPS)</t>
  </si>
  <si>
    <t>Part 1. Bond Price between Coupon Dates.</t>
  </si>
  <si>
    <t>Part 2. Yield to Maturity &amp; Yield to Call</t>
  </si>
  <si>
    <r>
      <t>CF</t>
    </r>
    <r>
      <rPr>
        <b/>
        <vertAlign val="subscript"/>
        <sz val="12"/>
        <rFont val="Times New Roman"/>
        <family val="1"/>
      </rPr>
      <t>1</t>
    </r>
  </si>
  <si>
    <r>
      <t>CF</t>
    </r>
    <r>
      <rPr>
        <b/>
        <vertAlign val="subscript"/>
        <sz val="12"/>
        <rFont val="Times New Roman"/>
        <family val="1"/>
      </rPr>
      <t>2</t>
    </r>
  </si>
  <si>
    <r>
      <t>CF</t>
    </r>
    <r>
      <rPr>
        <b/>
        <vertAlign val="subscript"/>
        <sz val="12"/>
        <rFont val="Times New Roman"/>
        <family val="1"/>
      </rPr>
      <t>3</t>
    </r>
  </si>
  <si>
    <r>
      <t>CF</t>
    </r>
    <r>
      <rPr>
        <b/>
        <vertAlign val="subscript"/>
        <sz val="12"/>
        <rFont val="Times New Roman"/>
        <family val="1"/>
      </rPr>
      <t>4</t>
    </r>
  </si>
  <si>
    <r>
      <t>CF</t>
    </r>
    <r>
      <rPr>
        <b/>
        <vertAlign val="subscript"/>
        <sz val="12"/>
        <rFont val="Times New Roman"/>
        <family val="1"/>
      </rPr>
      <t>5</t>
    </r>
  </si>
  <si>
    <r>
      <t>CF</t>
    </r>
    <r>
      <rPr>
        <b/>
        <vertAlign val="subscript"/>
        <sz val="12"/>
        <rFont val="Times New Roman"/>
        <family val="1"/>
      </rPr>
      <t>6</t>
    </r>
  </si>
  <si>
    <r>
      <t>CF</t>
    </r>
    <r>
      <rPr>
        <b/>
        <vertAlign val="subscript"/>
        <sz val="12"/>
        <rFont val="Times New Roman"/>
        <family val="1"/>
      </rPr>
      <t>7</t>
    </r>
  </si>
  <si>
    <r>
      <t>CF</t>
    </r>
    <r>
      <rPr>
        <b/>
        <vertAlign val="subscript"/>
        <sz val="12"/>
        <rFont val="Times New Roman"/>
        <family val="1"/>
      </rPr>
      <t>8</t>
    </r>
  </si>
  <si>
    <r>
      <t>CF</t>
    </r>
    <r>
      <rPr>
        <b/>
        <vertAlign val="subscript"/>
        <sz val="12"/>
        <rFont val="Times New Roman"/>
        <family val="1"/>
      </rPr>
      <t>9</t>
    </r>
  </si>
  <si>
    <r>
      <t>CF</t>
    </r>
    <r>
      <rPr>
        <b/>
        <vertAlign val="subscript"/>
        <sz val="12"/>
        <rFont val="Times New Roman"/>
        <family val="1"/>
      </rPr>
      <t>10</t>
    </r>
  </si>
  <si>
    <r>
      <t>CF</t>
    </r>
    <r>
      <rPr>
        <b/>
        <vertAlign val="subscript"/>
        <sz val="12"/>
        <rFont val="Times New Roman"/>
        <family val="1"/>
      </rPr>
      <t>11</t>
    </r>
  </si>
  <si>
    <r>
      <t>CF</t>
    </r>
    <r>
      <rPr>
        <b/>
        <vertAlign val="subscript"/>
        <sz val="12"/>
        <rFont val="Times New Roman"/>
        <family val="1"/>
      </rPr>
      <t>12</t>
    </r>
  </si>
  <si>
    <r>
      <t>CF</t>
    </r>
    <r>
      <rPr>
        <b/>
        <vertAlign val="subscript"/>
        <sz val="12"/>
        <rFont val="Times New Roman"/>
        <family val="1"/>
      </rPr>
      <t>13</t>
    </r>
  </si>
  <si>
    <r>
      <t>CF</t>
    </r>
    <r>
      <rPr>
        <b/>
        <vertAlign val="subscript"/>
        <sz val="12"/>
        <rFont val="Times New Roman"/>
        <family val="1"/>
      </rPr>
      <t>14</t>
    </r>
  </si>
  <si>
    <r>
      <t>CF</t>
    </r>
    <r>
      <rPr>
        <b/>
        <vertAlign val="subscript"/>
        <sz val="12"/>
        <rFont val="Times New Roman"/>
        <family val="1"/>
      </rPr>
      <t>15</t>
    </r>
  </si>
  <si>
    <r>
      <t>CF</t>
    </r>
    <r>
      <rPr>
        <b/>
        <vertAlign val="subscript"/>
        <sz val="12"/>
        <rFont val="Times New Roman"/>
        <family val="1"/>
      </rPr>
      <t>16</t>
    </r>
  </si>
  <si>
    <r>
      <t>CF</t>
    </r>
    <r>
      <rPr>
        <b/>
        <vertAlign val="subscript"/>
        <sz val="12"/>
        <rFont val="Times New Roman"/>
        <family val="1"/>
      </rPr>
      <t>17</t>
    </r>
  </si>
  <si>
    <r>
      <t>CF</t>
    </r>
    <r>
      <rPr>
        <b/>
        <vertAlign val="subscript"/>
        <sz val="12"/>
        <rFont val="Times New Roman"/>
        <family val="1"/>
      </rPr>
      <t>18</t>
    </r>
  </si>
  <si>
    <r>
      <t>CF</t>
    </r>
    <r>
      <rPr>
        <b/>
        <vertAlign val="subscript"/>
        <sz val="12"/>
        <rFont val="Times New Roman"/>
        <family val="1"/>
      </rPr>
      <t>19</t>
    </r>
  </si>
  <si>
    <r>
      <t>CF</t>
    </r>
    <r>
      <rPr>
        <b/>
        <vertAlign val="subscript"/>
        <sz val="12"/>
        <rFont val="Times New Roman"/>
        <family val="1"/>
      </rPr>
      <t>20</t>
    </r>
  </si>
  <si>
    <t>CFs</t>
  </si>
  <si>
    <t>PV of CFs</t>
  </si>
  <si>
    <t>w/ YTM</t>
  </si>
  <si>
    <t>w/ Spot Rates</t>
  </si>
  <si>
    <t>a. 8% coupon semiannual bond A</t>
  </si>
  <si>
    <t>b. Zero-coupon semiannual bond B</t>
  </si>
  <si>
    <t>c. Suppose the Bond A is initially selling at $964.540 and the semiannual interest rate of the bond A increases from 5% to 5.5%.</t>
  </si>
  <si>
    <t>Annual Macaulay duration</t>
  </si>
  <si>
    <t>Annual Modified duration</t>
  </si>
  <si>
    <t>Initial Bond Price ($)</t>
  </si>
  <si>
    <t>Semi-annual Modified duration</t>
  </si>
  <si>
    <t>C. Bond Annual Duration (YTM 8%, Semiannual Coupons) Matrix</t>
  </si>
  <si>
    <t>*Weight = PV of each CF divided by the Bond Price</t>
  </si>
  <si>
    <t>Modified Duration (semi-annual)</t>
  </si>
  <si>
    <t>% Changes (𝛥P/P) in the Bond Price (%)</t>
  </si>
  <si>
    <t>B.P = I.P x (1 + 𝛥P/P)</t>
  </si>
  <si>
    <t>annual coupon rate (%)</t>
  </si>
  <si>
    <t>Payment (Yrs)</t>
  </si>
  <si>
    <t>x Weight</t>
  </si>
  <si>
    <t>Convexity Inputs</t>
  </si>
  <si>
    <t>Convexity Outputs</t>
  </si>
  <si>
    <t>PV(CF)x(t^2+t)</t>
  </si>
  <si>
    <t>t^2+t</t>
  </si>
  <si>
    <t>Bond Investments. Changes in Bond Price with Modified Duration and Convexity</t>
  </si>
  <si>
    <t>Bond Investment. Bond Pricing with Duration (The Sensitivity of Bond Price to the Interest Rate Change)</t>
  </si>
  <si>
    <t>1. Calculate spot rates using par bond cash flows &amp; yields.</t>
  </si>
  <si>
    <t>2. Calculate bond value (1) using YTM and (2) Spot rates.</t>
  </si>
  <si>
    <t>STRIPS Bond</t>
  </si>
  <si>
    <t>1000 = 78.0 / (1+8%)^1 + 78.0 / (1+7.9896%)^2 + 1078.0 / (1+r3%)^3</t>
  </si>
  <si>
    <t>Part 1. CFs of Coupon Bond (Par)</t>
  </si>
  <si>
    <t>1000 = 79.90 / (1+8%)^1 + 1079.90 / (1+r2%)^2</t>
  </si>
  <si>
    <t>Part 2. Spot Rate Calculation &amp; Coupon Bond Valuation (Regular vs. STRIPS)</t>
  </si>
  <si>
    <t>D* = D/(1+y)</t>
  </si>
  <si>
    <t>Coupons per year (frequency)</t>
  </si>
  <si>
    <t>Term Structure for Bond Valuation (STRIPS) with Spot Rates</t>
  </si>
  <si>
    <t>1000 = 79.90 / (1+8%)^1 +1079.90 / (1+r2%)^2</t>
  </si>
  <si>
    <t>1000 - 79.9 /1.08 = 1079.9 / (1+r)^2</t>
  </si>
  <si>
    <t>(1+r)^2 = 1079.9 / (1000 - (79.9/1.08))</t>
  </si>
  <si>
    <t>r = (1079.9 / (1000 - (79.9/1.08)))^0.5 - 1</t>
  </si>
  <si>
    <t xml:space="preserve">Bond Basic.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</si>
</sst>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&quot;$&quot;#,##0.00"/>
    <numFmt numFmtId="168" formatCode="0.0000%"/>
    <numFmt numFmtId="169" formatCode="_(* #,##0_);_(* \(#,##0\);_(* &quot;-&quot;??_);_(@_)"/>
    <numFmt numFmtId="170" formatCode="0.000%"/>
    <numFmt numFmtId="171" formatCode="&quot;$&quot;#,##0"/>
    <numFmt numFmtId="172" formatCode="0.0"/>
    <numFmt numFmtId="173" formatCode="&quot;$&quot;#,##0.000"/>
    <numFmt numFmtId="174" formatCode="&quot;$&quot;#,##0.0000"/>
    <numFmt numFmtId="175" formatCode="0.00000%"/>
    <numFmt numFmtId="176" formatCode="_(* #,##0.0000_);_(* \(#,##0.0000\);_(* &quot;-&quot;??_);_(@_)"/>
    <numFmt numFmtId="177" formatCode="_(* #,##0.000_);_(* \(#,##0.00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10"/>
      <name val="Arial"/>
      <family val="2"/>
    </font>
    <font>
      <b/>
      <vertAlign val="subscript"/>
      <sz val="8"/>
      <color rgb="FF000000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5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2" tint="-0.499984740745262"/>
      <name val="Times New Roman"/>
      <family val="1"/>
    </font>
    <font>
      <sz val="12"/>
      <color theme="2" tint="-0.499984740745262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  <font>
      <b/>
      <sz val="18"/>
      <color theme="5" tint="-0.499984740745262"/>
      <name val="Times New Roman"/>
      <family val="1"/>
    </font>
    <font>
      <b/>
      <sz val="18"/>
      <color theme="7" tint="-0.499984740745262"/>
      <name val="Times New Roman"/>
      <family val="1"/>
    </font>
    <font>
      <sz val="18"/>
      <color theme="7" tint="-0.499984740745262"/>
      <name val="Times New Roman"/>
      <family val="1"/>
    </font>
    <font>
      <b/>
      <sz val="18"/>
      <color theme="3"/>
      <name val="Times New Roman"/>
      <family val="1"/>
    </font>
    <font>
      <sz val="18"/>
      <color theme="3"/>
      <name val="Times New Roman"/>
      <family val="1"/>
    </font>
    <font>
      <b/>
      <sz val="18"/>
      <color theme="9" tint="-0.499984740745262"/>
      <name val="Times New Roman"/>
      <family val="1"/>
    </font>
    <font>
      <sz val="14"/>
      <color theme="1"/>
      <name val="Times New Roman"/>
      <family val="1"/>
    </font>
    <font>
      <sz val="12"/>
      <color theme="2" tint="-0.749992370372631"/>
      <name val="Times New Roman"/>
      <family val="1"/>
    </font>
    <font>
      <b/>
      <sz val="18"/>
      <color theme="4" tint="-0.249977111117893"/>
      <name val="Times New Roman"/>
      <family val="1"/>
    </font>
    <font>
      <b/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vertAlign val="subscript"/>
      <sz val="12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u/>
      <sz val="8"/>
      <color rgb="FF000000"/>
      <name val="Tahoma"/>
      <family val="2"/>
    </font>
    <font>
      <b/>
      <i/>
      <sz val="12"/>
      <name val="Times New Roman"/>
      <family val="1"/>
    </font>
    <font>
      <i/>
      <sz val="12"/>
      <color rgb="FFC00000"/>
      <name val="Times New Roman"/>
      <family val="1"/>
    </font>
    <font>
      <i/>
      <sz val="12"/>
      <name val="Times New Roman"/>
      <family val="1"/>
    </font>
    <font>
      <sz val="16"/>
      <name val="Times New Roman"/>
      <family val="1"/>
    </font>
    <font>
      <b/>
      <sz val="12"/>
      <color rgb="FFC00000"/>
      <name val="Times New Roman"/>
      <family val="1"/>
    </font>
    <font>
      <b/>
      <sz val="2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5">
    <xf numFmtId="0" fontId="0" fillId="0" borderId="0" xfId="0"/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2" fontId="7" fillId="0" borderId="0" xfId="1" applyNumberFormat="1" applyFont="1" applyAlignment="1">
      <alignment vertical="center"/>
    </xf>
    <xf numFmtId="0" fontId="10" fillId="0" borderId="1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167" fontId="7" fillId="2" borderId="0" xfId="3" applyNumberFormat="1" applyFont="1" applyFill="1" applyAlignment="1">
      <alignment vertical="center"/>
    </xf>
    <xf numFmtId="0" fontId="11" fillId="0" borderId="0" xfId="1" applyFont="1" applyAlignment="1">
      <alignment vertical="center"/>
    </xf>
    <xf numFmtId="9" fontId="7" fillId="2" borderId="0" xfId="1" applyNumberFormat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9" fontId="7" fillId="2" borderId="0" xfId="4" applyFont="1" applyFill="1" applyAlignment="1">
      <alignment vertical="center"/>
    </xf>
    <xf numFmtId="0" fontId="7" fillId="0" borderId="0" xfId="1" applyFont="1" applyAlignment="1">
      <alignment horizontal="right" vertical="center"/>
    </xf>
    <xf numFmtId="8" fontId="7" fillId="2" borderId="0" xfId="1" applyNumberFormat="1" applyFont="1" applyFill="1" applyAlignment="1">
      <alignment horizontal="right" vertical="center"/>
    </xf>
    <xf numFmtId="167" fontId="7" fillId="2" borderId="0" xfId="1" applyNumberFormat="1" applyFont="1" applyFill="1" applyAlignment="1">
      <alignment vertical="center"/>
    </xf>
    <xf numFmtId="10" fontId="7" fillId="2" borderId="0" xfId="4" applyNumberFormat="1" applyFont="1" applyFill="1" applyAlignment="1">
      <alignment vertical="center"/>
    </xf>
    <xf numFmtId="10" fontId="7" fillId="2" borderId="0" xfId="1" applyNumberFormat="1" applyFont="1" applyFill="1" applyAlignment="1">
      <alignment vertical="center"/>
    </xf>
    <xf numFmtId="0" fontId="7" fillId="2" borderId="0" xfId="1" applyFont="1" applyFill="1" applyAlignment="1">
      <alignment vertical="center"/>
    </xf>
    <xf numFmtId="8" fontId="7" fillId="2" borderId="0" xfId="1" applyNumberFormat="1" applyFont="1" applyFill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2" fontId="7" fillId="0" borderId="0" xfId="1" applyNumberFormat="1" applyFont="1"/>
    <xf numFmtId="0" fontId="7" fillId="0" borderId="0" xfId="1" applyFont="1"/>
    <xf numFmtId="0" fontId="6" fillId="0" borderId="0" xfId="1" applyFont="1"/>
    <xf numFmtId="0" fontId="7" fillId="0" borderId="1" xfId="1" applyFont="1" applyBorder="1"/>
    <xf numFmtId="0" fontId="11" fillId="0" borderId="0" xfId="1" applyFont="1"/>
    <xf numFmtId="168" fontId="14" fillId="0" borderId="0" xfId="1" applyNumberFormat="1" applyFont="1"/>
    <xf numFmtId="4" fontId="7" fillId="0" borderId="0" xfId="1" applyNumberFormat="1" applyFont="1" applyAlignment="1">
      <alignment horizontal="center"/>
    </xf>
    <xf numFmtId="1" fontId="7" fillId="0" borderId="0" xfId="1" applyNumberFormat="1" applyFont="1" applyAlignment="1">
      <alignment horizontal="center"/>
    </xf>
    <xf numFmtId="169" fontId="7" fillId="0" borderId="0" xfId="3" applyNumberFormat="1" applyFont="1" applyAlignment="1">
      <alignment horizontal="center"/>
    </xf>
    <xf numFmtId="0" fontId="6" fillId="0" borderId="1" xfId="1" applyFont="1" applyBorder="1"/>
    <xf numFmtId="43" fontId="7" fillId="4" borderId="0" xfId="2" applyFont="1" applyFill="1"/>
    <xf numFmtId="10" fontId="7" fillId="4" borderId="0" xfId="1" applyNumberFormat="1" applyFont="1" applyFill="1" applyAlignment="1">
      <alignment horizontal="right" vertical="center"/>
    </xf>
    <xf numFmtId="0" fontId="7" fillId="4" borderId="0" xfId="1" applyFont="1" applyFill="1" applyAlignment="1">
      <alignment horizontal="right" vertical="center"/>
    </xf>
    <xf numFmtId="169" fontId="7" fillId="4" borderId="0" xfId="2" applyNumberFormat="1" applyFont="1" applyFill="1" applyAlignment="1">
      <alignment horizontal="right" vertical="center"/>
    </xf>
    <xf numFmtId="43" fontId="7" fillId="4" borderId="0" xfId="2" applyFont="1" applyFill="1" applyAlignment="1">
      <alignment horizontal="right" vertical="center"/>
    </xf>
    <xf numFmtId="2" fontId="7" fillId="4" borderId="0" xfId="1" applyNumberFormat="1" applyFont="1" applyFill="1"/>
    <xf numFmtId="0" fontId="15" fillId="0" borderId="0" xfId="1" applyFont="1"/>
    <xf numFmtId="0" fontId="16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0" borderId="1" xfId="1" applyFont="1" applyBorder="1" applyAlignment="1">
      <alignment vertical="center"/>
    </xf>
    <xf numFmtId="10" fontId="7" fillId="5" borderId="0" xfId="4" applyNumberFormat="1" applyFont="1" applyFill="1" applyAlignment="1">
      <alignment vertical="center"/>
    </xf>
    <xf numFmtId="10" fontId="7" fillId="5" borderId="0" xfId="1" applyNumberFormat="1" applyFont="1" applyFill="1" applyAlignment="1">
      <alignment horizontal="right" vertical="center"/>
    </xf>
    <xf numFmtId="0" fontId="7" fillId="5" borderId="0" xfId="1" applyFont="1" applyFill="1" applyAlignment="1">
      <alignment horizontal="right" vertical="center"/>
    </xf>
    <xf numFmtId="10" fontId="14" fillId="0" borderId="0" xfId="4" applyNumberFormat="1" applyFont="1" applyAlignment="1">
      <alignment vertical="center"/>
    </xf>
    <xf numFmtId="10" fontId="7" fillId="5" borderId="0" xfId="1" applyNumberFormat="1" applyFont="1" applyFill="1" applyAlignment="1">
      <alignment vertical="center"/>
    </xf>
    <xf numFmtId="10" fontId="14" fillId="0" borderId="1" xfId="4" applyNumberFormat="1" applyFont="1" applyBorder="1" applyAlignment="1">
      <alignment vertical="center"/>
    </xf>
    <xf numFmtId="170" fontId="15" fillId="5" borderId="0" xfId="4" applyNumberFormat="1" applyFont="1" applyFill="1" applyAlignment="1">
      <alignment vertical="center"/>
    </xf>
    <xf numFmtId="0" fontId="15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10" fontId="15" fillId="5" borderId="0" xfId="4" applyNumberFormat="1" applyFont="1" applyFill="1" applyAlignment="1">
      <alignment vertical="center"/>
    </xf>
    <xf numFmtId="10" fontId="7" fillId="0" borderId="0" xfId="1" applyNumberFormat="1" applyFont="1" applyAlignment="1">
      <alignment vertical="center"/>
    </xf>
    <xf numFmtId="8" fontId="7" fillId="5" borderId="0" xfId="1" applyNumberFormat="1" applyFont="1" applyFill="1" applyAlignment="1">
      <alignment vertical="center"/>
    </xf>
    <xf numFmtId="10" fontId="15" fillId="0" borderId="0" xfId="4" applyNumberFormat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/>
    <xf numFmtId="171" fontId="15" fillId="0" borderId="0" xfId="1" applyNumberFormat="1" applyFont="1"/>
    <xf numFmtId="0" fontId="18" fillId="0" borderId="0" xfId="1" applyFont="1"/>
    <xf numFmtId="0" fontId="19" fillId="0" borderId="0" xfId="1" applyFont="1"/>
    <xf numFmtId="170" fontId="15" fillId="0" borderId="0" xfId="4" applyNumberFormat="1" applyFont="1"/>
    <xf numFmtId="2" fontId="7" fillId="0" borderId="0" xfId="1" applyNumberFormat="1" applyFont="1" applyAlignment="1">
      <alignment horizontal="center"/>
    </xf>
    <xf numFmtId="10" fontId="15" fillId="0" borderId="0" xfId="4" applyNumberFormat="1" applyFont="1"/>
    <xf numFmtId="0" fontId="20" fillId="0" borderId="1" xfId="1" applyFont="1" applyBorder="1" applyAlignment="1">
      <alignment horizontal="center"/>
    </xf>
    <xf numFmtId="43" fontId="10" fillId="0" borderId="1" xfId="2" applyFont="1" applyBorder="1"/>
    <xf numFmtId="9" fontId="7" fillId="0" borderId="0" xfId="1" applyNumberFormat="1" applyFont="1"/>
    <xf numFmtId="43" fontId="7" fillId="0" borderId="1" xfId="2" applyFont="1" applyBorder="1"/>
    <xf numFmtId="9" fontId="6" fillId="0" borderId="1" xfId="1" applyNumberFormat="1" applyFont="1" applyBorder="1"/>
    <xf numFmtId="167" fontId="7" fillId="0" borderId="1" xfId="3" applyNumberFormat="1" applyFont="1" applyBorder="1" applyAlignment="1">
      <alignment horizontal="right"/>
    </xf>
    <xf numFmtId="43" fontId="7" fillId="0" borderId="0" xfId="2" applyFont="1"/>
    <xf numFmtId="43" fontId="7" fillId="0" borderId="0" xfId="1" applyNumberFormat="1" applyFont="1"/>
    <xf numFmtId="0" fontId="11" fillId="0" borderId="0" xfId="1" applyFont="1" applyAlignment="1">
      <alignment horizontal="right"/>
    </xf>
    <xf numFmtId="10" fontId="7" fillId="0" borderId="0" xfId="4" applyNumberFormat="1" applyFont="1" applyBorder="1"/>
    <xf numFmtId="10" fontId="11" fillId="0" borderId="0" xfId="1" applyNumberFormat="1" applyFont="1" applyAlignment="1">
      <alignment horizontal="right"/>
    </xf>
    <xf numFmtId="167" fontId="7" fillId="0" borderId="1" xfId="4" applyNumberFormat="1" applyFont="1" applyBorder="1" applyAlignment="1">
      <alignment horizontal="right"/>
    </xf>
    <xf numFmtId="0" fontId="14" fillId="0" borderId="0" xfId="1" applyFont="1"/>
    <xf numFmtId="0" fontId="21" fillId="0" borderId="0" xfId="1" applyFont="1" applyAlignment="1">
      <alignment horizontal="center"/>
    </xf>
    <xf numFmtId="2" fontId="14" fillId="0" borderId="0" xfId="3" applyNumberFormat="1" applyFont="1" applyAlignment="1">
      <alignment horizontal="center"/>
    </xf>
    <xf numFmtId="0" fontId="11" fillId="0" borderId="1" xfId="1" applyFont="1" applyBorder="1"/>
    <xf numFmtId="8" fontId="7" fillId="0" borderId="0" xfId="1" applyNumberFormat="1" applyFont="1"/>
    <xf numFmtId="10" fontId="11" fillId="0" borderId="0" xfId="1" applyNumberFormat="1" applyFont="1"/>
    <xf numFmtId="43" fontId="7" fillId="0" borderId="0" xfId="1" applyNumberFormat="1" applyFont="1" applyAlignment="1">
      <alignment horizontal="right" vertical="center"/>
    </xf>
    <xf numFmtId="0" fontId="2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 wrapText="1"/>
    </xf>
    <xf numFmtId="0" fontId="26" fillId="0" borderId="0" xfId="1" applyFont="1" applyAlignment="1">
      <alignment vertical="center"/>
    </xf>
    <xf numFmtId="43" fontId="7" fillId="0" borderId="0" xfId="2" applyFont="1" applyBorder="1"/>
    <xf numFmtId="0" fontId="7" fillId="0" borderId="10" xfId="1" applyFont="1" applyBorder="1" applyAlignment="1">
      <alignment vertical="center"/>
    </xf>
    <xf numFmtId="0" fontId="15" fillId="0" borderId="10" xfId="1" applyFont="1" applyBorder="1"/>
    <xf numFmtId="0" fontId="7" fillId="0" borderId="10" xfId="1" applyFont="1" applyBorder="1"/>
    <xf numFmtId="0" fontId="7" fillId="0" borderId="10" xfId="1" applyFont="1" applyBorder="1" applyAlignment="1">
      <alignment horizontal="center" vertical="center"/>
    </xf>
    <xf numFmtId="43" fontId="7" fillId="8" borderId="0" xfId="2" applyFont="1" applyFill="1" applyAlignment="1">
      <alignment horizontal="right"/>
    </xf>
    <xf numFmtId="10" fontId="7" fillId="8" borderId="0" xfId="4" applyNumberFormat="1" applyFont="1" applyFill="1" applyAlignment="1">
      <alignment horizontal="right"/>
    </xf>
    <xf numFmtId="43" fontId="7" fillId="8" borderId="0" xfId="2" applyFont="1" applyFill="1"/>
    <xf numFmtId="10" fontId="7" fillId="8" borderId="1" xfId="1" applyNumberFormat="1" applyFont="1" applyFill="1" applyBorder="1"/>
    <xf numFmtId="10" fontId="7" fillId="8" borderId="0" xfId="1" applyNumberFormat="1" applyFont="1" applyFill="1"/>
    <xf numFmtId="43" fontId="7" fillId="8" borderId="6" xfId="2" applyFont="1" applyFill="1" applyBorder="1"/>
    <xf numFmtId="10" fontId="7" fillId="8" borderId="1" xfId="1" applyNumberFormat="1" applyFont="1" applyFill="1" applyBorder="1" applyAlignment="1">
      <alignment vertical="center"/>
    </xf>
    <xf numFmtId="0" fontId="27" fillId="0" borderId="0" xfId="1" applyFont="1" applyAlignment="1">
      <alignment horizontal="left" vertical="center"/>
    </xf>
    <xf numFmtId="0" fontId="28" fillId="0" borderId="0" xfId="1" applyFont="1" applyAlignment="1">
      <alignment vertical="center"/>
    </xf>
    <xf numFmtId="0" fontId="29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168" fontId="7" fillId="7" borderId="0" xfId="4" applyNumberFormat="1" applyFont="1" applyFill="1"/>
    <xf numFmtId="168" fontId="7" fillId="7" borderId="0" xfId="1" applyNumberFormat="1" applyFont="1" applyFill="1"/>
    <xf numFmtId="0" fontId="7" fillId="7" borderId="0" xfId="1" applyFont="1" applyFill="1" applyAlignment="1">
      <alignment horizontal="right"/>
    </xf>
    <xf numFmtId="168" fontId="7" fillId="7" borderId="0" xfId="1" applyNumberFormat="1" applyFont="1" applyFill="1" applyAlignment="1">
      <alignment horizontal="right" vertical="center"/>
    </xf>
    <xf numFmtId="0" fontId="7" fillId="7" borderId="0" xfId="1" applyFont="1" applyFill="1" applyAlignment="1">
      <alignment horizontal="right" vertical="center"/>
    </xf>
    <xf numFmtId="0" fontId="31" fillId="0" borderId="1" xfId="1" applyFont="1" applyBorder="1" applyAlignment="1">
      <alignment vertical="center"/>
    </xf>
    <xf numFmtId="0" fontId="32" fillId="0" borderId="2" xfId="1" applyFont="1" applyBorder="1" applyAlignment="1">
      <alignment vertical="center"/>
    </xf>
    <xf numFmtId="0" fontId="19" fillId="0" borderId="0" xfId="1" applyFont="1" applyAlignment="1">
      <alignment horizontal="right" vertical="center"/>
    </xf>
    <xf numFmtId="0" fontId="19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19" fillId="0" borderId="1" xfId="1" applyFont="1" applyBorder="1" applyAlignment="1">
      <alignment horizontal="right" vertical="center"/>
    </xf>
    <xf numFmtId="0" fontId="19" fillId="0" borderId="3" xfId="1" applyFont="1" applyBorder="1" applyAlignment="1">
      <alignment horizontal="center" vertical="center"/>
    </xf>
    <xf numFmtId="14" fontId="7" fillId="0" borderId="0" xfId="1" applyNumberFormat="1" applyFont="1" applyAlignment="1">
      <alignment vertical="center"/>
    </xf>
    <xf numFmtId="14" fontId="15" fillId="0" borderId="2" xfId="1" quotePrefix="1" applyNumberFormat="1" applyFont="1" applyBorder="1" applyAlignment="1">
      <alignment vertical="center"/>
    </xf>
    <xf numFmtId="14" fontId="15" fillId="0" borderId="0" xfId="1" quotePrefix="1" applyNumberFormat="1" applyFont="1" applyAlignment="1">
      <alignment vertical="center"/>
    </xf>
    <xf numFmtId="2" fontId="19" fillId="0" borderId="2" xfId="1" applyNumberFormat="1" applyFont="1" applyBorder="1" applyAlignment="1">
      <alignment vertical="center"/>
    </xf>
    <xf numFmtId="165" fontId="19" fillId="2" borderId="0" xfId="1" applyNumberFormat="1" applyFont="1" applyFill="1" applyAlignment="1">
      <alignment vertical="center"/>
    </xf>
    <xf numFmtId="164" fontId="19" fillId="0" borderId="2" xfId="1" quotePrefix="1" applyNumberFormat="1" applyFont="1" applyBorder="1" applyAlignment="1">
      <alignment vertical="center"/>
    </xf>
    <xf numFmtId="164" fontId="19" fillId="0" borderId="0" xfId="1" quotePrefix="1" applyNumberFormat="1" applyFont="1" applyAlignment="1">
      <alignment vertical="center"/>
    </xf>
    <xf numFmtId="0" fontId="7" fillId="0" borderId="2" xfId="1" quotePrefix="1" applyFont="1" applyBorder="1" applyAlignment="1">
      <alignment vertical="center"/>
    </xf>
    <xf numFmtId="0" fontId="7" fillId="0" borderId="0" xfId="1" quotePrefix="1" applyFont="1" applyAlignment="1">
      <alignment vertical="center"/>
    </xf>
    <xf numFmtId="0" fontId="19" fillId="0" borderId="2" xfId="1" quotePrefix="1" applyFont="1" applyBorder="1" applyAlignment="1">
      <alignment vertical="center"/>
    </xf>
    <xf numFmtId="0" fontId="19" fillId="0" borderId="0" xfId="1" quotePrefix="1" applyFont="1" applyAlignment="1">
      <alignment vertical="center"/>
    </xf>
    <xf numFmtId="14" fontId="7" fillId="0" borderId="4" xfId="1" applyNumberFormat="1" applyFont="1" applyBorder="1" applyAlignment="1">
      <alignment vertical="center"/>
    </xf>
    <xf numFmtId="0" fontId="7" fillId="0" borderId="4" xfId="1" applyFont="1" applyBorder="1" applyAlignment="1">
      <alignment vertical="center"/>
    </xf>
    <xf numFmtId="0" fontId="7" fillId="0" borderId="5" xfId="1" applyFont="1" applyBorder="1" applyAlignment="1">
      <alignment vertical="center"/>
    </xf>
    <xf numFmtId="166" fontId="19" fillId="0" borderId="2" xfId="1" applyNumberFormat="1" applyFont="1" applyBorder="1" applyAlignment="1">
      <alignment vertical="center"/>
    </xf>
    <xf numFmtId="166" fontId="7" fillId="0" borderId="0" xfId="1" applyNumberFormat="1" applyFont="1" applyAlignment="1">
      <alignment vertical="center"/>
    </xf>
    <xf numFmtId="165" fontId="7" fillId="3" borderId="0" xfId="1" applyNumberFormat="1" applyFont="1" applyFill="1" applyAlignment="1">
      <alignment vertical="center"/>
    </xf>
    <xf numFmtId="164" fontId="7" fillId="3" borderId="0" xfId="1" applyNumberFormat="1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9" fontId="7" fillId="0" borderId="2" xfId="0" applyNumberFormat="1" applyFont="1" applyBorder="1" applyAlignment="1">
      <alignment horizontal="right" vertical="center"/>
    </xf>
    <xf numFmtId="9" fontId="7" fillId="0" borderId="0" xfId="0" applyNumberFormat="1" applyFont="1" applyAlignment="1">
      <alignment horizontal="right" vertical="center"/>
    </xf>
    <xf numFmtId="169" fontId="7" fillId="0" borderId="2" xfId="2" applyNumberFormat="1" applyFont="1" applyBorder="1" applyAlignment="1">
      <alignment horizontal="right" vertical="center"/>
    </xf>
    <xf numFmtId="169" fontId="7" fillId="0" borderId="0" xfId="2" applyNumberFormat="1" applyFont="1" applyAlignment="1">
      <alignment horizontal="right" vertical="center"/>
    </xf>
    <xf numFmtId="0" fontId="7" fillId="0" borderId="3" xfId="0" applyFont="1" applyBorder="1" applyAlignment="1">
      <alignment vertical="center"/>
    </xf>
    <xf numFmtId="169" fontId="7" fillId="0" borderId="3" xfId="2" applyNumberFormat="1" applyFont="1" applyBorder="1" applyAlignment="1">
      <alignment horizontal="right" vertical="center"/>
    </xf>
    <xf numFmtId="169" fontId="7" fillId="0" borderId="1" xfId="2" applyNumberFormat="1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0" fontId="6" fillId="4" borderId="0" xfId="0" applyNumberFormat="1" applyFont="1" applyFill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3" xfId="0" applyFont="1" applyBorder="1" applyAlignment="1">
      <alignment horizontal="right" vertical="center"/>
    </xf>
    <xf numFmtId="0" fontId="33" fillId="0" borderId="1" xfId="0" applyFont="1" applyBorder="1" applyAlignment="1">
      <alignment horizontal="right" vertical="center"/>
    </xf>
    <xf numFmtId="0" fontId="33" fillId="0" borderId="3" xfId="1" applyFont="1" applyBorder="1" applyAlignment="1">
      <alignment vertical="center"/>
    </xf>
    <xf numFmtId="0" fontId="34" fillId="0" borderId="5" xfId="1" applyFont="1" applyBorder="1" applyAlignment="1">
      <alignment horizontal="right" vertical="center"/>
    </xf>
    <xf numFmtId="0" fontId="34" fillId="0" borderId="1" xfId="1" applyFont="1" applyBorder="1" applyAlignment="1">
      <alignment horizontal="right" vertical="center"/>
    </xf>
    <xf numFmtId="168" fontId="19" fillId="4" borderId="4" xfId="8" applyNumberFormat="1" applyFont="1" applyFill="1" applyBorder="1" applyAlignment="1">
      <alignment vertical="center"/>
    </xf>
    <xf numFmtId="168" fontId="19" fillId="4" borderId="0" xfId="8" applyNumberFormat="1" applyFont="1" applyFill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4" fontId="15" fillId="6" borderId="9" xfId="5" applyNumberFormat="1" applyFont="1" applyFill="1" applyBorder="1" applyAlignment="1">
      <alignment vertical="center"/>
    </xf>
    <xf numFmtId="4" fontId="15" fillId="0" borderId="6" xfId="5" applyNumberFormat="1" applyFont="1" applyBorder="1" applyAlignment="1">
      <alignment vertical="center"/>
    </xf>
    <xf numFmtId="4" fontId="15" fillId="6" borderId="0" xfId="5" applyNumberFormat="1" applyFont="1" applyFill="1" applyAlignment="1">
      <alignment vertical="center"/>
    </xf>
    <xf numFmtId="4" fontId="15" fillId="0" borderId="0" xfId="5" applyNumberFormat="1" applyFont="1" applyAlignment="1">
      <alignment vertical="center"/>
    </xf>
    <xf numFmtId="0" fontId="19" fillId="0" borderId="0" xfId="5" applyFont="1" applyAlignment="1">
      <alignment horizontal="center" vertical="center"/>
    </xf>
    <xf numFmtId="167" fontId="19" fillId="4" borderId="7" xfId="5" applyNumberFormat="1" applyFont="1" applyFill="1" applyBorder="1" applyAlignment="1">
      <alignment vertical="center"/>
    </xf>
    <xf numFmtId="0" fontId="34" fillId="0" borderId="0" xfId="5" applyFont="1" applyAlignment="1">
      <alignment vertical="center"/>
    </xf>
    <xf numFmtId="0" fontId="36" fillId="0" borderId="0" xfId="5" applyFont="1" applyAlignment="1">
      <alignment vertical="center"/>
    </xf>
    <xf numFmtId="0" fontId="15" fillId="0" borderId="3" xfId="5" applyFont="1" applyBorder="1" applyAlignment="1">
      <alignment horizontal="center" vertical="center"/>
    </xf>
    <xf numFmtId="0" fontId="15" fillId="0" borderId="2" xfId="5" applyFont="1" applyBorder="1" applyAlignment="1">
      <alignment horizontal="center" vertical="center"/>
    </xf>
    <xf numFmtId="0" fontId="19" fillId="0" borderId="5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168" fontId="15" fillId="4" borderId="4" xfId="5" applyNumberFormat="1" applyFont="1" applyFill="1" applyBorder="1" applyAlignment="1">
      <alignment horizontal="right" vertical="center"/>
    </xf>
    <xf numFmtId="0" fontId="15" fillId="0" borderId="0" xfId="5" applyFont="1" applyAlignment="1">
      <alignment horizontal="right" vertical="center"/>
    </xf>
    <xf numFmtId="0" fontId="15" fillId="0" borderId="0" xfId="5" applyFont="1" applyAlignment="1">
      <alignment horizontal="left" vertical="center"/>
    </xf>
    <xf numFmtId="0" fontId="19" fillId="0" borderId="0" xfId="5" applyFont="1" applyAlignment="1">
      <alignment horizontal="right" vertical="center"/>
    </xf>
    <xf numFmtId="0" fontId="19" fillId="0" borderId="0" xfId="5" applyFont="1" applyAlignment="1">
      <alignment horizontal="left" vertical="center"/>
    </xf>
    <xf numFmtId="0" fontId="19" fillId="0" borderId="1" xfId="5" applyFont="1" applyBorder="1" applyAlignment="1">
      <alignment vertical="center"/>
    </xf>
    <xf numFmtId="0" fontId="19" fillId="0" borderId="1" xfId="5" applyFont="1" applyBorder="1" applyAlignment="1">
      <alignment horizontal="right" vertical="center"/>
    </xf>
    <xf numFmtId="170" fontId="15" fillId="0" borderId="8" xfId="5" applyNumberFormat="1" applyFont="1" applyBorder="1" applyAlignment="1">
      <alignment horizontal="center" vertical="center"/>
    </xf>
    <xf numFmtId="170" fontId="15" fillId="0" borderId="2" xfId="5" applyNumberFormat="1" applyFont="1" applyBorder="1" applyAlignment="1">
      <alignment horizontal="center" vertical="center"/>
    </xf>
    <xf numFmtId="173" fontId="15" fillId="0" borderId="0" xfId="5" applyNumberFormat="1" applyFont="1" applyAlignment="1">
      <alignment vertical="center"/>
    </xf>
    <xf numFmtId="0" fontId="15" fillId="0" borderId="0" xfId="5" applyFont="1" applyAlignment="1">
      <alignment horizontal="center" vertical="center"/>
    </xf>
    <xf numFmtId="170" fontId="15" fillId="0" borderId="0" xfId="5" applyNumberFormat="1" applyFont="1" applyAlignment="1">
      <alignment horizontal="center" vertical="center"/>
    </xf>
    <xf numFmtId="174" fontId="15" fillId="0" borderId="0" xfId="5" applyNumberFormat="1" applyFont="1" applyAlignment="1">
      <alignment horizontal="center" vertical="center"/>
    </xf>
    <xf numFmtId="174" fontId="15" fillId="0" borderId="0" xfId="5" applyNumberFormat="1" applyFont="1" applyAlignment="1">
      <alignment vertical="center"/>
    </xf>
    <xf numFmtId="0" fontId="19" fillId="0" borderId="3" xfId="5" applyFont="1" applyBorder="1" applyAlignment="1">
      <alignment horizontal="center" vertical="center"/>
    </xf>
    <xf numFmtId="8" fontId="15" fillId="0" borderId="0" xfId="5" applyNumberFormat="1" applyFont="1" applyAlignment="1">
      <alignment vertical="center"/>
    </xf>
    <xf numFmtId="168" fontId="15" fillId="4" borderId="5" xfId="5" applyNumberFormat="1" applyFont="1" applyFill="1" applyBorder="1" applyAlignment="1">
      <alignment horizontal="right" vertical="center"/>
    </xf>
    <xf numFmtId="0" fontId="19" fillId="0" borderId="2" xfId="5" applyFont="1" applyBorder="1" applyAlignment="1">
      <alignment horizontal="right" vertical="center"/>
    </xf>
    <xf numFmtId="0" fontId="19" fillId="0" borderId="3" xfId="5" applyFont="1" applyBorder="1" applyAlignment="1">
      <alignment horizontal="right" vertical="center"/>
    </xf>
    <xf numFmtId="0" fontId="37" fillId="0" borderId="0" xfId="5" applyFont="1" applyAlignment="1">
      <alignment vertical="center"/>
    </xf>
    <xf numFmtId="0" fontId="34" fillId="0" borderId="0" xfId="5" applyFont="1" applyAlignment="1">
      <alignment horizontal="right" vertical="center"/>
    </xf>
    <xf numFmtId="172" fontId="15" fillId="0" borderId="0" xfId="5" applyNumberFormat="1" applyFont="1" applyAlignment="1">
      <alignment vertical="center"/>
    </xf>
    <xf numFmtId="164" fontId="15" fillId="0" borderId="0" xfId="5" applyNumberFormat="1" applyFont="1" applyAlignment="1">
      <alignment vertical="center"/>
    </xf>
    <xf numFmtId="172" fontId="19" fillId="0" borderId="0" xfId="5" applyNumberFormat="1" applyFont="1" applyAlignment="1">
      <alignment horizontal="right" vertical="center"/>
    </xf>
    <xf numFmtId="164" fontId="19" fillId="0" borderId="0" xfId="5" applyNumberFormat="1" applyFont="1" applyAlignment="1">
      <alignment horizontal="right" vertical="center"/>
    </xf>
    <xf numFmtId="172" fontId="19" fillId="0" borderId="1" xfId="5" applyNumberFormat="1" applyFont="1" applyBorder="1" applyAlignment="1">
      <alignment horizontal="right" vertical="center"/>
    </xf>
    <xf numFmtId="164" fontId="19" fillId="0" borderId="1" xfId="5" applyNumberFormat="1" applyFont="1" applyBorder="1" applyAlignment="1">
      <alignment horizontal="right" vertical="center"/>
    </xf>
    <xf numFmtId="0" fontId="15" fillId="7" borderId="0" xfId="5" applyFont="1" applyFill="1" applyAlignment="1">
      <alignment horizontal="right" vertical="center"/>
    </xf>
    <xf numFmtId="172" fontId="15" fillId="7" borderId="0" xfId="5" applyNumberFormat="1" applyFont="1" applyFill="1" applyAlignment="1">
      <alignment horizontal="right" vertical="center"/>
    </xf>
    <xf numFmtId="165" fontId="15" fillId="7" borderId="0" xfId="5" applyNumberFormat="1" applyFont="1" applyFill="1" applyAlignment="1">
      <alignment horizontal="right" vertical="center"/>
    </xf>
    <xf numFmtId="0" fontId="15" fillId="7" borderId="1" xfId="5" applyFont="1" applyFill="1" applyBorder="1" applyAlignment="1">
      <alignment horizontal="right" vertical="center"/>
    </xf>
    <xf numFmtId="172" fontId="15" fillId="7" borderId="1" xfId="5" applyNumberFormat="1" applyFont="1" applyFill="1" applyBorder="1" applyAlignment="1">
      <alignment horizontal="right" vertical="center"/>
    </xf>
    <xf numFmtId="165" fontId="15" fillId="7" borderId="1" xfId="5" applyNumberFormat="1" applyFont="1" applyFill="1" applyBorder="1" applyAlignment="1">
      <alignment horizontal="right" vertical="center"/>
    </xf>
    <xf numFmtId="172" fontId="15" fillId="0" borderId="0" xfId="5" applyNumberFormat="1" applyFont="1" applyAlignment="1">
      <alignment horizontal="right" vertical="center"/>
    </xf>
    <xf numFmtId="164" fontId="15" fillId="0" borderId="0" xfId="5" applyNumberFormat="1" applyFont="1" applyAlignment="1">
      <alignment horizontal="right" vertical="center"/>
    </xf>
    <xf numFmtId="165" fontId="19" fillId="0" borderId="0" xfId="5" applyNumberFormat="1" applyFont="1" applyAlignment="1">
      <alignment horizontal="right" vertical="center"/>
    </xf>
    <xf numFmtId="165" fontId="39" fillId="7" borderId="0" xfId="5" applyNumberFormat="1" applyFont="1" applyFill="1" applyAlignment="1">
      <alignment horizontal="right" vertical="center"/>
    </xf>
    <xf numFmtId="0" fontId="15" fillId="0" borderId="1" xfId="5" applyFont="1" applyBorder="1" applyAlignment="1">
      <alignment vertical="center"/>
    </xf>
    <xf numFmtId="172" fontId="15" fillId="0" borderId="1" xfId="5" applyNumberFormat="1" applyFont="1" applyBorder="1" applyAlignment="1">
      <alignment vertical="center"/>
    </xf>
    <xf numFmtId="164" fontId="15" fillId="0" borderId="1" xfId="5" applyNumberFormat="1" applyFont="1" applyBorder="1" applyAlignment="1">
      <alignment vertical="center"/>
    </xf>
    <xf numFmtId="0" fontId="15" fillId="7" borderId="0" xfId="5" applyFont="1" applyFill="1" applyAlignment="1">
      <alignment vertical="center"/>
    </xf>
    <xf numFmtId="165" fontId="15" fillId="7" borderId="0" xfId="5" applyNumberFormat="1" applyFont="1" applyFill="1" applyAlignment="1">
      <alignment vertical="center"/>
    </xf>
    <xf numFmtId="0" fontId="15" fillId="7" borderId="1" xfId="5" applyFont="1" applyFill="1" applyBorder="1" applyAlignment="1">
      <alignment vertical="center"/>
    </xf>
    <xf numFmtId="165" fontId="15" fillId="7" borderId="1" xfId="5" applyNumberFormat="1" applyFont="1" applyFill="1" applyBorder="1" applyAlignment="1">
      <alignment vertical="center"/>
    </xf>
    <xf numFmtId="2" fontId="15" fillId="0" borderId="0" xfId="5" applyNumberFormat="1" applyFont="1" applyAlignment="1">
      <alignment vertical="center"/>
    </xf>
    <xf numFmtId="175" fontId="15" fillId="7" borderId="0" xfId="6" applyNumberFormat="1" applyFont="1" applyFill="1" applyAlignment="1">
      <alignment vertical="center"/>
    </xf>
    <xf numFmtId="176" fontId="15" fillId="7" borderId="0" xfId="7" applyNumberFormat="1" applyFont="1" applyFill="1" applyAlignment="1">
      <alignment vertical="center"/>
    </xf>
    <xf numFmtId="2" fontId="15" fillId="7" borderId="0" xfId="5" applyNumberFormat="1" applyFont="1" applyFill="1" applyAlignment="1">
      <alignment horizontal="right" vertical="center"/>
    </xf>
    <xf numFmtId="2" fontId="15" fillId="7" borderId="1" xfId="5" applyNumberFormat="1" applyFont="1" applyFill="1" applyBorder="1" applyAlignment="1">
      <alignment horizontal="right" vertical="center"/>
    </xf>
    <xf numFmtId="2" fontId="15" fillId="0" borderId="0" xfId="5" applyNumberFormat="1" applyFont="1" applyAlignment="1">
      <alignment horizontal="right" vertical="center"/>
    </xf>
    <xf numFmtId="2" fontId="15" fillId="0" borderId="1" xfId="5" applyNumberFormat="1" applyFont="1" applyBorder="1" applyAlignment="1">
      <alignment vertical="center"/>
    </xf>
    <xf numFmtId="2" fontId="15" fillId="7" borderId="0" xfId="5" applyNumberFormat="1" applyFont="1" applyFill="1" applyAlignment="1">
      <alignment vertical="center"/>
    </xf>
    <xf numFmtId="2" fontId="15" fillId="7" borderId="1" xfId="5" applyNumberFormat="1" applyFont="1" applyFill="1" applyBorder="1" applyAlignment="1">
      <alignment vertical="center"/>
    </xf>
    <xf numFmtId="0" fontId="40" fillId="0" borderId="0" xfId="5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14" fontId="15" fillId="7" borderId="0" xfId="0" applyNumberFormat="1" applyFont="1" applyFill="1" applyAlignment="1">
      <alignment horizontal="right" vertical="center"/>
    </xf>
    <xf numFmtId="14" fontId="41" fillId="0" borderId="0" xfId="0" quotePrefix="1" applyNumberFormat="1" applyFont="1" applyAlignment="1">
      <alignment horizontal="left" vertical="center"/>
    </xf>
    <xf numFmtId="0" fontId="15" fillId="7" borderId="0" xfId="0" applyFont="1" applyFill="1" applyAlignment="1">
      <alignment horizontal="right" vertical="center"/>
    </xf>
    <xf numFmtId="2" fontId="15" fillId="7" borderId="0" xfId="0" applyNumberFormat="1" applyFont="1" applyFill="1" applyAlignment="1">
      <alignment horizontal="right" vertical="center"/>
    </xf>
    <xf numFmtId="165" fontId="15" fillId="7" borderId="0" xfId="0" applyNumberFormat="1" applyFont="1" applyFill="1" applyAlignment="1">
      <alignment vertical="center"/>
    </xf>
    <xf numFmtId="0" fontId="15" fillId="0" borderId="2" xfId="0" applyFont="1" applyBorder="1" applyAlignment="1">
      <alignment vertical="center"/>
    </xf>
    <xf numFmtId="165" fontId="15" fillId="7" borderId="0" xfId="0" applyNumberFormat="1" applyFont="1" applyFill="1" applyAlignment="1">
      <alignment horizontal="right" vertical="center"/>
    </xf>
    <xf numFmtId="0" fontId="3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30" fillId="0" borderId="0" xfId="5" applyFont="1" applyAlignment="1">
      <alignment vertical="center"/>
    </xf>
    <xf numFmtId="165" fontId="19" fillId="7" borderId="0" xfId="5" applyNumberFormat="1" applyFont="1" applyFill="1" applyAlignment="1">
      <alignment horizontal="right" vertical="center"/>
    </xf>
    <xf numFmtId="2" fontId="41" fillId="0" borderId="0" xfId="5" applyNumberFormat="1" applyFont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176" fontId="15" fillId="7" borderId="0" xfId="2" applyNumberFormat="1" applyFont="1" applyFill="1" applyAlignment="1">
      <alignment vertical="center"/>
    </xf>
    <xf numFmtId="0" fontId="19" fillId="0" borderId="3" xfId="0" applyFont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9" fontId="19" fillId="0" borderId="1" xfId="0" applyNumberFormat="1" applyFont="1" applyBorder="1" applyAlignment="1">
      <alignment vertical="center"/>
    </xf>
    <xf numFmtId="165" fontId="19" fillId="0" borderId="0" xfId="5" applyNumberFormat="1" applyFont="1" applyAlignment="1">
      <alignment horizontal="left" vertical="center"/>
    </xf>
    <xf numFmtId="165" fontId="39" fillId="0" borderId="0" xfId="5" applyNumberFormat="1" applyFont="1" applyAlignment="1">
      <alignment horizontal="left" vertical="center"/>
    </xf>
    <xf numFmtId="165" fontId="19" fillId="7" borderId="0" xfId="5" applyNumberFormat="1" applyFont="1" applyFill="1" applyAlignment="1">
      <alignment vertical="center"/>
    </xf>
    <xf numFmtId="9" fontId="15" fillId="0" borderId="0" xfId="5" applyNumberFormat="1" applyFont="1" applyAlignment="1">
      <alignment vertical="center"/>
    </xf>
    <xf numFmtId="0" fontId="15" fillId="0" borderId="1" xfId="5" applyFont="1" applyBorder="1" applyAlignment="1">
      <alignment horizontal="right" vertical="center"/>
    </xf>
    <xf numFmtId="0" fontId="41" fillId="0" borderId="0" xfId="5" applyFont="1" applyAlignment="1">
      <alignment horizontal="right" vertical="center"/>
    </xf>
    <xf numFmtId="164" fontId="15" fillId="2" borderId="0" xfId="5" applyNumberFormat="1" applyFont="1" applyFill="1" applyAlignment="1">
      <alignment horizontal="right" vertical="center"/>
    </xf>
    <xf numFmtId="10" fontId="15" fillId="2" borderId="0" xfId="6" applyNumberFormat="1" applyFont="1" applyFill="1" applyAlignment="1">
      <alignment horizontal="right" vertical="center"/>
    </xf>
    <xf numFmtId="177" fontId="15" fillId="2" borderId="0" xfId="7" applyNumberFormat="1" applyFont="1" applyFill="1" applyAlignment="1">
      <alignment horizontal="right" vertical="center"/>
    </xf>
    <xf numFmtId="169" fontId="15" fillId="0" borderId="0" xfId="2" applyNumberFormat="1" applyFont="1" applyAlignment="1">
      <alignment vertical="center"/>
    </xf>
    <xf numFmtId="0" fontId="22" fillId="0" borderId="0" xfId="5" applyFont="1" applyAlignment="1">
      <alignment vertical="center"/>
    </xf>
    <xf numFmtId="43" fontId="15" fillId="2" borderId="1" xfId="7" applyFont="1" applyFill="1" applyBorder="1" applyAlignment="1">
      <alignment horizontal="right" vertical="center"/>
    </xf>
    <xf numFmtId="0" fontId="39" fillId="0" borderId="0" xfId="5" applyFont="1" applyAlignment="1">
      <alignment horizontal="right" vertical="center"/>
    </xf>
    <xf numFmtId="164" fontId="39" fillId="2" borderId="0" xfId="5" applyNumberFormat="1" applyFont="1" applyFill="1" applyAlignment="1">
      <alignment horizontal="right" vertical="center"/>
    </xf>
    <xf numFmtId="0" fontId="39" fillId="0" borderId="1" xfId="5" applyFont="1" applyBorder="1" applyAlignment="1">
      <alignment horizontal="right" vertical="center"/>
    </xf>
    <xf numFmtId="164" fontId="39" fillId="2" borderId="1" xfId="5" applyNumberFormat="1" applyFont="1" applyFill="1" applyBorder="1" applyAlignment="1">
      <alignment horizontal="right" vertical="center"/>
    </xf>
    <xf numFmtId="43" fontId="15" fillId="2" borderId="0" xfId="2" applyFont="1" applyFill="1" applyAlignment="1">
      <alignment horizontal="right" vertical="center"/>
    </xf>
    <xf numFmtId="43" fontId="15" fillId="2" borderId="1" xfId="2" applyFont="1" applyFill="1" applyBorder="1" applyAlignment="1">
      <alignment horizontal="right" vertical="center"/>
    </xf>
    <xf numFmtId="43" fontId="19" fillId="0" borderId="0" xfId="2" applyFont="1" applyAlignment="1">
      <alignment horizontal="right" vertical="center"/>
    </xf>
    <xf numFmtId="43" fontId="19" fillId="2" borderId="0" xfId="2" applyFont="1" applyFill="1" applyAlignment="1">
      <alignment horizontal="right" vertical="center"/>
    </xf>
    <xf numFmtId="168" fontId="15" fillId="4" borderId="4" xfId="5" applyNumberFormat="1" applyFont="1" applyFill="1" applyBorder="1" applyAlignment="1">
      <alignment horizontal="center" vertical="center"/>
    </xf>
    <xf numFmtId="168" fontId="15" fillId="4" borderId="5" xfId="5" applyNumberFormat="1" applyFont="1" applyFill="1" applyBorder="1" applyAlignment="1">
      <alignment horizontal="center" vertical="center"/>
    </xf>
    <xf numFmtId="167" fontId="19" fillId="0" borderId="0" xfId="5" applyNumberFormat="1" applyFont="1" applyAlignment="1">
      <alignment vertical="center"/>
    </xf>
    <xf numFmtId="4" fontId="15" fillId="8" borderId="4" xfId="5" applyNumberFormat="1" applyFont="1" applyFill="1" applyBorder="1" applyAlignment="1">
      <alignment vertical="center"/>
    </xf>
    <xf numFmtId="4" fontId="15" fillId="8" borderId="2" xfId="5" applyNumberFormat="1" applyFont="1" applyFill="1" applyBorder="1" applyAlignment="1">
      <alignment vertical="center"/>
    </xf>
    <xf numFmtId="2" fontId="15" fillId="8" borderId="0" xfId="5" applyNumberFormat="1" applyFont="1" applyFill="1" applyAlignment="1">
      <alignment vertical="center"/>
    </xf>
    <xf numFmtId="4" fontId="15" fillId="8" borderId="5" xfId="5" applyNumberFormat="1" applyFont="1" applyFill="1" applyBorder="1" applyAlignment="1">
      <alignment vertical="center"/>
    </xf>
    <xf numFmtId="4" fontId="34" fillId="8" borderId="2" xfId="5" applyNumberFormat="1" applyFont="1" applyFill="1" applyBorder="1" applyAlignment="1">
      <alignment vertical="center"/>
    </xf>
    <xf numFmtId="2" fontId="34" fillId="8" borderId="0" xfId="5" applyNumberFormat="1" applyFont="1" applyFill="1" applyAlignment="1">
      <alignment vertical="center"/>
    </xf>
    <xf numFmtId="10" fontId="19" fillId="4" borderId="0" xfId="5" applyNumberFormat="1" applyFont="1" applyFill="1" applyAlignment="1">
      <alignment horizontal="right" vertical="center"/>
    </xf>
    <xf numFmtId="172" fontId="19" fillId="4" borderId="0" xfId="5" applyNumberFormat="1" applyFont="1" applyFill="1" applyAlignment="1">
      <alignment horizontal="right" vertical="center"/>
    </xf>
    <xf numFmtId="167" fontId="19" fillId="4" borderId="0" xfId="5" applyNumberFormat="1" applyFont="1" applyFill="1" applyAlignment="1">
      <alignment horizontal="right" vertical="center"/>
    </xf>
    <xf numFmtId="168" fontId="19" fillId="4" borderId="0" xfId="5" applyNumberFormat="1" applyFont="1" applyFill="1" applyAlignment="1">
      <alignment horizontal="right" vertical="center"/>
    </xf>
    <xf numFmtId="0" fontId="43" fillId="0" borderId="0" xfId="5" applyFont="1" applyAlignment="1">
      <alignment vertical="center"/>
    </xf>
    <xf numFmtId="2" fontId="15" fillId="8" borderId="11" xfId="5" applyNumberFormat="1" applyFont="1" applyFill="1" applyBorder="1" applyAlignment="1">
      <alignment vertical="center"/>
    </xf>
    <xf numFmtId="168" fontId="15" fillId="8" borderId="4" xfId="5" applyNumberFormat="1" applyFont="1" applyFill="1" applyBorder="1" applyAlignment="1">
      <alignment horizontal="center" vertical="center"/>
    </xf>
    <xf numFmtId="10" fontId="15" fillId="0" borderId="0" xfId="5" applyNumberFormat="1" applyFont="1" applyAlignment="1">
      <alignment vertical="center"/>
    </xf>
    <xf numFmtId="0" fontId="44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5" fillId="0" borderId="0" xfId="5" applyFont="1" applyAlignment="1">
      <alignment horizontal="center" vertical="center"/>
    </xf>
  </cellXfs>
  <cellStyles count="9">
    <cellStyle name="Comma" xfId="2" builtinId="3"/>
    <cellStyle name="Comma 2" xfId="3" xr:uid="{2C225DAE-988A-364E-84FA-7192C5FB79D7}"/>
    <cellStyle name="Comma 3" xfId="7" xr:uid="{E7036578-D1A6-5045-B920-D9D708AD89B0}"/>
    <cellStyle name="Normal" xfId="0" builtinId="0"/>
    <cellStyle name="Normal 2" xfId="1" xr:uid="{8FCBE251-D267-476E-8F30-2EF331A38A5C}"/>
    <cellStyle name="Normal 3" xfId="5" xr:uid="{3D822D0E-5E50-C247-B465-43A7C1C40B4B}"/>
    <cellStyle name="Percent" xfId="8" builtinId="5"/>
    <cellStyle name="Percent 2" xfId="4" xr:uid="{175ADCE3-9469-0443-BE41-D29F42E228F3}"/>
    <cellStyle name="Percent 3" xfId="6" xr:uid="{F87818F9-5873-DA4D-B59C-75AC41A0B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132522</xdr:colOff>
      <xdr:row>17</xdr:row>
      <xdr:rowOff>77304</xdr:rowOff>
    </xdr:from>
    <xdr:to>
      <xdr:col>3</xdr:col>
      <xdr:colOff>1656521</xdr:colOff>
      <xdr:row>20</xdr:row>
      <xdr:rowOff>30149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A75AB-0094-7171-69FF-5E8F58F0A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22" y="3600174"/>
          <a:ext cx="6018695" cy="549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19418</xdr:rowOff>
    </xdr:from>
    <xdr:to>
      <xdr:col>4</xdr:col>
      <xdr:colOff>833120</xdr:colOff>
      <xdr:row>25</xdr:row>
      <xdr:rowOff>182879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8E0EF9-4E4C-4979-3DBE-1D3EDDFF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5018138"/>
          <a:ext cx="833120" cy="366661"/>
        </a:xfrm>
        <a:prstGeom prst="rect">
          <a:avLst/>
        </a:prstGeom>
      </xdr:spPr>
    </xdr:pic>
    <xdr:clientData/>
  </xdr:twoCellAnchor>
  <xdr:twoCellAnchor editAs="oneCell">
    <xdr:from>
      <xdr:col>1</xdr:col>
      <xdr:colOff>2164080</xdr:colOff>
      <xdr:row>48</xdr:row>
      <xdr:rowOff>20320</xdr:rowOff>
    </xdr:from>
    <xdr:to>
      <xdr:col>1</xdr:col>
      <xdr:colOff>2546667</xdr:colOff>
      <xdr:row>50</xdr:row>
      <xdr:rowOff>115568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D634D-4CD8-C259-D223-D9460D4CE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7280" y="9977120"/>
          <a:ext cx="406399" cy="501648"/>
        </a:xfrm>
        <a:prstGeom prst="rect">
          <a:avLst/>
        </a:prstGeom>
      </xdr:spPr>
    </xdr:pic>
    <xdr:clientData/>
  </xdr:twoCellAnchor>
  <xdr:twoCellAnchor editAs="oneCell">
    <xdr:from>
      <xdr:col>5</xdr:col>
      <xdr:colOff>1076960</xdr:colOff>
      <xdr:row>25</xdr:row>
      <xdr:rowOff>0</xdr:rowOff>
    </xdr:from>
    <xdr:to>
      <xdr:col>7</xdr:col>
      <xdr:colOff>178141</xdr:colOff>
      <xdr:row>27</xdr:row>
      <xdr:rowOff>120887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568053-9FA4-D14E-9DA2-499488FA3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3520" y="5201920"/>
          <a:ext cx="1661501" cy="527287"/>
        </a:xfrm>
        <a:prstGeom prst="rect">
          <a:avLst/>
        </a:prstGeom>
      </xdr:spPr>
    </xdr:pic>
    <xdr:clientData/>
  </xdr:twoCellAnchor>
  <xdr:twoCellAnchor editAs="oneCell">
    <xdr:from>
      <xdr:col>5</xdr:col>
      <xdr:colOff>386080</xdr:colOff>
      <xdr:row>23</xdr:row>
      <xdr:rowOff>30480</xdr:rowOff>
    </xdr:from>
    <xdr:to>
      <xdr:col>7</xdr:col>
      <xdr:colOff>731520</xdr:colOff>
      <xdr:row>24</xdr:row>
      <xdr:rowOff>122067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77B23B-B0E7-544D-9864-2041BF51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52640" y="4826000"/>
          <a:ext cx="2905760" cy="2947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173597</xdr:colOff>
      <xdr:row>15</xdr:row>
      <xdr:rowOff>82231</xdr:rowOff>
    </xdr:from>
    <xdr:to>
      <xdr:col>9</xdr:col>
      <xdr:colOff>281410</xdr:colOff>
      <xdr:row>18</xdr:row>
      <xdr:rowOff>14411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08859-1F90-2DD6-5102-1F926AB9B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4101" y="3188706"/>
          <a:ext cx="3305654" cy="535201"/>
        </a:xfrm>
        <a:prstGeom prst="rect">
          <a:avLst/>
        </a:prstGeom>
      </xdr:spPr>
    </xdr:pic>
    <xdr:clientData/>
  </xdr:twoCellAnchor>
  <xdr:twoCellAnchor editAs="oneCell">
    <xdr:from>
      <xdr:col>7</xdr:col>
      <xdr:colOff>566475</xdr:colOff>
      <xdr:row>10</xdr:row>
      <xdr:rowOff>41635</xdr:rowOff>
    </xdr:from>
    <xdr:to>
      <xdr:col>10</xdr:col>
      <xdr:colOff>103061</xdr:colOff>
      <xdr:row>12</xdr:row>
      <xdr:rowOff>120879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D99C0-13D8-EC1F-50F8-C9C2CC098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1727" y="2143074"/>
          <a:ext cx="2971981" cy="481258"/>
        </a:xfrm>
        <a:prstGeom prst="rect">
          <a:avLst/>
        </a:prstGeom>
      </xdr:spPr>
    </xdr:pic>
    <xdr:clientData/>
  </xdr:twoCellAnchor>
  <xdr:twoCellAnchor editAs="oneCell">
    <xdr:from>
      <xdr:col>6</xdr:col>
      <xdr:colOff>137050</xdr:colOff>
      <xdr:row>18</xdr:row>
      <xdr:rowOff>191871</xdr:rowOff>
    </xdr:from>
    <xdr:to>
      <xdr:col>10</xdr:col>
      <xdr:colOff>86028</xdr:colOff>
      <xdr:row>31</xdr:row>
      <xdr:rowOff>169334</xdr:rowOff>
    </xdr:to>
    <xdr:pic>
      <xdr:nvPicPr>
        <xdr:cNvPr id="4" name="Picture 3" descr="Graph presents duration approximation as a straight, downward-sloping line, while actual price change is a downward-bowed curve.">
          <a:extLst>
            <a:ext uri="{FF2B5EF4-FFF2-40B4-BE49-F238E27FC236}">
              <a16:creationId xmlns:a16="http://schemas.microsoft.com/office/drawing/2014/main" id="{2B774CA5-D28E-0E87-6C96-6111443FC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1717" y="3906621"/>
          <a:ext cx="3981228" cy="2591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112991</xdr:colOff>
      <xdr:row>32</xdr:row>
      <xdr:rowOff>57712</xdr:rowOff>
    </xdr:from>
    <xdr:to>
      <xdr:col>10</xdr:col>
      <xdr:colOff>170376</xdr:colOff>
      <xdr:row>45</xdr:row>
      <xdr:rowOff>63500</xdr:rowOff>
    </xdr:to>
    <xdr:pic>
      <xdr:nvPicPr>
        <xdr:cNvPr id="5" name="Picture 4" descr="Bond A is more convex than bond B.">
          <a:extLst>
            <a:ext uri="{FF2B5EF4-FFF2-40B4-BE49-F238E27FC236}">
              <a16:creationId xmlns:a16="http://schemas.microsoft.com/office/drawing/2014/main" id="{FFB8B9CF-BB6E-874E-ABB4-A0AD097D2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658" y="6587629"/>
          <a:ext cx="4089635" cy="2619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bumchanahn/Desktop/HULT/HULT%20Professor%20PG/PG%202023%20Spring_Investment%20/2023%20Spring_Investments_Excel_Application_Ch16.%20Holding%20Period%20Immuniz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hn/Desktop/Accounting%20TA/Performance%20Management/C:/Users/John/Accounting%20HULT%20My%20Files/accounting%20hult%20team%20files/Managerial%20Accounting/Chapter%202/C-V-P%20Graph%20for%20Class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xit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C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3068-ADF6-584E-9E09-A3EBAD8835D1}">
  <sheetPr>
    <pageSetUpPr fitToPage="1"/>
  </sheetPr>
  <dimension ref="A2:L103"/>
  <sheetViews>
    <sheetView showGridLines="0" tabSelected="1" zoomScale="86" workbookViewId="0">
      <selection activeCell="E34" sqref="E34"/>
    </sheetView>
  </sheetViews>
  <sheetFormatPr defaultColWidth="9.1328125" defaultRowHeight="15.4" x14ac:dyDescent="0.45"/>
  <cols>
    <col min="1" max="1" width="3" style="2" customWidth="1"/>
    <col min="2" max="2" width="37.6640625" style="2" customWidth="1"/>
    <col min="3" max="9" width="12.796875" style="2" customWidth="1"/>
    <col min="10" max="16384" width="9.1328125" style="2"/>
  </cols>
  <sheetData>
    <row r="2" spans="1:9" ht="30.4" x14ac:dyDescent="0.45">
      <c r="B2" s="119" t="s">
        <v>231</v>
      </c>
      <c r="C2" s="10"/>
      <c r="D2" s="10"/>
      <c r="E2" s="10"/>
      <c r="F2" s="10"/>
      <c r="G2" s="10"/>
      <c r="H2" s="10"/>
      <c r="I2" s="10"/>
    </row>
    <row r="3" spans="1:9" x14ac:dyDescent="0.45">
      <c r="A3" s="1"/>
      <c r="B3" s="1"/>
    </row>
    <row r="4" spans="1:9" s="4" customFormat="1" ht="22.5" x14ac:dyDescent="0.45">
      <c r="A4" s="3"/>
      <c r="B4" s="91" t="s">
        <v>165</v>
      </c>
      <c r="E4" s="4">
        <f>1000/1.05</f>
        <v>952.38095238095229</v>
      </c>
    </row>
    <row r="5" spans="1:9" x14ac:dyDescent="0.45">
      <c r="A5" s="1"/>
      <c r="B5" s="1"/>
    </row>
    <row r="6" spans="1:9" s="1" customFormat="1" ht="14" customHeight="1" x14ac:dyDescent="0.45">
      <c r="A6" s="5"/>
      <c r="B6" s="6" t="s">
        <v>42</v>
      </c>
      <c r="C6" s="7"/>
      <c r="D6" s="7"/>
      <c r="E6" s="7"/>
      <c r="F6" s="7"/>
      <c r="G6" s="7"/>
      <c r="H6" s="5"/>
      <c r="I6" s="5"/>
    </row>
    <row r="7" spans="1:9" s="1" customFormat="1" ht="17" customHeight="1" x14ac:dyDescent="0.45">
      <c r="A7" s="5"/>
      <c r="B7" s="6" t="s">
        <v>43</v>
      </c>
      <c r="C7" s="7"/>
      <c r="D7" s="7"/>
      <c r="E7" s="7"/>
      <c r="F7" s="7"/>
      <c r="G7" s="7"/>
      <c r="H7" s="5"/>
      <c r="I7" s="5"/>
    </row>
    <row r="8" spans="1:9" x14ac:dyDescent="0.45">
      <c r="A8" s="8"/>
    </row>
    <row r="9" spans="1:9" x14ac:dyDescent="0.45">
      <c r="A9" s="8"/>
      <c r="B9" s="9" t="s">
        <v>44</v>
      </c>
      <c r="C9" s="10"/>
      <c r="E9" s="11" t="s">
        <v>45</v>
      </c>
      <c r="F9" s="11" t="s">
        <v>46</v>
      </c>
      <c r="G9" s="11" t="s">
        <v>47</v>
      </c>
      <c r="H9" s="11" t="s">
        <v>48</v>
      </c>
      <c r="I9" s="11" t="s">
        <v>49</v>
      </c>
    </row>
    <row r="10" spans="1:9" x14ac:dyDescent="0.45">
      <c r="A10" s="8"/>
      <c r="B10" s="2" t="s">
        <v>50</v>
      </c>
      <c r="C10" s="12">
        <f>-H11</f>
        <v>1000</v>
      </c>
      <c r="D10" s="13" t="str">
        <f ca="1">_xlfn.FORMULATEXT(C10)</f>
        <v>=-H11</v>
      </c>
      <c r="E10" s="14">
        <v>0.08</v>
      </c>
      <c r="F10" s="15">
        <v>9</v>
      </c>
      <c r="G10" s="15">
        <f>1000*8%</f>
        <v>80</v>
      </c>
      <c r="H10" s="15" t="s">
        <v>51</v>
      </c>
      <c r="I10" s="15">
        <v>1000</v>
      </c>
    </row>
    <row r="11" spans="1:9" x14ac:dyDescent="0.45">
      <c r="A11" s="8"/>
      <c r="B11" s="2" t="s">
        <v>52</v>
      </c>
      <c r="C11" s="16">
        <f>G10/-H11</f>
        <v>0.08</v>
      </c>
      <c r="D11" s="13" t="str">
        <f ca="1">_xlfn.FORMULATEXT(C11)</f>
        <v>=G10/-H11</v>
      </c>
      <c r="E11" s="17"/>
      <c r="F11" s="17"/>
      <c r="G11" s="17"/>
      <c r="H11" s="18">
        <f>PV(E10,F10,G10,I10)</f>
        <v>-1000</v>
      </c>
      <c r="I11" s="17"/>
    </row>
    <row r="12" spans="1:9" x14ac:dyDescent="0.45">
      <c r="A12" s="8"/>
      <c r="B12" s="2" t="s">
        <v>53</v>
      </c>
      <c r="C12" s="16">
        <f>E10-C11</f>
        <v>0</v>
      </c>
      <c r="D12" s="13" t="str">
        <f t="shared" ref="D12:D16" ca="1" si="0">_xlfn.FORMULATEXT(C12)</f>
        <v>=E10-C11</v>
      </c>
    </row>
    <row r="13" spans="1:9" x14ac:dyDescent="0.45">
      <c r="A13" s="8"/>
      <c r="D13" s="13"/>
      <c r="E13" s="11" t="s">
        <v>45</v>
      </c>
      <c r="F13" s="11" t="s">
        <v>46</v>
      </c>
      <c r="G13" s="11" t="s">
        <v>47</v>
      </c>
      <c r="H13" s="11" t="s">
        <v>48</v>
      </c>
      <c r="I13" s="11" t="s">
        <v>49</v>
      </c>
    </row>
    <row r="14" spans="1:9" x14ac:dyDescent="0.45">
      <c r="A14" s="8"/>
      <c r="B14" s="2" t="s">
        <v>54</v>
      </c>
      <c r="C14" s="19">
        <f>-H15</f>
        <v>1136.0338454899918</v>
      </c>
      <c r="D14" s="13" t="str">
        <f t="shared" ca="1" si="0"/>
        <v>=-H15</v>
      </c>
      <c r="E14" s="14">
        <v>0.06</v>
      </c>
      <c r="F14" s="15">
        <v>9</v>
      </c>
      <c r="G14" s="15">
        <f>1000*8%</f>
        <v>80</v>
      </c>
      <c r="H14" s="15" t="s">
        <v>51</v>
      </c>
      <c r="I14" s="15">
        <v>1000</v>
      </c>
    </row>
    <row r="15" spans="1:9" x14ac:dyDescent="0.45">
      <c r="A15" s="8"/>
      <c r="B15" s="2" t="s">
        <v>55</v>
      </c>
      <c r="C15" s="20">
        <f>G14/-H15</f>
        <v>7.0420437135387079E-2</v>
      </c>
      <c r="D15" s="13" t="str">
        <f t="shared" ca="1" si="0"/>
        <v>=G14/-H15</v>
      </c>
      <c r="E15" s="17"/>
      <c r="F15" s="17"/>
      <c r="G15" s="17"/>
      <c r="H15" s="18">
        <f>PV(E14,F14,G14,I14)</f>
        <v>-1136.0338454899918</v>
      </c>
      <c r="I15" s="17"/>
    </row>
    <row r="16" spans="1:9" x14ac:dyDescent="0.45">
      <c r="A16" s="8"/>
      <c r="B16" s="2" t="s">
        <v>56</v>
      </c>
      <c r="C16" s="21">
        <f>E14-C15</f>
        <v>-1.0420437135387081E-2</v>
      </c>
      <c r="D16" s="13" t="str">
        <f t="shared" ca="1" si="0"/>
        <v>=E14-C15</v>
      </c>
    </row>
    <row r="17" spans="1:9" x14ac:dyDescent="0.45">
      <c r="B17" s="2" t="s">
        <v>57</v>
      </c>
    </row>
    <row r="18" spans="1:9" x14ac:dyDescent="0.45">
      <c r="B18" s="22" t="s">
        <v>58</v>
      </c>
      <c r="C18" s="22"/>
      <c r="D18" s="22"/>
      <c r="E18" s="22"/>
      <c r="F18" s="22"/>
      <c r="G18" s="22"/>
      <c r="H18" s="22"/>
      <c r="I18" s="22"/>
    </row>
    <row r="19" spans="1:9" x14ac:dyDescent="0.45">
      <c r="B19" s="22" t="s">
        <v>59</v>
      </c>
      <c r="C19" s="22"/>
      <c r="D19" s="22"/>
      <c r="E19" s="22"/>
      <c r="F19" s="22"/>
      <c r="G19" s="22"/>
      <c r="H19" s="22"/>
      <c r="I19" s="22"/>
    </row>
    <row r="21" spans="1:9" x14ac:dyDescent="0.45">
      <c r="B21" s="2" t="s">
        <v>60</v>
      </c>
      <c r="C21" s="23">
        <f>-H23</f>
        <v>884.81952367449696</v>
      </c>
      <c r="D21" s="13" t="str">
        <f t="shared" ref="D21:D23" ca="1" si="1">_xlfn.FORMULATEXT(C21)</f>
        <v>=-H23</v>
      </c>
      <c r="E21" s="11" t="s">
        <v>45</v>
      </c>
      <c r="F21" s="11" t="s">
        <v>46</v>
      </c>
      <c r="G21" s="11" t="s">
        <v>47</v>
      </c>
      <c r="H21" s="11" t="s">
        <v>48</v>
      </c>
      <c r="I21" s="11" t="s">
        <v>49</v>
      </c>
    </row>
    <row r="22" spans="1:9" x14ac:dyDescent="0.45">
      <c r="B22" s="2" t="s">
        <v>61</v>
      </c>
      <c r="C22" s="20">
        <f>G22/-H23</f>
        <v>9.0413918160139967E-2</v>
      </c>
      <c r="D22" s="13" t="str">
        <f t="shared" ca="1" si="1"/>
        <v>=G22/-H23</v>
      </c>
      <c r="E22" s="14">
        <v>0.1</v>
      </c>
      <c r="F22" s="15">
        <v>9</v>
      </c>
      <c r="G22" s="15">
        <f>1000*8%</f>
        <v>80</v>
      </c>
      <c r="H22" s="15" t="s">
        <v>51</v>
      </c>
      <c r="I22" s="15">
        <v>1000</v>
      </c>
    </row>
    <row r="23" spans="1:9" x14ac:dyDescent="0.45">
      <c r="B23" s="2" t="s">
        <v>62</v>
      </c>
      <c r="C23" s="21">
        <f>E22-C22</f>
        <v>9.5860818398600389E-3</v>
      </c>
      <c r="D23" s="13" t="str">
        <f t="shared" ca="1" si="1"/>
        <v>=E22-C22</v>
      </c>
      <c r="E23" s="17"/>
      <c r="F23" s="17"/>
      <c r="G23" s="17"/>
      <c r="H23" s="18">
        <f>PV(E22,F22,G22,I22)</f>
        <v>-884.81952367449696</v>
      </c>
      <c r="I23" s="17"/>
    </row>
    <row r="24" spans="1:9" x14ac:dyDescent="0.45">
      <c r="B24" s="2" t="s">
        <v>63</v>
      </c>
    </row>
    <row r="25" spans="1:9" x14ac:dyDescent="0.45">
      <c r="B25" s="22" t="s">
        <v>64</v>
      </c>
      <c r="C25" s="22"/>
      <c r="D25" s="22"/>
      <c r="E25" s="22"/>
      <c r="F25" s="22"/>
      <c r="G25" s="22"/>
      <c r="H25" s="22"/>
      <c r="I25" s="22"/>
    </row>
    <row r="26" spans="1:9" x14ac:dyDescent="0.45">
      <c r="B26" s="22" t="s">
        <v>65</v>
      </c>
      <c r="C26" s="22"/>
      <c r="D26" s="22"/>
      <c r="E26" s="22"/>
      <c r="F26" s="14"/>
      <c r="G26" s="15"/>
      <c r="H26" s="15"/>
      <c r="I26" s="15"/>
    </row>
    <row r="27" spans="1:9" ht="28.05" customHeight="1" thickBot="1" x14ac:dyDescent="0.5">
      <c r="B27" s="99"/>
      <c r="C27" s="99"/>
      <c r="D27" s="99"/>
      <c r="E27" s="99"/>
      <c r="F27" s="99"/>
      <c r="G27" s="99"/>
      <c r="H27" s="99"/>
      <c r="I27" s="99"/>
    </row>
    <row r="28" spans="1:9" ht="23" customHeight="1" x14ac:dyDescent="0.45">
      <c r="B28" s="112"/>
      <c r="C28" s="112"/>
      <c r="D28" s="112"/>
      <c r="E28" s="112"/>
      <c r="F28" s="112"/>
      <c r="G28" s="112"/>
    </row>
    <row r="29" spans="1:9" s="25" customFormat="1" ht="22.5" x14ac:dyDescent="0.45">
      <c r="A29" s="24"/>
      <c r="B29" s="113" t="s">
        <v>166</v>
      </c>
      <c r="C29" s="112"/>
      <c r="D29" s="112"/>
      <c r="E29" s="112"/>
      <c r="F29" s="112"/>
      <c r="G29" s="112"/>
    </row>
    <row r="30" spans="1:9" s="27" customFormat="1" x14ac:dyDescent="0.45">
      <c r="A30" s="26"/>
    </row>
    <row r="31" spans="1:9" s="27" customFormat="1" x14ac:dyDescent="0.45">
      <c r="A31" s="26"/>
      <c r="B31" s="28" t="s">
        <v>67</v>
      </c>
    </row>
    <row r="32" spans="1:9" s="27" customFormat="1" x14ac:dyDescent="0.45">
      <c r="A32" s="26"/>
      <c r="B32" s="28"/>
    </row>
    <row r="33" spans="1:9" s="27" customFormat="1" x14ac:dyDescent="0.45">
      <c r="A33" s="26"/>
      <c r="B33" s="29" t="s">
        <v>44</v>
      </c>
      <c r="C33" s="29"/>
      <c r="E33" s="11" t="s">
        <v>68</v>
      </c>
      <c r="F33" s="11" t="s">
        <v>46</v>
      </c>
      <c r="G33" s="11" t="s">
        <v>47</v>
      </c>
      <c r="H33" s="11" t="s">
        <v>48</v>
      </c>
      <c r="I33" s="11" t="s">
        <v>49</v>
      </c>
    </row>
    <row r="34" spans="1:9" s="27" customFormat="1" x14ac:dyDescent="0.45">
      <c r="A34" s="26"/>
      <c r="B34" s="27" t="s">
        <v>69</v>
      </c>
      <c r="C34" s="114">
        <f>G34/-H34</f>
        <v>7.2727272727272724E-2</v>
      </c>
      <c r="D34" s="30" t="str">
        <f ca="1">_xlfn.FORMULATEXT(C34)</f>
        <v>=G34/-H34</v>
      </c>
      <c r="E34" s="116" t="s">
        <v>51</v>
      </c>
      <c r="F34" s="118">
        <v>8</v>
      </c>
      <c r="G34" s="118">
        <f>1000*8%</f>
        <v>80</v>
      </c>
      <c r="H34" s="118">
        <v>-1100</v>
      </c>
      <c r="I34" s="118">
        <v>1000</v>
      </c>
    </row>
    <row r="35" spans="1:9" s="27" customFormat="1" x14ac:dyDescent="0.45">
      <c r="A35" s="26" t="s">
        <v>70</v>
      </c>
      <c r="B35" s="27" t="s">
        <v>71</v>
      </c>
      <c r="C35" s="115">
        <f>E35</f>
        <v>6.3662211540162938E-2</v>
      </c>
      <c r="D35" s="30" t="str">
        <f t="shared" ref="D35:D36" ca="1" si="2">_xlfn.FORMULATEXT(C35)</f>
        <v>=E35</v>
      </c>
      <c r="E35" s="117">
        <f>RATE(F34,G34,H34,I34)</f>
        <v>6.3662211540162938E-2</v>
      </c>
      <c r="F35" s="17"/>
      <c r="G35" s="17"/>
      <c r="H35" s="17"/>
    </row>
    <row r="36" spans="1:9" s="27" customFormat="1" x14ac:dyDescent="0.45">
      <c r="A36" s="26"/>
      <c r="B36" s="27" t="s">
        <v>72</v>
      </c>
      <c r="C36" s="114">
        <f>E39*2</f>
        <v>6.3843022467938271E-2</v>
      </c>
      <c r="D36" s="30" t="str">
        <f t="shared" ca="1" si="2"/>
        <v>=E39*2</v>
      </c>
    </row>
    <row r="37" spans="1:9" s="27" customFormat="1" x14ac:dyDescent="0.45">
      <c r="A37" s="26"/>
      <c r="E37" s="11" t="s">
        <v>73</v>
      </c>
      <c r="F37" s="11" t="s">
        <v>46</v>
      </c>
      <c r="G37" s="11" t="s">
        <v>47</v>
      </c>
      <c r="H37" s="11" t="s">
        <v>48</v>
      </c>
      <c r="I37" s="11" t="s">
        <v>49</v>
      </c>
    </row>
    <row r="38" spans="1:9" s="27" customFormat="1" x14ac:dyDescent="0.45">
      <c r="A38" s="26"/>
      <c r="B38" s="28"/>
      <c r="E38" s="116" t="s">
        <v>51</v>
      </c>
      <c r="F38" s="118">
        <v>16</v>
      </c>
      <c r="G38" s="118">
        <v>40</v>
      </c>
      <c r="H38" s="118">
        <v>-1100</v>
      </c>
      <c r="I38" s="118">
        <v>1000</v>
      </c>
    </row>
    <row r="39" spans="1:9" s="27" customFormat="1" x14ac:dyDescent="0.45">
      <c r="A39" s="26"/>
      <c r="B39" s="28"/>
      <c r="C39" s="31"/>
      <c r="E39" s="117">
        <f>RATE(F38,G38,H38,I38)</f>
        <v>3.1921511233969135E-2</v>
      </c>
      <c r="F39" s="32"/>
      <c r="G39" s="33"/>
      <c r="H39" s="34"/>
    </row>
    <row r="40" spans="1:9" ht="29" customHeight="1" thickBot="1" x14ac:dyDescent="0.5">
      <c r="B40" s="99"/>
      <c r="C40" s="99"/>
      <c r="D40" s="99"/>
      <c r="E40" s="99"/>
      <c r="F40" s="99"/>
      <c r="G40" s="99"/>
      <c r="H40" s="99"/>
      <c r="I40" s="99"/>
    </row>
    <row r="42" spans="1:9" s="93" customFormat="1" ht="22.9" x14ac:dyDescent="0.45">
      <c r="A42" s="92"/>
      <c r="B42" s="92" t="s">
        <v>167</v>
      </c>
    </row>
    <row r="43" spans="1:9" s="27" customFormat="1" x14ac:dyDescent="0.45"/>
    <row r="44" spans="1:9" s="27" customFormat="1" x14ac:dyDescent="0.45">
      <c r="B44" s="28" t="s">
        <v>74</v>
      </c>
    </row>
    <row r="45" spans="1:9" s="27" customFormat="1" x14ac:dyDescent="0.45">
      <c r="B45" s="28" t="s">
        <v>75</v>
      </c>
    </row>
    <row r="46" spans="1:9" s="27" customFormat="1" x14ac:dyDescent="0.45"/>
    <row r="47" spans="1:9" s="27" customFormat="1" x14ac:dyDescent="0.45">
      <c r="A47" s="26"/>
      <c r="B47" s="35" t="s">
        <v>44</v>
      </c>
      <c r="C47" s="29"/>
      <c r="E47" s="11" t="s">
        <v>45</v>
      </c>
      <c r="F47" s="11" t="s">
        <v>46</v>
      </c>
      <c r="G47" s="11" t="s">
        <v>47</v>
      </c>
      <c r="H47" s="11" t="s">
        <v>48</v>
      </c>
      <c r="I47" s="11" t="s">
        <v>49</v>
      </c>
    </row>
    <row r="48" spans="1:9" s="27" customFormat="1" x14ac:dyDescent="0.45">
      <c r="A48" s="26"/>
      <c r="B48" s="27" t="s">
        <v>76</v>
      </c>
      <c r="C48" s="36">
        <f>-H48</f>
        <v>914.86658195679797</v>
      </c>
      <c r="D48" s="30" t="str">
        <f ca="1">_xlfn.FORMULATEXT(C48)</f>
        <v>=-H48</v>
      </c>
      <c r="E48" s="37">
        <v>0.1</v>
      </c>
      <c r="F48" s="38" t="s">
        <v>51</v>
      </c>
      <c r="G48" s="39">
        <v>90</v>
      </c>
      <c r="H48" s="40">
        <f>-G48/9.8375%</f>
        <v>-914.86658195679797</v>
      </c>
      <c r="I48" s="39">
        <v>1000</v>
      </c>
    </row>
    <row r="49" spans="1:10" s="27" customFormat="1" x14ac:dyDescent="0.45">
      <c r="A49" s="26" t="s">
        <v>70</v>
      </c>
      <c r="B49" s="27" t="s">
        <v>77</v>
      </c>
      <c r="C49" s="36">
        <f>F49</f>
        <v>19.998433719596729</v>
      </c>
      <c r="D49" s="30" t="str">
        <f ca="1">_xlfn.FORMULATEXT(C49)</f>
        <v>=F49</v>
      </c>
      <c r="F49" s="41">
        <f>NPER(E48,G48,H48,I48)</f>
        <v>19.998433719596729</v>
      </c>
      <c r="H49" s="30" t="s">
        <v>78</v>
      </c>
    </row>
    <row r="50" spans="1:10" s="27" customFormat="1" x14ac:dyDescent="0.45">
      <c r="A50" s="26"/>
      <c r="C50" s="42"/>
      <c r="F50" s="30" t="str">
        <f ca="1">_xlfn.FORMULATEXT(F49)</f>
        <v>=NPER(E48,G48,H48,I48)</v>
      </c>
      <c r="H50" s="30" t="s">
        <v>79</v>
      </c>
    </row>
    <row r="51" spans="1:10" s="27" customFormat="1" ht="28.05" customHeight="1" thickBot="1" x14ac:dyDescent="0.5">
      <c r="B51" s="100"/>
      <c r="C51" s="100"/>
      <c r="D51" s="100"/>
      <c r="E51" s="100"/>
      <c r="F51" s="100"/>
      <c r="G51" s="101"/>
      <c r="H51" s="101"/>
      <c r="I51" s="101"/>
    </row>
    <row r="52" spans="1:10" s="27" customFormat="1" x14ac:dyDescent="0.45">
      <c r="B52" s="42"/>
      <c r="C52" s="42"/>
      <c r="D52" s="42"/>
      <c r="E52" s="42"/>
      <c r="F52" s="42"/>
    </row>
    <row r="53" spans="1:10" s="97" customFormat="1" ht="21" customHeight="1" x14ac:dyDescent="0.45">
      <c r="A53" s="94"/>
      <c r="B53" s="95" t="s">
        <v>168</v>
      </c>
      <c r="C53" s="96"/>
      <c r="D53" s="96"/>
      <c r="F53" s="96"/>
      <c r="G53" s="96"/>
      <c r="H53" s="96"/>
      <c r="I53" s="96"/>
      <c r="J53" s="96"/>
    </row>
    <row r="54" spans="1:10" ht="16.05" customHeight="1" x14ac:dyDescent="0.45">
      <c r="A54" s="5"/>
      <c r="B54" s="43"/>
      <c r="C54" s="44"/>
      <c r="D54" s="44"/>
      <c r="E54" s="45"/>
      <c r="F54" s="44"/>
      <c r="G54" s="44"/>
      <c r="H54" s="7"/>
      <c r="I54" s="7"/>
      <c r="J54" s="7"/>
    </row>
    <row r="55" spans="1:10" ht="14" customHeight="1" x14ac:dyDescent="0.45">
      <c r="A55" s="5"/>
      <c r="B55" s="46" t="s">
        <v>80</v>
      </c>
      <c r="C55" s="44"/>
      <c r="D55" s="44"/>
      <c r="E55" s="45"/>
      <c r="F55" s="44"/>
      <c r="G55" s="44"/>
      <c r="H55" s="7"/>
      <c r="I55" s="7"/>
      <c r="J55" s="7"/>
    </row>
    <row r="56" spans="1:10" ht="14" customHeight="1" x14ac:dyDescent="0.45">
      <c r="A56" s="5"/>
      <c r="B56" s="46" t="s">
        <v>81</v>
      </c>
      <c r="C56" s="44"/>
      <c r="D56" s="44"/>
      <c r="E56" s="45"/>
      <c r="F56" s="44"/>
      <c r="G56" s="44"/>
      <c r="H56" s="7"/>
      <c r="I56" s="7"/>
      <c r="J56" s="7"/>
    </row>
    <row r="57" spans="1:10" ht="14" customHeight="1" x14ac:dyDescent="0.45">
      <c r="A57" s="5"/>
      <c r="B57" s="47"/>
      <c r="C57" s="44"/>
      <c r="D57" s="44"/>
      <c r="E57" s="13" t="s">
        <v>82</v>
      </c>
      <c r="F57" s="44"/>
      <c r="G57" s="44"/>
      <c r="H57" s="7"/>
      <c r="I57" s="7"/>
      <c r="J57" s="7"/>
    </row>
    <row r="58" spans="1:10" x14ac:dyDescent="0.45">
      <c r="A58" s="8"/>
      <c r="B58" s="48" t="s">
        <v>83</v>
      </c>
      <c r="C58" s="10"/>
      <c r="E58" s="11" t="s">
        <v>84</v>
      </c>
      <c r="F58" s="11" t="s">
        <v>46</v>
      </c>
      <c r="G58" s="11" t="s">
        <v>47</v>
      </c>
      <c r="H58" s="11" t="s">
        <v>48</v>
      </c>
      <c r="I58" s="11" t="s">
        <v>49</v>
      </c>
    </row>
    <row r="59" spans="1:10" x14ac:dyDescent="0.45">
      <c r="A59" s="8"/>
      <c r="B59" s="2" t="s">
        <v>85</v>
      </c>
      <c r="C59" s="49">
        <f>E60</f>
        <v>5.1654324271165564E-2</v>
      </c>
      <c r="D59" s="13" t="str">
        <f ca="1">_xlfn.FORMULATEXT(C59)</f>
        <v>=E60</v>
      </c>
      <c r="E59" s="50" t="s">
        <v>51</v>
      </c>
      <c r="F59" s="51">
        <v>9</v>
      </c>
      <c r="G59" s="51">
        <v>80</v>
      </c>
      <c r="H59" s="51">
        <v>-1200</v>
      </c>
      <c r="I59" s="51">
        <v>1000</v>
      </c>
    </row>
    <row r="60" spans="1:10" x14ac:dyDescent="0.45">
      <c r="A60" s="8"/>
      <c r="C60" s="52"/>
      <c r="E60" s="53">
        <f>RATE(F59,G59,H59,I59)</f>
        <v>5.1654324271165564E-2</v>
      </c>
    </row>
    <row r="61" spans="1:10" x14ac:dyDescent="0.45">
      <c r="A61" s="8"/>
      <c r="B61" s="48" t="s">
        <v>86</v>
      </c>
      <c r="C61" s="54"/>
    </row>
    <row r="62" spans="1:10" x14ac:dyDescent="0.45">
      <c r="A62" s="8"/>
      <c r="B62" s="2" t="s">
        <v>87</v>
      </c>
      <c r="C62" s="55">
        <f>(-H59-980+G59)/980</f>
        <v>0.30612244897959184</v>
      </c>
      <c r="D62" s="13" t="str">
        <f ca="1">_xlfn.FORMULATEXT(C62)</f>
        <v>=(-H59-980+G59)/980</v>
      </c>
    </row>
    <row r="63" spans="1:10" x14ac:dyDescent="0.45">
      <c r="B63" s="56"/>
      <c r="C63" s="13" t="s">
        <v>88</v>
      </c>
      <c r="D63" s="56"/>
      <c r="E63" s="56"/>
      <c r="F63" s="56"/>
    </row>
    <row r="64" spans="1:10" x14ac:dyDescent="0.45">
      <c r="B64" s="56"/>
      <c r="C64" s="13"/>
      <c r="D64" s="56"/>
      <c r="E64" s="56"/>
      <c r="F64" s="56"/>
    </row>
    <row r="65" spans="1:10" x14ac:dyDescent="0.45">
      <c r="B65" s="57" t="s">
        <v>89</v>
      </c>
    </row>
    <row r="66" spans="1:10" x14ac:dyDescent="0.45">
      <c r="B66" s="57" t="s">
        <v>90</v>
      </c>
    </row>
    <row r="67" spans="1:10" x14ac:dyDescent="0.45">
      <c r="E67" s="13" t="s">
        <v>91</v>
      </c>
    </row>
    <row r="68" spans="1:10" x14ac:dyDescent="0.45">
      <c r="B68" s="48" t="s">
        <v>92</v>
      </c>
      <c r="C68" s="10"/>
      <c r="E68" s="11" t="s">
        <v>84</v>
      </c>
      <c r="F68" s="11" t="s">
        <v>46</v>
      </c>
      <c r="G68" s="11" t="s">
        <v>47</v>
      </c>
      <c r="H68" s="11" t="s">
        <v>48</v>
      </c>
      <c r="I68" s="11" t="s">
        <v>49</v>
      </c>
    </row>
    <row r="69" spans="1:10" x14ac:dyDescent="0.45">
      <c r="B69" s="2" t="s">
        <v>93</v>
      </c>
      <c r="C69" s="58">
        <f>(-H75--H70+G74)/-H70</f>
        <v>-4.2029534777289927E-2</v>
      </c>
      <c r="E69" s="50">
        <f>9%/2</f>
        <v>4.4999999999999998E-2</v>
      </c>
      <c r="F69" s="51">
        <v>40</v>
      </c>
      <c r="G69" s="51">
        <v>40</v>
      </c>
      <c r="H69" s="51" t="s">
        <v>51</v>
      </c>
      <c r="I69" s="51">
        <v>1000</v>
      </c>
    </row>
    <row r="70" spans="1:10" x14ac:dyDescent="0.45">
      <c r="C70" s="13" t="str">
        <f ca="1">_xlfn.FORMULATEXT(C69)</f>
        <v>=(-H75--H70+G74)/-H70</v>
      </c>
      <c r="E70" s="59" t="s">
        <v>95</v>
      </c>
      <c r="H70" s="60">
        <f>PV(E69,F69,G69,I69)</f>
        <v>-907.99207789860122</v>
      </c>
    </row>
    <row r="71" spans="1:10" x14ac:dyDescent="0.45">
      <c r="C71" s="13" t="s">
        <v>94</v>
      </c>
    </row>
    <row r="72" spans="1:10" x14ac:dyDescent="0.45">
      <c r="C72" s="61"/>
      <c r="E72" s="13" t="s">
        <v>96</v>
      </c>
    </row>
    <row r="73" spans="1:10" x14ac:dyDescent="0.45">
      <c r="C73" s="61"/>
      <c r="E73" s="11" t="s">
        <v>84</v>
      </c>
      <c r="F73" s="11" t="s">
        <v>46</v>
      </c>
      <c r="G73" s="11" t="s">
        <v>47</v>
      </c>
      <c r="H73" s="11" t="s">
        <v>48</v>
      </c>
      <c r="I73" s="11" t="s">
        <v>49</v>
      </c>
    </row>
    <row r="74" spans="1:10" x14ac:dyDescent="0.45">
      <c r="C74" s="61"/>
      <c r="E74" s="50">
        <f>10%/2</f>
        <v>0.05</v>
      </c>
      <c r="F74" s="51">
        <v>39</v>
      </c>
      <c r="G74" s="51">
        <v>40</v>
      </c>
      <c r="H74" s="51" t="s">
        <v>51</v>
      </c>
      <c r="I74" s="51">
        <v>1000</v>
      </c>
    </row>
    <row r="75" spans="1:10" x14ac:dyDescent="0.45">
      <c r="C75" s="61"/>
      <c r="E75" s="59" t="s">
        <v>97</v>
      </c>
      <c r="H75" s="60">
        <f>PV(E74,F74,G74,I74)</f>
        <v>-829.82959328305822</v>
      </c>
    </row>
    <row r="76" spans="1:10" ht="32" customHeight="1" thickBot="1" x14ac:dyDescent="0.5">
      <c r="B76" s="99"/>
      <c r="C76" s="99"/>
      <c r="D76" s="99"/>
      <c r="E76" s="99"/>
      <c r="F76" s="102"/>
      <c r="G76" s="102"/>
      <c r="H76" s="102"/>
      <c r="I76" s="102"/>
      <c r="J76" s="62"/>
    </row>
    <row r="77" spans="1:10" s="27" customFormat="1" x14ac:dyDescent="0.45">
      <c r="A77" s="28"/>
      <c r="B77" s="28"/>
    </row>
    <row r="78" spans="1:10" s="65" customFormat="1" ht="23" customHeight="1" x14ac:dyDescent="0.45">
      <c r="A78" s="63"/>
      <c r="B78" s="110" t="s">
        <v>169</v>
      </c>
      <c r="C78" s="64"/>
      <c r="D78" s="64"/>
      <c r="G78" s="64"/>
      <c r="H78" s="64"/>
      <c r="I78" s="64"/>
    </row>
    <row r="79" spans="1:10" s="27" customFormat="1" x14ac:dyDescent="0.45">
      <c r="A79" s="26"/>
      <c r="B79" s="42"/>
      <c r="C79" s="66"/>
      <c r="D79" s="67"/>
    </row>
    <row r="80" spans="1:10" s="27" customFormat="1" x14ac:dyDescent="0.45">
      <c r="A80" s="26"/>
      <c r="B80" s="68" t="s">
        <v>98</v>
      </c>
      <c r="C80" s="69"/>
      <c r="D80" s="70"/>
    </row>
    <row r="81" spans="1:12" s="27" customFormat="1" x14ac:dyDescent="0.45">
      <c r="B81" s="68" t="s">
        <v>99</v>
      </c>
      <c r="C81" s="71"/>
      <c r="D81" s="42"/>
    </row>
    <row r="82" spans="1:12" s="27" customFormat="1" x14ac:dyDescent="0.45"/>
    <row r="83" spans="1:12" s="27" customFormat="1" x14ac:dyDescent="0.45">
      <c r="B83" s="35" t="s">
        <v>100</v>
      </c>
      <c r="C83" s="72"/>
      <c r="E83" s="73" t="s">
        <v>101</v>
      </c>
      <c r="F83" s="29"/>
      <c r="G83" s="29">
        <v>0</v>
      </c>
      <c r="H83" s="29">
        <v>1</v>
      </c>
      <c r="I83" s="29">
        <v>2</v>
      </c>
    </row>
    <row r="84" spans="1:12" s="27" customFormat="1" x14ac:dyDescent="0.45">
      <c r="B84" s="74" t="s">
        <v>102</v>
      </c>
      <c r="C84" s="103">
        <f>H84</f>
        <v>40</v>
      </c>
      <c r="E84" s="98" t="s">
        <v>103</v>
      </c>
      <c r="G84" s="108">
        <v>-1000</v>
      </c>
      <c r="H84" s="108">
        <v>40</v>
      </c>
      <c r="I84" s="108">
        <f>I98</f>
        <v>1040</v>
      </c>
    </row>
    <row r="85" spans="1:12" s="27" customFormat="1" x14ac:dyDescent="0.45">
      <c r="B85" s="74"/>
      <c r="E85" s="75" t="s">
        <v>29</v>
      </c>
      <c r="F85" s="29"/>
      <c r="G85" s="109">
        <f>RATE(2,40,-1000,1000)</f>
        <v>4.000000000098166E-2</v>
      </c>
      <c r="H85" s="29"/>
      <c r="I85" s="29"/>
    </row>
    <row r="86" spans="1:12" s="27" customFormat="1" x14ac:dyDescent="0.45">
      <c r="B86" s="76" t="s">
        <v>104</v>
      </c>
      <c r="C86" s="77"/>
      <c r="E86" s="78" t="s">
        <v>105</v>
      </c>
      <c r="G86" s="105">
        <v>-1000</v>
      </c>
      <c r="H86" s="105">
        <f>H84/(1+2%)^H83</f>
        <v>39.215686274509807</v>
      </c>
      <c r="I86" s="105">
        <f>I84/(1+2%)^I83</f>
        <v>999.61553248750477</v>
      </c>
      <c r="J86" s="79"/>
      <c r="K86" s="79"/>
    </row>
    <row r="87" spans="1:12" s="27" customFormat="1" x14ac:dyDescent="0.45">
      <c r="B87" s="74" t="s">
        <v>106</v>
      </c>
      <c r="C87" s="103">
        <f>I84</f>
        <v>1040</v>
      </c>
      <c r="E87" s="78" t="s">
        <v>29</v>
      </c>
      <c r="G87" s="107">
        <f>IRR(G86:I86)</f>
        <v>1.9607843137254832E-2</v>
      </c>
      <c r="H87" s="80" t="s">
        <v>107</v>
      </c>
      <c r="I87" s="80" t="s">
        <v>108</v>
      </c>
      <c r="K87" s="81"/>
    </row>
    <row r="88" spans="1:12" s="27" customFormat="1" x14ac:dyDescent="0.45">
      <c r="B88" s="74"/>
      <c r="G88" s="82" t="s">
        <v>109</v>
      </c>
    </row>
    <row r="89" spans="1:12" s="27" customFormat="1" x14ac:dyDescent="0.45">
      <c r="B89" s="76" t="s">
        <v>110</v>
      </c>
      <c r="C89" s="83"/>
    </row>
    <row r="90" spans="1:12" s="27" customFormat="1" x14ac:dyDescent="0.45">
      <c r="B90" s="74" t="s">
        <v>111</v>
      </c>
      <c r="C90" s="104">
        <f>G87</f>
        <v>1.9607843137254832E-2</v>
      </c>
    </row>
    <row r="91" spans="1:12" s="27" customFormat="1" x14ac:dyDescent="0.45"/>
    <row r="92" spans="1:12" s="27" customFormat="1" x14ac:dyDescent="0.45">
      <c r="A92" s="26"/>
      <c r="B92" s="68" t="s">
        <v>112</v>
      </c>
      <c r="C92" s="66"/>
      <c r="D92" s="84"/>
    </row>
    <row r="93" spans="1:12" s="27" customFormat="1" x14ac:dyDescent="0.45">
      <c r="A93" s="26"/>
      <c r="B93" s="68" t="s">
        <v>99</v>
      </c>
      <c r="C93" s="66"/>
      <c r="D93" s="84"/>
    </row>
    <row r="94" spans="1:12" s="27" customFormat="1" x14ac:dyDescent="0.45">
      <c r="A94" s="26"/>
    </row>
    <row r="95" spans="1:12" s="27" customFormat="1" x14ac:dyDescent="0.45">
      <c r="A95" s="26"/>
      <c r="B95" s="35" t="s">
        <v>113</v>
      </c>
      <c r="C95" s="72"/>
      <c r="D95" s="85"/>
      <c r="E95" s="73" t="s">
        <v>114</v>
      </c>
      <c r="F95" s="29"/>
      <c r="G95" s="29">
        <v>0</v>
      </c>
      <c r="H95" s="29">
        <v>1</v>
      </c>
      <c r="I95" s="29">
        <v>2</v>
      </c>
      <c r="J95" s="17"/>
      <c r="K95" s="17"/>
      <c r="L95" s="17"/>
    </row>
    <row r="96" spans="1:12" s="27" customFormat="1" x14ac:dyDescent="0.45">
      <c r="A96" s="26"/>
      <c r="B96" s="74" t="s">
        <v>102</v>
      </c>
      <c r="C96" s="103">
        <f>H96</f>
        <v>40.799999999999997</v>
      </c>
      <c r="D96" s="86"/>
      <c r="E96" s="78" t="s">
        <v>115</v>
      </c>
      <c r="G96" s="105">
        <v>-1000</v>
      </c>
      <c r="H96" s="105">
        <f>1000*4%*(1+2%)</f>
        <v>40.799999999999997</v>
      </c>
      <c r="I96" s="105">
        <f>1000*4%*(1+2%)^2+1000*(1+2%)^2</f>
        <v>1082.0160000000001</v>
      </c>
      <c r="J96" s="17"/>
      <c r="K96" s="17"/>
      <c r="L96" s="17"/>
    </row>
    <row r="97" spans="1:12" s="27" customFormat="1" x14ac:dyDescent="0.45">
      <c r="A97" s="26"/>
      <c r="B97" s="74"/>
      <c r="D97" s="86"/>
      <c r="E97" s="75" t="s">
        <v>116</v>
      </c>
      <c r="F97" s="29"/>
      <c r="G97" s="106">
        <f>IRR(G96:I96)</f>
        <v>6.0799999999974874E-2</v>
      </c>
      <c r="H97" s="87" t="s">
        <v>117</v>
      </c>
      <c r="I97" s="87" t="s">
        <v>118</v>
      </c>
      <c r="K97" s="88"/>
    </row>
    <row r="98" spans="1:12" s="27" customFormat="1" x14ac:dyDescent="0.45">
      <c r="A98" s="26"/>
      <c r="B98" s="76" t="s">
        <v>119</v>
      </c>
      <c r="C98" s="77"/>
      <c r="D98" s="86"/>
      <c r="E98" s="78" t="s">
        <v>105</v>
      </c>
      <c r="G98" s="105">
        <v>-1000</v>
      </c>
      <c r="H98" s="105">
        <f>H96/(1+2%)^H95</f>
        <v>40</v>
      </c>
      <c r="I98" s="105">
        <f>I96/(1+2%)^I95</f>
        <v>1040</v>
      </c>
    </row>
    <row r="99" spans="1:12" s="27" customFormat="1" x14ac:dyDescent="0.45">
      <c r="A99" s="26"/>
      <c r="B99" s="74" t="s">
        <v>106</v>
      </c>
      <c r="C99" s="103">
        <f>I96</f>
        <v>1082.0160000000001</v>
      </c>
      <c r="D99" s="70"/>
      <c r="E99" s="78" t="s">
        <v>29</v>
      </c>
      <c r="G99" s="107">
        <f>IRR(G98:I98)</f>
        <v>3.9999999999241531E-2</v>
      </c>
      <c r="H99" s="30" t="s">
        <v>120</v>
      </c>
      <c r="I99" s="30" t="s">
        <v>121</v>
      </c>
      <c r="J99" s="17"/>
      <c r="K99" s="17"/>
      <c r="L99" s="17"/>
    </row>
    <row r="100" spans="1:12" s="27" customFormat="1" x14ac:dyDescent="0.45">
      <c r="A100" s="26"/>
      <c r="B100" s="74"/>
      <c r="D100" s="70"/>
      <c r="E100" s="78"/>
      <c r="G100" s="89" t="s">
        <v>122</v>
      </c>
      <c r="J100" s="90"/>
      <c r="K100" s="17"/>
      <c r="L100" s="90"/>
    </row>
    <row r="101" spans="1:12" s="27" customFormat="1" x14ac:dyDescent="0.45">
      <c r="A101" s="26"/>
      <c r="B101" s="76" t="s">
        <v>110</v>
      </c>
      <c r="C101" s="83"/>
      <c r="D101" s="70"/>
      <c r="K101" s="88"/>
    </row>
    <row r="102" spans="1:12" s="27" customFormat="1" x14ac:dyDescent="0.45">
      <c r="A102" s="26"/>
      <c r="B102" s="74" t="s">
        <v>111</v>
      </c>
      <c r="C102" s="104">
        <f>G99</f>
        <v>3.9999999999241531E-2</v>
      </c>
      <c r="D102" s="70"/>
    </row>
    <row r="103" spans="1:12" s="27" customFormat="1" x14ac:dyDescent="0.45"/>
  </sheetData>
  <pageMargins left="0.7" right="0.7" top="0.75" bottom="0.75" header="0.3" footer="0.3"/>
  <pageSetup scale="6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F8FC-6158-4FD8-A844-ECB5808A2774}">
  <sheetPr>
    <pageSetUpPr fitToPage="1"/>
  </sheetPr>
  <dimension ref="B2:H43"/>
  <sheetViews>
    <sheetView showGridLines="0" zoomScale="79" workbookViewId="0">
      <selection activeCell="C42" sqref="C42"/>
    </sheetView>
  </sheetViews>
  <sheetFormatPr defaultColWidth="9.1328125" defaultRowHeight="15.4" x14ac:dyDescent="0.45"/>
  <cols>
    <col min="1" max="1" width="2.33203125" style="2" customWidth="1"/>
    <col min="2" max="2" width="33.1328125" style="2" customWidth="1"/>
    <col min="3" max="3" width="23.46484375" style="2" customWidth="1"/>
    <col min="4" max="4" width="27.46484375" style="2" customWidth="1"/>
    <col min="5" max="5" width="24.1328125" style="2" customWidth="1"/>
    <col min="6" max="6" width="26.1328125" style="2" customWidth="1"/>
    <col min="7" max="7" width="18.796875" style="2" customWidth="1"/>
    <col min="8" max="8" width="23.796875" style="2" customWidth="1"/>
    <col min="9" max="16384" width="9.1328125" style="2"/>
  </cols>
  <sheetData>
    <row r="2" spans="2:8" ht="22.5" x14ac:dyDescent="0.45">
      <c r="B2" s="91" t="s">
        <v>170</v>
      </c>
    </row>
    <row r="4" spans="2:8" ht="19.899999999999999" x14ac:dyDescent="0.45">
      <c r="B4" s="120" t="s">
        <v>24</v>
      </c>
      <c r="C4" s="121" t="s">
        <v>22</v>
      </c>
      <c r="D4" s="122"/>
      <c r="E4" s="121" t="s">
        <v>23</v>
      </c>
      <c r="F4" s="123"/>
      <c r="G4" s="121" t="s">
        <v>21</v>
      </c>
    </row>
    <row r="5" spans="2:8" x14ac:dyDescent="0.45">
      <c r="B5" s="124"/>
      <c r="C5" s="125" t="s">
        <v>20</v>
      </c>
      <c r="D5" s="126"/>
      <c r="E5" s="125" t="s">
        <v>19</v>
      </c>
      <c r="F5" s="124"/>
      <c r="G5" s="125" t="s">
        <v>18</v>
      </c>
      <c r="H5" s="10"/>
    </row>
    <row r="6" spans="2:8" x14ac:dyDescent="0.45">
      <c r="B6" s="123" t="s">
        <v>17</v>
      </c>
      <c r="C6" s="127">
        <f>DATE(2023,3,2)</f>
        <v>44987</v>
      </c>
      <c r="D6" s="128" t="str">
        <f ca="1">_xlfn.FORMULATEXT(C6)</f>
        <v>=DATE(2023,3,2)</v>
      </c>
      <c r="E6" s="127">
        <f>DATE(2018,11,15)</f>
        <v>43419</v>
      </c>
      <c r="F6" s="128" t="str">
        <f ca="1">_xlfn.FORMULATEXT(E6)</f>
        <v>=DATE(2018,11,15)</v>
      </c>
      <c r="G6" s="127">
        <v>35064</v>
      </c>
      <c r="H6" s="129" t="s">
        <v>16</v>
      </c>
    </row>
    <row r="7" spans="2:8" x14ac:dyDescent="0.45">
      <c r="B7" s="123" t="s">
        <v>15</v>
      </c>
      <c r="C7" s="127">
        <f>DATE(2045,11,15)</f>
        <v>53281</v>
      </c>
      <c r="D7" s="128" t="str">
        <f ca="1">_xlfn.FORMULATEXT(C7)</f>
        <v>=DATE(2045,11,15)</v>
      </c>
      <c r="E7" s="127">
        <f>DATE(2041,2,15)</f>
        <v>51547</v>
      </c>
      <c r="F7" s="128" t="str">
        <f ca="1">_xlfn.FORMULATEXT(E7)</f>
        <v>=DATE(2041,2,15)</v>
      </c>
      <c r="G7" s="127">
        <v>46022</v>
      </c>
      <c r="H7" s="129" t="s">
        <v>14</v>
      </c>
    </row>
    <row r="8" spans="2:8" x14ac:dyDescent="0.45">
      <c r="B8" s="123" t="s">
        <v>13</v>
      </c>
      <c r="C8" s="2">
        <v>0.03</v>
      </c>
      <c r="D8" s="123"/>
      <c r="E8" s="2">
        <v>4.7500000000000001E-2</v>
      </c>
      <c r="F8" s="123"/>
      <c r="G8" s="2">
        <v>0.08</v>
      </c>
    </row>
    <row r="9" spans="2:8" x14ac:dyDescent="0.45">
      <c r="B9" s="123" t="s">
        <v>12</v>
      </c>
      <c r="C9" s="2">
        <v>3.3619999999999997E-2</v>
      </c>
      <c r="D9" s="123"/>
      <c r="E9" s="2">
        <v>3.3180000000000001E-2</v>
      </c>
      <c r="F9" s="123"/>
      <c r="G9" s="2">
        <v>0.1</v>
      </c>
    </row>
    <row r="10" spans="2:8" x14ac:dyDescent="0.45">
      <c r="B10" s="123" t="s">
        <v>11</v>
      </c>
      <c r="C10" s="2">
        <v>100</v>
      </c>
      <c r="D10" s="123"/>
      <c r="E10" s="2">
        <v>100</v>
      </c>
      <c r="F10" s="123"/>
      <c r="G10" s="2">
        <v>100</v>
      </c>
    </row>
    <row r="11" spans="2:8" x14ac:dyDescent="0.45">
      <c r="B11" s="124" t="s">
        <v>10</v>
      </c>
      <c r="C11" s="10">
        <v>2</v>
      </c>
      <c r="D11" s="124"/>
      <c r="E11" s="10">
        <v>2</v>
      </c>
      <c r="F11" s="124"/>
      <c r="G11" s="10">
        <v>2</v>
      </c>
      <c r="H11" s="10"/>
    </row>
    <row r="12" spans="2:8" x14ac:dyDescent="0.45">
      <c r="B12" s="130" t="s">
        <v>9</v>
      </c>
      <c r="C12" s="131">
        <f>PRICE(C6,C7,C8,C9,C10,C11)</f>
        <v>94.280653195089798</v>
      </c>
      <c r="D12" s="132" t="s">
        <v>8</v>
      </c>
      <c r="E12" s="131">
        <f>PRICE(E6,E7,E8,E9,E10,E11)</f>
        <v>122.40082764501506</v>
      </c>
      <c r="F12" s="132" t="s">
        <v>8</v>
      </c>
      <c r="G12" s="131">
        <f>PRICE(G6,G7,G8,G9,G10,G11)</f>
        <v>81.07071047492984</v>
      </c>
      <c r="H12" s="133" t="s">
        <v>8</v>
      </c>
    </row>
    <row r="13" spans="2:8" x14ac:dyDescent="0.45">
      <c r="B13" s="123" t="s">
        <v>7</v>
      </c>
      <c r="C13" s="22">
        <f>COUPDAYBS(C6,C7,2,1)</f>
        <v>107</v>
      </c>
      <c r="D13" s="134" t="s">
        <v>6</v>
      </c>
      <c r="E13" s="22">
        <f>COUPDAYBS(E6,E7,2,1)</f>
        <v>92</v>
      </c>
      <c r="F13" s="134" t="s">
        <v>6</v>
      </c>
      <c r="G13" s="22">
        <f>COUPDAYBS(G6,G7,2,1)</f>
        <v>0</v>
      </c>
      <c r="H13" s="135" t="s">
        <v>6</v>
      </c>
    </row>
    <row r="14" spans="2:8" x14ac:dyDescent="0.45">
      <c r="B14" s="123" t="s">
        <v>5</v>
      </c>
      <c r="C14" s="22">
        <f>COUPDAYS(C6,C7,2,1)</f>
        <v>181</v>
      </c>
      <c r="D14" s="134" t="s">
        <v>4</v>
      </c>
      <c r="E14" s="22">
        <f>COUPDAYS(E6,E7,2,1)</f>
        <v>184</v>
      </c>
      <c r="F14" s="134" t="s">
        <v>4</v>
      </c>
      <c r="G14" s="22">
        <f>COUPDAYS(G6,G7,2,1)</f>
        <v>182</v>
      </c>
      <c r="H14" s="135" t="s">
        <v>4</v>
      </c>
    </row>
    <row r="15" spans="2:8" x14ac:dyDescent="0.45">
      <c r="B15" s="123" t="s">
        <v>3</v>
      </c>
      <c r="C15" s="22">
        <f>C8*100/2*C13/C14</f>
        <v>0.88674033149171272</v>
      </c>
      <c r="D15" s="134" t="s">
        <v>2</v>
      </c>
      <c r="E15" s="22">
        <f>E8*100/2*E13/E14</f>
        <v>1.1875</v>
      </c>
      <c r="F15" s="134" t="s">
        <v>2</v>
      </c>
      <c r="G15" s="22">
        <f>G8*100/2*G13/G14</f>
        <v>0</v>
      </c>
      <c r="H15" s="135" t="s">
        <v>2</v>
      </c>
    </row>
    <row r="16" spans="2:8" x14ac:dyDescent="0.45">
      <c r="B16" s="122" t="s">
        <v>1</v>
      </c>
      <c r="C16" s="131">
        <f>C12+C15</f>
        <v>95.167393526581506</v>
      </c>
      <c r="D16" s="136" t="s">
        <v>0</v>
      </c>
      <c r="E16" s="131">
        <f>E12+E15</f>
        <v>123.58832764501506</v>
      </c>
      <c r="F16" s="136" t="s">
        <v>0</v>
      </c>
      <c r="G16" s="131">
        <f>G12+G15</f>
        <v>81.07071047492984</v>
      </c>
      <c r="H16" s="137" t="s">
        <v>0</v>
      </c>
    </row>
    <row r="22" spans="2:5" ht="22.5" x14ac:dyDescent="0.45">
      <c r="B22" s="92" t="s">
        <v>171</v>
      </c>
    </row>
    <row r="23" spans="2:5" x14ac:dyDescent="0.45">
      <c r="B23" s="10"/>
      <c r="C23" s="10"/>
      <c r="D23" s="10"/>
    </row>
    <row r="24" spans="2:5" s="111" customFormat="1" ht="17.649999999999999" x14ac:dyDescent="0.45">
      <c r="B24" s="159" t="s">
        <v>40</v>
      </c>
      <c r="C24" s="160" t="s">
        <v>25</v>
      </c>
      <c r="D24" s="161" t="s">
        <v>26</v>
      </c>
    </row>
    <row r="25" spans="2:5" x14ac:dyDescent="0.45">
      <c r="B25" s="123" t="s">
        <v>17</v>
      </c>
      <c r="C25" s="138">
        <v>35064</v>
      </c>
      <c r="D25" s="127">
        <v>35064</v>
      </c>
    </row>
    <row r="26" spans="2:5" x14ac:dyDescent="0.45">
      <c r="B26" s="123" t="s">
        <v>15</v>
      </c>
      <c r="C26" s="138">
        <v>46022</v>
      </c>
      <c r="D26" s="127">
        <v>46022</v>
      </c>
    </row>
    <row r="27" spans="2:5" x14ac:dyDescent="0.45">
      <c r="B27" s="123" t="s">
        <v>13</v>
      </c>
      <c r="C27" s="139">
        <v>0.08</v>
      </c>
      <c r="D27" s="2">
        <v>0.08</v>
      </c>
    </row>
    <row r="28" spans="2:5" x14ac:dyDescent="0.45">
      <c r="B28" s="123" t="s">
        <v>27</v>
      </c>
      <c r="C28" s="139">
        <v>127.676</v>
      </c>
      <c r="D28" s="2">
        <v>127.676</v>
      </c>
    </row>
    <row r="29" spans="2:5" x14ac:dyDescent="0.45">
      <c r="B29" s="123" t="s">
        <v>11</v>
      </c>
      <c r="C29" s="139">
        <v>100</v>
      </c>
      <c r="D29" s="2">
        <v>100</v>
      </c>
    </row>
    <row r="30" spans="2:5" x14ac:dyDescent="0.45">
      <c r="B30" s="124" t="s">
        <v>10</v>
      </c>
      <c r="C30" s="140">
        <v>2</v>
      </c>
      <c r="D30" s="10">
        <v>1</v>
      </c>
    </row>
    <row r="31" spans="2:5" x14ac:dyDescent="0.45">
      <c r="B31" s="141" t="s">
        <v>28</v>
      </c>
      <c r="C31" s="162">
        <f>YIELD(C25,C26,C27,C28,C29,C30)</f>
        <v>5.9999740316503757E-2</v>
      </c>
      <c r="D31" s="163">
        <f>YIELD(D25,D26,D27,D28,D29,D30)</f>
        <v>5.9912507026489335E-2</v>
      </c>
      <c r="E31" s="142" t="str">
        <f ca="1">_xlfn.FORMULATEXT(D31)</f>
        <v>=YIELD(D25,D26,D27,D28,D29,D30)</v>
      </c>
    </row>
    <row r="33" spans="2:7" x14ac:dyDescent="0.45">
      <c r="B33" s="145"/>
      <c r="C33" s="145"/>
      <c r="D33" s="145"/>
    </row>
    <row r="34" spans="2:7" s="111" customFormat="1" ht="17.649999999999999" x14ac:dyDescent="0.45">
      <c r="B34" s="156" t="s">
        <v>66</v>
      </c>
      <c r="C34" s="157" t="s">
        <v>31</v>
      </c>
      <c r="D34" s="158" t="s">
        <v>30</v>
      </c>
    </row>
    <row r="35" spans="2:7" x14ac:dyDescent="0.45">
      <c r="B35" s="146" t="s">
        <v>32</v>
      </c>
      <c r="C35" s="147">
        <v>0.08</v>
      </c>
      <c r="D35" s="148">
        <v>0.08</v>
      </c>
    </row>
    <row r="36" spans="2:7" x14ac:dyDescent="0.45">
      <c r="B36" s="146" t="s">
        <v>33</v>
      </c>
      <c r="C36" s="147" t="s">
        <v>34</v>
      </c>
      <c r="D36" s="148" t="s">
        <v>34</v>
      </c>
    </row>
    <row r="37" spans="2:7" x14ac:dyDescent="0.45">
      <c r="B37" s="146" t="s">
        <v>39</v>
      </c>
      <c r="C37" s="149">
        <v>30</v>
      </c>
      <c r="D37" s="150">
        <v>30</v>
      </c>
    </row>
    <row r="38" spans="2:7" x14ac:dyDescent="0.45">
      <c r="B38" s="146" t="s">
        <v>38</v>
      </c>
      <c r="C38" s="149"/>
      <c r="D38" s="150">
        <v>10</v>
      </c>
    </row>
    <row r="39" spans="2:7" x14ac:dyDescent="0.45">
      <c r="B39" s="146" t="s">
        <v>37</v>
      </c>
      <c r="C39" s="149">
        <v>1000</v>
      </c>
      <c r="D39" s="150">
        <v>1000</v>
      </c>
    </row>
    <row r="40" spans="2:7" x14ac:dyDescent="0.45">
      <c r="B40" s="146" t="s">
        <v>36</v>
      </c>
      <c r="C40" s="149"/>
      <c r="D40" s="150">
        <v>1100</v>
      </c>
      <c r="E40" s="143"/>
      <c r="F40" s="143"/>
      <c r="G40" s="144"/>
    </row>
    <row r="41" spans="2:7" x14ac:dyDescent="0.45">
      <c r="B41" s="151" t="s">
        <v>35</v>
      </c>
      <c r="C41" s="152">
        <v>1150</v>
      </c>
      <c r="D41" s="153">
        <v>1150</v>
      </c>
    </row>
    <row r="42" spans="2:7" x14ac:dyDescent="0.45">
      <c r="B42" s="154" t="s">
        <v>40</v>
      </c>
      <c r="C42" s="155">
        <f>RATE(C37*2,C35*C39/2,-C41,C39)*2</f>
        <v>6.8191671286577257E-2</v>
      </c>
      <c r="D42" s="155">
        <f>RATE(D37*2,D35*D39/2,-D41,D39)*2</f>
        <v>6.8191671286577257E-2</v>
      </c>
      <c r="E42" s="142" t="str">
        <f ca="1">_xlfn.FORMULATEXT(D42)</f>
        <v>=RATE(D37*2,D35*D39/2,-D41,D39)*2</v>
      </c>
    </row>
    <row r="43" spans="2:7" x14ac:dyDescent="0.45">
      <c r="B43" s="154" t="s">
        <v>41</v>
      </c>
      <c r="C43" s="154"/>
      <c r="D43" s="155">
        <f>RATE(D38*2,D35*D39/2,-D41,D40)*2</f>
        <v>6.6433582871388133E-2</v>
      </c>
      <c r="E43" s="142" t="str">
        <f ca="1">_xlfn.FORMULATEXT(D43)</f>
        <v>=RATE(D38*2,D35*D39/2,-D41,D40)*2</v>
      </c>
    </row>
  </sheetData>
  <printOptions headings="1" gridLines="1"/>
  <pageMargins left="0.7" right="0.7" top="0.75" bottom="0.75" header="0.3" footer="0.3"/>
  <pageSetup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0E59-D975-B74C-BD19-22AD2C5EBC74}">
  <sheetPr>
    <pageSetUpPr fitToPage="1"/>
  </sheetPr>
  <dimension ref="B2:W64"/>
  <sheetViews>
    <sheetView showGridLines="0" topLeftCell="A10" zoomScale="77" workbookViewId="0">
      <selection activeCell="O38" sqref="O38"/>
    </sheetView>
  </sheetViews>
  <sheetFormatPr defaultColWidth="9.1328125" defaultRowHeight="15.4" x14ac:dyDescent="0.45"/>
  <cols>
    <col min="1" max="1" width="2.796875" style="164" customWidth="1"/>
    <col min="2" max="2" width="11.796875" style="164" customWidth="1"/>
    <col min="3" max="3" width="13" style="164" customWidth="1"/>
    <col min="4" max="4" width="11.46484375" style="164" customWidth="1"/>
    <col min="5" max="23" width="10.796875" style="164" customWidth="1"/>
    <col min="24" max="257" width="9.1328125" style="164"/>
    <col min="258" max="266" width="9.33203125" style="164" customWidth="1"/>
    <col min="267" max="267" width="11.1328125" style="164" customWidth="1"/>
    <col min="268" max="268" width="9.33203125" style="164" customWidth="1"/>
    <col min="269" max="270" width="11.1328125" style="164" customWidth="1"/>
    <col min="271" max="273" width="9.33203125" style="164" customWidth="1"/>
    <col min="274" max="274" width="11.1328125" style="164" customWidth="1"/>
    <col min="275" max="279" width="9.33203125" style="164" customWidth="1"/>
    <col min="280" max="513" width="9.1328125" style="164"/>
    <col min="514" max="522" width="9.33203125" style="164" customWidth="1"/>
    <col min="523" max="523" width="11.1328125" style="164" customWidth="1"/>
    <col min="524" max="524" width="9.33203125" style="164" customWidth="1"/>
    <col min="525" max="526" width="11.1328125" style="164" customWidth="1"/>
    <col min="527" max="529" width="9.33203125" style="164" customWidth="1"/>
    <col min="530" max="530" width="11.1328125" style="164" customWidth="1"/>
    <col min="531" max="535" width="9.33203125" style="164" customWidth="1"/>
    <col min="536" max="769" width="9.1328125" style="164"/>
    <col min="770" max="778" width="9.33203125" style="164" customWidth="1"/>
    <col min="779" max="779" width="11.1328125" style="164" customWidth="1"/>
    <col min="780" max="780" width="9.33203125" style="164" customWidth="1"/>
    <col min="781" max="782" width="11.1328125" style="164" customWidth="1"/>
    <col min="783" max="785" width="9.33203125" style="164" customWidth="1"/>
    <col min="786" max="786" width="11.1328125" style="164" customWidth="1"/>
    <col min="787" max="791" width="9.33203125" style="164" customWidth="1"/>
    <col min="792" max="1025" width="9.1328125" style="164"/>
    <col min="1026" max="1034" width="9.33203125" style="164" customWidth="1"/>
    <col min="1035" max="1035" width="11.1328125" style="164" customWidth="1"/>
    <col min="1036" max="1036" width="9.33203125" style="164" customWidth="1"/>
    <col min="1037" max="1038" width="11.1328125" style="164" customWidth="1"/>
    <col min="1039" max="1041" width="9.33203125" style="164" customWidth="1"/>
    <col min="1042" max="1042" width="11.1328125" style="164" customWidth="1"/>
    <col min="1043" max="1047" width="9.33203125" style="164" customWidth="1"/>
    <col min="1048" max="1281" width="9.1328125" style="164"/>
    <col min="1282" max="1290" width="9.33203125" style="164" customWidth="1"/>
    <col min="1291" max="1291" width="11.1328125" style="164" customWidth="1"/>
    <col min="1292" max="1292" width="9.33203125" style="164" customWidth="1"/>
    <col min="1293" max="1294" width="11.1328125" style="164" customWidth="1"/>
    <col min="1295" max="1297" width="9.33203125" style="164" customWidth="1"/>
    <col min="1298" max="1298" width="11.1328125" style="164" customWidth="1"/>
    <col min="1299" max="1303" width="9.33203125" style="164" customWidth="1"/>
    <col min="1304" max="1537" width="9.1328125" style="164"/>
    <col min="1538" max="1546" width="9.33203125" style="164" customWidth="1"/>
    <col min="1547" max="1547" width="11.1328125" style="164" customWidth="1"/>
    <col min="1548" max="1548" width="9.33203125" style="164" customWidth="1"/>
    <col min="1549" max="1550" width="11.1328125" style="164" customWidth="1"/>
    <col min="1551" max="1553" width="9.33203125" style="164" customWidth="1"/>
    <col min="1554" max="1554" width="11.1328125" style="164" customWidth="1"/>
    <col min="1555" max="1559" width="9.33203125" style="164" customWidth="1"/>
    <col min="1560" max="1793" width="9.1328125" style="164"/>
    <col min="1794" max="1802" width="9.33203125" style="164" customWidth="1"/>
    <col min="1803" max="1803" width="11.1328125" style="164" customWidth="1"/>
    <col min="1804" max="1804" width="9.33203125" style="164" customWidth="1"/>
    <col min="1805" max="1806" width="11.1328125" style="164" customWidth="1"/>
    <col min="1807" max="1809" width="9.33203125" style="164" customWidth="1"/>
    <col min="1810" max="1810" width="11.1328125" style="164" customWidth="1"/>
    <col min="1811" max="1815" width="9.33203125" style="164" customWidth="1"/>
    <col min="1816" max="2049" width="9.1328125" style="164"/>
    <col min="2050" max="2058" width="9.33203125" style="164" customWidth="1"/>
    <col min="2059" max="2059" width="11.1328125" style="164" customWidth="1"/>
    <col min="2060" max="2060" width="9.33203125" style="164" customWidth="1"/>
    <col min="2061" max="2062" width="11.1328125" style="164" customWidth="1"/>
    <col min="2063" max="2065" width="9.33203125" style="164" customWidth="1"/>
    <col min="2066" max="2066" width="11.1328125" style="164" customWidth="1"/>
    <col min="2067" max="2071" width="9.33203125" style="164" customWidth="1"/>
    <col min="2072" max="2305" width="9.1328125" style="164"/>
    <col min="2306" max="2314" width="9.33203125" style="164" customWidth="1"/>
    <col min="2315" max="2315" width="11.1328125" style="164" customWidth="1"/>
    <col min="2316" max="2316" width="9.33203125" style="164" customWidth="1"/>
    <col min="2317" max="2318" width="11.1328125" style="164" customWidth="1"/>
    <col min="2319" max="2321" width="9.33203125" style="164" customWidth="1"/>
    <col min="2322" max="2322" width="11.1328125" style="164" customWidth="1"/>
    <col min="2323" max="2327" width="9.33203125" style="164" customWidth="1"/>
    <col min="2328" max="2561" width="9.1328125" style="164"/>
    <col min="2562" max="2570" width="9.33203125" style="164" customWidth="1"/>
    <col min="2571" max="2571" width="11.1328125" style="164" customWidth="1"/>
    <col min="2572" max="2572" width="9.33203125" style="164" customWidth="1"/>
    <col min="2573" max="2574" width="11.1328125" style="164" customWidth="1"/>
    <col min="2575" max="2577" width="9.33203125" style="164" customWidth="1"/>
    <col min="2578" max="2578" width="11.1328125" style="164" customWidth="1"/>
    <col min="2579" max="2583" width="9.33203125" style="164" customWidth="1"/>
    <col min="2584" max="2817" width="9.1328125" style="164"/>
    <col min="2818" max="2826" width="9.33203125" style="164" customWidth="1"/>
    <col min="2827" max="2827" width="11.1328125" style="164" customWidth="1"/>
    <col min="2828" max="2828" width="9.33203125" style="164" customWidth="1"/>
    <col min="2829" max="2830" width="11.1328125" style="164" customWidth="1"/>
    <col min="2831" max="2833" width="9.33203125" style="164" customWidth="1"/>
    <col min="2834" max="2834" width="11.1328125" style="164" customWidth="1"/>
    <col min="2835" max="2839" width="9.33203125" style="164" customWidth="1"/>
    <col min="2840" max="3073" width="9.1328125" style="164"/>
    <col min="3074" max="3082" width="9.33203125" style="164" customWidth="1"/>
    <col min="3083" max="3083" width="11.1328125" style="164" customWidth="1"/>
    <col min="3084" max="3084" width="9.33203125" style="164" customWidth="1"/>
    <col min="3085" max="3086" width="11.1328125" style="164" customWidth="1"/>
    <col min="3087" max="3089" width="9.33203125" style="164" customWidth="1"/>
    <col min="3090" max="3090" width="11.1328125" style="164" customWidth="1"/>
    <col min="3091" max="3095" width="9.33203125" style="164" customWidth="1"/>
    <col min="3096" max="3329" width="9.1328125" style="164"/>
    <col min="3330" max="3338" width="9.33203125" style="164" customWidth="1"/>
    <col min="3339" max="3339" width="11.1328125" style="164" customWidth="1"/>
    <col min="3340" max="3340" width="9.33203125" style="164" customWidth="1"/>
    <col min="3341" max="3342" width="11.1328125" style="164" customWidth="1"/>
    <col min="3343" max="3345" width="9.33203125" style="164" customWidth="1"/>
    <col min="3346" max="3346" width="11.1328125" style="164" customWidth="1"/>
    <col min="3347" max="3351" width="9.33203125" style="164" customWidth="1"/>
    <col min="3352" max="3585" width="9.1328125" style="164"/>
    <col min="3586" max="3594" width="9.33203125" style="164" customWidth="1"/>
    <col min="3595" max="3595" width="11.1328125" style="164" customWidth="1"/>
    <col min="3596" max="3596" width="9.33203125" style="164" customWidth="1"/>
    <col min="3597" max="3598" width="11.1328125" style="164" customWidth="1"/>
    <col min="3599" max="3601" width="9.33203125" style="164" customWidth="1"/>
    <col min="3602" max="3602" width="11.1328125" style="164" customWidth="1"/>
    <col min="3603" max="3607" width="9.33203125" style="164" customWidth="1"/>
    <col min="3608" max="3841" width="9.1328125" style="164"/>
    <col min="3842" max="3850" width="9.33203125" style="164" customWidth="1"/>
    <col min="3851" max="3851" width="11.1328125" style="164" customWidth="1"/>
    <col min="3852" max="3852" width="9.33203125" style="164" customWidth="1"/>
    <col min="3853" max="3854" width="11.1328125" style="164" customWidth="1"/>
    <col min="3855" max="3857" width="9.33203125" style="164" customWidth="1"/>
    <col min="3858" max="3858" width="11.1328125" style="164" customWidth="1"/>
    <col min="3859" max="3863" width="9.33203125" style="164" customWidth="1"/>
    <col min="3864" max="4097" width="9.1328125" style="164"/>
    <col min="4098" max="4106" width="9.33203125" style="164" customWidth="1"/>
    <col min="4107" max="4107" width="11.1328125" style="164" customWidth="1"/>
    <col min="4108" max="4108" width="9.33203125" style="164" customWidth="1"/>
    <col min="4109" max="4110" width="11.1328125" style="164" customWidth="1"/>
    <col min="4111" max="4113" width="9.33203125" style="164" customWidth="1"/>
    <col min="4114" max="4114" width="11.1328125" style="164" customWidth="1"/>
    <col min="4115" max="4119" width="9.33203125" style="164" customWidth="1"/>
    <col min="4120" max="4353" width="9.1328125" style="164"/>
    <col min="4354" max="4362" width="9.33203125" style="164" customWidth="1"/>
    <col min="4363" max="4363" width="11.1328125" style="164" customWidth="1"/>
    <col min="4364" max="4364" width="9.33203125" style="164" customWidth="1"/>
    <col min="4365" max="4366" width="11.1328125" style="164" customWidth="1"/>
    <col min="4367" max="4369" width="9.33203125" style="164" customWidth="1"/>
    <col min="4370" max="4370" width="11.1328125" style="164" customWidth="1"/>
    <col min="4371" max="4375" width="9.33203125" style="164" customWidth="1"/>
    <col min="4376" max="4609" width="9.1328125" style="164"/>
    <col min="4610" max="4618" width="9.33203125" style="164" customWidth="1"/>
    <col min="4619" max="4619" width="11.1328125" style="164" customWidth="1"/>
    <col min="4620" max="4620" width="9.33203125" style="164" customWidth="1"/>
    <col min="4621" max="4622" width="11.1328125" style="164" customWidth="1"/>
    <col min="4623" max="4625" width="9.33203125" style="164" customWidth="1"/>
    <col min="4626" max="4626" width="11.1328125" style="164" customWidth="1"/>
    <col min="4627" max="4631" width="9.33203125" style="164" customWidth="1"/>
    <col min="4632" max="4865" width="9.1328125" style="164"/>
    <col min="4866" max="4874" width="9.33203125" style="164" customWidth="1"/>
    <col min="4875" max="4875" width="11.1328125" style="164" customWidth="1"/>
    <col min="4876" max="4876" width="9.33203125" style="164" customWidth="1"/>
    <col min="4877" max="4878" width="11.1328125" style="164" customWidth="1"/>
    <col min="4879" max="4881" width="9.33203125" style="164" customWidth="1"/>
    <col min="4882" max="4882" width="11.1328125" style="164" customWidth="1"/>
    <col min="4883" max="4887" width="9.33203125" style="164" customWidth="1"/>
    <col min="4888" max="5121" width="9.1328125" style="164"/>
    <col min="5122" max="5130" width="9.33203125" style="164" customWidth="1"/>
    <col min="5131" max="5131" width="11.1328125" style="164" customWidth="1"/>
    <col min="5132" max="5132" width="9.33203125" style="164" customWidth="1"/>
    <col min="5133" max="5134" width="11.1328125" style="164" customWidth="1"/>
    <col min="5135" max="5137" width="9.33203125" style="164" customWidth="1"/>
    <col min="5138" max="5138" width="11.1328125" style="164" customWidth="1"/>
    <col min="5139" max="5143" width="9.33203125" style="164" customWidth="1"/>
    <col min="5144" max="5377" width="9.1328125" style="164"/>
    <col min="5378" max="5386" width="9.33203125" style="164" customWidth="1"/>
    <col min="5387" max="5387" width="11.1328125" style="164" customWidth="1"/>
    <col min="5388" max="5388" width="9.33203125" style="164" customWidth="1"/>
    <col min="5389" max="5390" width="11.1328125" style="164" customWidth="1"/>
    <col min="5391" max="5393" width="9.33203125" style="164" customWidth="1"/>
    <col min="5394" max="5394" width="11.1328125" style="164" customWidth="1"/>
    <col min="5395" max="5399" width="9.33203125" style="164" customWidth="1"/>
    <col min="5400" max="5633" width="9.1328125" style="164"/>
    <col min="5634" max="5642" width="9.33203125" style="164" customWidth="1"/>
    <col min="5643" max="5643" width="11.1328125" style="164" customWidth="1"/>
    <col min="5644" max="5644" width="9.33203125" style="164" customWidth="1"/>
    <col min="5645" max="5646" width="11.1328125" style="164" customWidth="1"/>
    <col min="5647" max="5649" width="9.33203125" style="164" customWidth="1"/>
    <col min="5650" max="5650" width="11.1328125" style="164" customWidth="1"/>
    <col min="5651" max="5655" width="9.33203125" style="164" customWidth="1"/>
    <col min="5656" max="5889" width="9.1328125" style="164"/>
    <col min="5890" max="5898" width="9.33203125" style="164" customWidth="1"/>
    <col min="5899" max="5899" width="11.1328125" style="164" customWidth="1"/>
    <col min="5900" max="5900" width="9.33203125" style="164" customWidth="1"/>
    <col min="5901" max="5902" width="11.1328125" style="164" customWidth="1"/>
    <col min="5903" max="5905" width="9.33203125" style="164" customWidth="1"/>
    <col min="5906" max="5906" width="11.1328125" style="164" customWidth="1"/>
    <col min="5907" max="5911" width="9.33203125" style="164" customWidth="1"/>
    <col min="5912" max="6145" width="9.1328125" style="164"/>
    <col min="6146" max="6154" width="9.33203125" style="164" customWidth="1"/>
    <col min="6155" max="6155" width="11.1328125" style="164" customWidth="1"/>
    <col min="6156" max="6156" width="9.33203125" style="164" customWidth="1"/>
    <col min="6157" max="6158" width="11.1328125" style="164" customWidth="1"/>
    <col min="6159" max="6161" width="9.33203125" style="164" customWidth="1"/>
    <col min="6162" max="6162" width="11.1328125" style="164" customWidth="1"/>
    <col min="6163" max="6167" width="9.33203125" style="164" customWidth="1"/>
    <col min="6168" max="6401" width="9.1328125" style="164"/>
    <col min="6402" max="6410" width="9.33203125" style="164" customWidth="1"/>
    <col min="6411" max="6411" width="11.1328125" style="164" customWidth="1"/>
    <col min="6412" max="6412" width="9.33203125" style="164" customWidth="1"/>
    <col min="6413" max="6414" width="11.1328125" style="164" customWidth="1"/>
    <col min="6415" max="6417" width="9.33203125" style="164" customWidth="1"/>
    <col min="6418" max="6418" width="11.1328125" style="164" customWidth="1"/>
    <col min="6419" max="6423" width="9.33203125" style="164" customWidth="1"/>
    <col min="6424" max="6657" width="9.1328125" style="164"/>
    <col min="6658" max="6666" width="9.33203125" style="164" customWidth="1"/>
    <col min="6667" max="6667" width="11.1328125" style="164" customWidth="1"/>
    <col min="6668" max="6668" width="9.33203125" style="164" customWidth="1"/>
    <col min="6669" max="6670" width="11.1328125" style="164" customWidth="1"/>
    <col min="6671" max="6673" width="9.33203125" style="164" customWidth="1"/>
    <col min="6674" max="6674" width="11.1328125" style="164" customWidth="1"/>
    <col min="6675" max="6679" width="9.33203125" style="164" customWidth="1"/>
    <col min="6680" max="6913" width="9.1328125" style="164"/>
    <col min="6914" max="6922" width="9.33203125" style="164" customWidth="1"/>
    <col min="6923" max="6923" width="11.1328125" style="164" customWidth="1"/>
    <col min="6924" max="6924" width="9.33203125" style="164" customWidth="1"/>
    <col min="6925" max="6926" width="11.1328125" style="164" customWidth="1"/>
    <col min="6927" max="6929" width="9.33203125" style="164" customWidth="1"/>
    <col min="6930" max="6930" width="11.1328125" style="164" customWidth="1"/>
    <col min="6931" max="6935" width="9.33203125" style="164" customWidth="1"/>
    <col min="6936" max="7169" width="9.1328125" style="164"/>
    <col min="7170" max="7178" width="9.33203125" style="164" customWidth="1"/>
    <col min="7179" max="7179" width="11.1328125" style="164" customWidth="1"/>
    <col min="7180" max="7180" width="9.33203125" style="164" customWidth="1"/>
    <col min="7181" max="7182" width="11.1328125" style="164" customWidth="1"/>
    <col min="7183" max="7185" width="9.33203125" style="164" customWidth="1"/>
    <col min="7186" max="7186" width="11.1328125" style="164" customWidth="1"/>
    <col min="7187" max="7191" width="9.33203125" style="164" customWidth="1"/>
    <col min="7192" max="7425" width="9.1328125" style="164"/>
    <col min="7426" max="7434" width="9.33203125" style="164" customWidth="1"/>
    <col min="7435" max="7435" width="11.1328125" style="164" customWidth="1"/>
    <col min="7436" max="7436" width="9.33203125" style="164" customWidth="1"/>
    <col min="7437" max="7438" width="11.1328125" style="164" customWidth="1"/>
    <col min="7439" max="7441" width="9.33203125" style="164" customWidth="1"/>
    <col min="7442" max="7442" width="11.1328125" style="164" customWidth="1"/>
    <col min="7443" max="7447" width="9.33203125" style="164" customWidth="1"/>
    <col min="7448" max="7681" width="9.1328125" style="164"/>
    <col min="7682" max="7690" width="9.33203125" style="164" customWidth="1"/>
    <col min="7691" max="7691" width="11.1328125" style="164" customWidth="1"/>
    <col min="7692" max="7692" width="9.33203125" style="164" customWidth="1"/>
    <col min="7693" max="7694" width="11.1328125" style="164" customWidth="1"/>
    <col min="7695" max="7697" width="9.33203125" style="164" customWidth="1"/>
    <col min="7698" max="7698" width="11.1328125" style="164" customWidth="1"/>
    <col min="7699" max="7703" width="9.33203125" style="164" customWidth="1"/>
    <col min="7704" max="7937" width="9.1328125" style="164"/>
    <col min="7938" max="7946" width="9.33203125" style="164" customWidth="1"/>
    <col min="7947" max="7947" width="11.1328125" style="164" customWidth="1"/>
    <col min="7948" max="7948" width="9.33203125" style="164" customWidth="1"/>
    <col min="7949" max="7950" width="11.1328125" style="164" customWidth="1"/>
    <col min="7951" max="7953" width="9.33203125" style="164" customWidth="1"/>
    <col min="7954" max="7954" width="11.1328125" style="164" customWidth="1"/>
    <col min="7955" max="7959" width="9.33203125" style="164" customWidth="1"/>
    <col min="7960" max="8193" width="9.1328125" style="164"/>
    <col min="8194" max="8202" width="9.33203125" style="164" customWidth="1"/>
    <col min="8203" max="8203" width="11.1328125" style="164" customWidth="1"/>
    <col min="8204" max="8204" width="9.33203125" style="164" customWidth="1"/>
    <col min="8205" max="8206" width="11.1328125" style="164" customWidth="1"/>
    <col min="8207" max="8209" width="9.33203125" style="164" customWidth="1"/>
    <col min="8210" max="8210" width="11.1328125" style="164" customWidth="1"/>
    <col min="8211" max="8215" width="9.33203125" style="164" customWidth="1"/>
    <col min="8216" max="8449" width="9.1328125" style="164"/>
    <col min="8450" max="8458" width="9.33203125" style="164" customWidth="1"/>
    <col min="8459" max="8459" width="11.1328125" style="164" customWidth="1"/>
    <col min="8460" max="8460" width="9.33203125" style="164" customWidth="1"/>
    <col min="8461" max="8462" width="11.1328125" style="164" customWidth="1"/>
    <col min="8463" max="8465" width="9.33203125" style="164" customWidth="1"/>
    <col min="8466" max="8466" width="11.1328125" style="164" customWidth="1"/>
    <col min="8467" max="8471" width="9.33203125" style="164" customWidth="1"/>
    <col min="8472" max="8705" width="9.1328125" style="164"/>
    <col min="8706" max="8714" width="9.33203125" style="164" customWidth="1"/>
    <col min="8715" max="8715" width="11.1328125" style="164" customWidth="1"/>
    <col min="8716" max="8716" width="9.33203125" style="164" customWidth="1"/>
    <col min="8717" max="8718" width="11.1328125" style="164" customWidth="1"/>
    <col min="8719" max="8721" width="9.33203125" style="164" customWidth="1"/>
    <col min="8722" max="8722" width="11.1328125" style="164" customWidth="1"/>
    <col min="8723" max="8727" width="9.33203125" style="164" customWidth="1"/>
    <col min="8728" max="8961" width="9.1328125" style="164"/>
    <col min="8962" max="8970" width="9.33203125" style="164" customWidth="1"/>
    <col min="8971" max="8971" width="11.1328125" style="164" customWidth="1"/>
    <col min="8972" max="8972" width="9.33203125" style="164" customWidth="1"/>
    <col min="8973" max="8974" width="11.1328125" style="164" customWidth="1"/>
    <col min="8975" max="8977" width="9.33203125" style="164" customWidth="1"/>
    <col min="8978" max="8978" width="11.1328125" style="164" customWidth="1"/>
    <col min="8979" max="8983" width="9.33203125" style="164" customWidth="1"/>
    <col min="8984" max="9217" width="9.1328125" style="164"/>
    <col min="9218" max="9226" width="9.33203125" style="164" customWidth="1"/>
    <col min="9227" max="9227" width="11.1328125" style="164" customWidth="1"/>
    <col min="9228" max="9228" width="9.33203125" style="164" customWidth="1"/>
    <col min="9229" max="9230" width="11.1328125" style="164" customWidth="1"/>
    <col min="9231" max="9233" width="9.33203125" style="164" customWidth="1"/>
    <col min="9234" max="9234" width="11.1328125" style="164" customWidth="1"/>
    <col min="9235" max="9239" width="9.33203125" style="164" customWidth="1"/>
    <col min="9240" max="9473" width="9.1328125" style="164"/>
    <col min="9474" max="9482" width="9.33203125" style="164" customWidth="1"/>
    <col min="9483" max="9483" width="11.1328125" style="164" customWidth="1"/>
    <col min="9484" max="9484" width="9.33203125" style="164" customWidth="1"/>
    <col min="9485" max="9486" width="11.1328125" style="164" customWidth="1"/>
    <col min="9487" max="9489" width="9.33203125" style="164" customWidth="1"/>
    <col min="9490" max="9490" width="11.1328125" style="164" customWidth="1"/>
    <col min="9491" max="9495" width="9.33203125" style="164" customWidth="1"/>
    <col min="9496" max="9729" width="9.1328125" style="164"/>
    <col min="9730" max="9738" width="9.33203125" style="164" customWidth="1"/>
    <col min="9739" max="9739" width="11.1328125" style="164" customWidth="1"/>
    <col min="9740" max="9740" width="9.33203125" style="164" customWidth="1"/>
    <col min="9741" max="9742" width="11.1328125" style="164" customWidth="1"/>
    <col min="9743" max="9745" width="9.33203125" style="164" customWidth="1"/>
    <col min="9746" max="9746" width="11.1328125" style="164" customWidth="1"/>
    <col min="9747" max="9751" width="9.33203125" style="164" customWidth="1"/>
    <col min="9752" max="9985" width="9.1328125" style="164"/>
    <col min="9986" max="9994" width="9.33203125" style="164" customWidth="1"/>
    <col min="9995" max="9995" width="11.1328125" style="164" customWidth="1"/>
    <col min="9996" max="9996" width="9.33203125" style="164" customWidth="1"/>
    <col min="9997" max="9998" width="11.1328125" style="164" customWidth="1"/>
    <col min="9999" max="10001" width="9.33203125" style="164" customWidth="1"/>
    <col min="10002" max="10002" width="11.1328125" style="164" customWidth="1"/>
    <col min="10003" max="10007" width="9.33203125" style="164" customWidth="1"/>
    <col min="10008" max="10241" width="9.1328125" style="164"/>
    <col min="10242" max="10250" width="9.33203125" style="164" customWidth="1"/>
    <col min="10251" max="10251" width="11.1328125" style="164" customWidth="1"/>
    <col min="10252" max="10252" width="9.33203125" style="164" customWidth="1"/>
    <col min="10253" max="10254" width="11.1328125" style="164" customWidth="1"/>
    <col min="10255" max="10257" width="9.33203125" style="164" customWidth="1"/>
    <col min="10258" max="10258" width="11.1328125" style="164" customWidth="1"/>
    <col min="10259" max="10263" width="9.33203125" style="164" customWidth="1"/>
    <col min="10264" max="10497" width="9.1328125" style="164"/>
    <col min="10498" max="10506" width="9.33203125" style="164" customWidth="1"/>
    <col min="10507" max="10507" width="11.1328125" style="164" customWidth="1"/>
    <col min="10508" max="10508" width="9.33203125" style="164" customWidth="1"/>
    <col min="10509" max="10510" width="11.1328125" style="164" customWidth="1"/>
    <col min="10511" max="10513" width="9.33203125" style="164" customWidth="1"/>
    <col min="10514" max="10514" width="11.1328125" style="164" customWidth="1"/>
    <col min="10515" max="10519" width="9.33203125" style="164" customWidth="1"/>
    <col min="10520" max="10753" width="9.1328125" style="164"/>
    <col min="10754" max="10762" width="9.33203125" style="164" customWidth="1"/>
    <col min="10763" max="10763" width="11.1328125" style="164" customWidth="1"/>
    <col min="10764" max="10764" width="9.33203125" style="164" customWidth="1"/>
    <col min="10765" max="10766" width="11.1328125" style="164" customWidth="1"/>
    <col min="10767" max="10769" width="9.33203125" style="164" customWidth="1"/>
    <col min="10770" max="10770" width="11.1328125" style="164" customWidth="1"/>
    <col min="10771" max="10775" width="9.33203125" style="164" customWidth="1"/>
    <col min="10776" max="11009" width="9.1328125" style="164"/>
    <col min="11010" max="11018" width="9.33203125" style="164" customWidth="1"/>
    <col min="11019" max="11019" width="11.1328125" style="164" customWidth="1"/>
    <col min="11020" max="11020" width="9.33203125" style="164" customWidth="1"/>
    <col min="11021" max="11022" width="11.1328125" style="164" customWidth="1"/>
    <col min="11023" max="11025" width="9.33203125" style="164" customWidth="1"/>
    <col min="11026" max="11026" width="11.1328125" style="164" customWidth="1"/>
    <col min="11027" max="11031" width="9.33203125" style="164" customWidth="1"/>
    <col min="11032" max="11265" width="9.1328125" style="164"/>
    <col min="11266" max="11274" width="9.33203125" style="164" customWidth="1"/>
    <col min="11275" max="11275" width="11.1328125" style="164" customWidth="1"/>
    <col min="11276" max="11276" width="9.33203125" style="164" customWidth="1"/>
    <col min="11277" max="11278" width="11.1328125" style="164" customWidth="1"/>
    <col min="11279" max="11281" width="9.33203125" style="164" customWidth="1"/>
    <col min="11282" max="11282" width="11.1328125" style="164" customWidth="1"/>
    <col min="11283" max="11287" width="9.33203125" style="164" customWidth="1"/>
    <col min="11288" max="11521" width="9.1328125" style="164"/>
    <col min="11522" max="11530" width="9.33203125" style="164" customWidth="1"/>
    <col min="11531" max="11531" width="11.1328125" style="164" customWidth="1"/>
    <col min="11532" max="11532" width="9.33203125" style="164" customWidth="1"/>
    <col min="11533" max="11534" width="11.1328125" style="164" customWidth="1"/>
    <col min="11535" max="11537" width="9.33203125" style="164" customWidth="1"/>
    <col min="11538" max="11538" width="11.1328125" style="164" customWidth="1"/>
    <col min="11539" max="11543" width="9.33203125" style="164" customWidth="1"/>
    <col min="11544" max="11777" width="9.1328125" style="164"/>
    <col min="11778" max="11786" width="9.33203125" style="164" customWidth="1"/>
    <col min="11787" max="11787" width="11.1328125" style="164" customWidth="1"/>
    <col min="11788" max="11788" width="9.33203125" style="164" customWidth="1"/>
    <col min="11789" max="11790" width="11.1328125" style="164" customWidth="1"/>
    <col min="11791" max="11793" width="9.33203125" style="164" customWidth="1"/>
    <col min="11794" max="11794" width="11.1328125" style="164" customWidth="1"/>
    <col min="11795" max="11799" width="9.33203125" style="164" customWidth="1"/>
    <col min="11800" max="12033" width="9.1328125" style="164"/>
    <col min="12034" max="12042" width="9.33203125" style="164" customWidth="1"/>
    <col min="12043" max="12043" width="11.1328125" style="164" customWidth="1"/>
    <col min="12044" max="12044" width="9.33203125" style="164" customWidth="1"/>
    <col min="12045" max="12046" width="11.1328125" style="164" customWidth="1"/>
    <col min="12047" max="12049" width="9.33203125" style="164" customWidth="1"/>
    <col min="12050" max="12050" width="11.1328125" style="164" customWidth="1"/>
    <col min="12051" max="12055" width="9.33203125" style="164" customWidth="1"/>
    <col min="12056" max="12289" width="9.1328125" style="164"/>
    <col min="12290" max="12298" width="9.33203125" style="164" customWidth="1"/>
    <col min="12299" max="12299" width="11.1328125" style="164" customWidth="1"/>
    <col min="12300" max="12300" width="9.33203125" style="164" customWidth="1"/>
    <col min="12301" max="12302" width="11.1328125" style="164" customWidth="1"/>
    <col min="12303" max="12305" width="9.33203125" style="164" customWidth="1"/>
    <col min="12306" max="12306" width="11.1328125" style="164" customWidth="1"/>
    <col min="12307" max="12311" width="9.33203125" style="164" customWidth="1"/>
    <col min="12312" max="12545" width="9.1328125" style="164"/>
    <col min="12546" max="12554" width="9.33203125" style="164" customWidth="1"/>
    <col min="12555" max="12555" width="11.1328125" style="164" customWidth="1"/>
    <col min="12556" max="12556" width="9.33203125" style="164" customWidth="1"/>
    <col min="12557" max="12558" width="11.1328125" style="164" customWidth="1"/>
    <col min="12559" max="12561" width="9.33203125" style="164" customWidth="1"/>
    <col min="12562" max="12562" width="11.1328125" style="164" customWidth="1"/>
    <col min="12563" max="12567" width="9.33203125" style="164" customWidth="1"/>
    <col min="12568" max="12801" width="9.1328125" style="164"/>
    <col min="12802" max="12810" width="9.33203125" style="164" customWidth="1"/>
    <col min="12811" max="12811" width="11.1328125" style="164" customWidth="1"/>
    <col min="12812" max="12812" width="9.33203125" style="164" customWidth="1"/>
    <col min="12813" max="12814" width="11.1328125" style="164" customWidth="1"/>
    <col min="12815" max="12817" width="9.33203125" style="164" customWidth="1"/>
    <col min="12818" max="12818" width="11.1328125" style="164" customWidth="1"/>
    <col min="12819" max="12823" width="9.33203125" style="164" customWidth="1"/>
    <col min="12824" max="13057" width="9.1328125" style="164"/>
    <col min="13058" max="13066" width="9.33203125" style="164" customWidth="1"/>
    <col min="13067" max="13067" width="11.1328125" style="164" customWidth="1"/>
    <col min="13068" max="13068" width="9.33203125" style="164" customWidth="1"/>
    <col min="13069" max="13070" width="11.1328125" style="164" customWidth="1"/>
    <col min="13071" max="13073" width="9.33203125" style="164" customWidth="1"/>
    <col min="13074" max="13074" width="11.1328125" style="164" customWidth="1"/>
    <col min="13075" max="13079" width="9.33203125" style="164" customWidth="1"/>
    <col min="13080" max="13313" width="9.1328125" style="164"/>
    <col min="13314" max="13322" width="9.33203125" style="164" customWidth="1"/>
    <col min="13323" max="13323" width="11.1328125" style="164" customWidth="1"/>
    <col min="13324" max="13324" width="9.33203125" style="164" customWidth="1"/>
    <col min="13325" max="13326" width="11.1328125" style="164" customWidth="1"/>
    <col min="13327" max="13329" width="9.33203125" style="164" customWidth="1"/>
    <col min="13330" max="13330" width="11.1328125" style="164" customWidth="1"/>
    <col min="13331" max="13335" width="9.33203125" style="164" customWidth="1"/>
    <col min="13336" max="13569" width="9.1328125" style="164"/>
    <col min="13570" max="13578" width="9.33203125" style="164" customWidth="1"/>
    <col min="13579" max="13579" width="11.1328125" style="164" customWidth="1"/>
    <col min="13580" max="13580" width="9.33203125" style="164" customWidth="1"/>
    <col min="13581" max="13582" width="11.1328125" style="164" customWidth="1"/>
    <col min="13583" max="13585" width="9.33203125" style="164" customWidth="1"/>
    <col min="13586" max="13586" width="11.1328125" style="164" customWidth="1"/>
    <col min="13587" max="13591" width="9.33203125" style="164" customWidth="1"/>
    <col min="13592" max="13825" width="9.1328125" style="164"/>
    <col min="13826" max="13834" width="9.33203125" style="164" customWidth="1"/>
    <col min="13835" max="13835" width="11.1328125" style="164" customWidth="1"/>
    <col min="13836" max="13836" width="9.33203125" style="164" customWidth="1"/>
    <col min="13837" max="13838" width="11.1328125" style="164" customWidth="1"/>
    <col min="13839" max="13841" width="9.33203125" style="164" customWidth="1"/>
    <col min="13842" max="13842" width="11.1328125" style="164" customWidth="1"/>
    <col min="13843" max="13847" width="9.33203125" style="164" customWidth="1"/>
    <col min="13848" max="14081" width="9.1328125" style="164"/>
    <col min="14082" max="14090" width="9.33203125" style="164" customWidth="1"/>
    <col min="14091" max="14091" width="11.1328125" style="164" customWidth="1"/>
    <col min="14092" max="14092" width="9.33203125" style="164" customWidth="1"/>
    <col min="14093" max="14094" width="11.1328125" style="164" customWidth="1"/>
    <col min="14095" max="14097" width="9.33203125" style="164" customWidth="1"/>
    <col min="14098" max="14098" width="11.1328125" style="164" customWidth="1"/>
    <col min="14099" max="14103" width="9.33203125" style="164" customWidth="1"/>
    <col min="14104" max="14337" width="9.1328125" style="164"/>
    <col min="14338" max="14346" width="9.33203125" style="164" customWidth="1"/>
    <col min="14347" max="14347" width="11.1328125" style="164" customWidth="1"/>
    <col min="14348" max="14348" width="9.33203125" style="164" customWidth="1"/>
    <col min="14349" max="14350" width="11.1328125" style="164" customWidth="1"/>
    <col min="14351" max="14353" width="9.33203125" style="164" customWidth="1"/>
    <col min="14354" max="14354" width="11.1328125" style="164" customWidth="1"/>
    <col min="14355" max="14359" width="9.33203125" style="164" customWidth="1"/>
    <col min="14360" max="14593" width="9.1328125" style="164"/>
    <col min="14594" max="14602" width="9.33203125" style="164" customWidth="1"/>
    <col min="14603" max="14603" width="11.1328125" style="164" customWidth="1"/>
    <col min="14604" max="14604" width="9.33203125" style="164" customWidth="1"/>
    <col min="14605" max="14606" width="11.1328125" style="164" customWidth="1"/>
    <col min="14607" max="14609" width="9.33203125" style="164" customWidth="1"/>
    <col min="14610" max="14610" width="11.1328125" style="164" customWidth="1"/>
    <col min="14611" max="14615" width="9.33203125" style="164" customWidth="1"/>
    <col min="14616" max="14849" width="9.1328125" style="164"/>
    <col min="14850" max="14858" width="9.33203125" style="164" customWidth="1"/>
    <col min="14859" max="14859" width="11.1328125" style="164" customWidth="1"/>
    <col min="14860" max="14860" width="9.33203125" style="164" customWidth="1"/>
    <col min="14861" max="14862" width="11.1328125" style="164" customWidth="1"/>
    <col min="14863" max="14865" width="9.33203125" style="164" customWidth="1"/>
    <col min="14866" max="14866" width="11.1328125" style="164" customWidth="1"/>
    <col min="14867" max="14871" width="9.33203125" style="164" customWidth="1"/>
    <col min="14872" max="15105" width="9.1328125" style="164"/>
    <col min="15106" max="15114" width="9.33203125" style="164" customWidth="1"/>
    <col min="15115" max="15115" width="11.1328125" style="164" customWidth="1"/>
    <col min="15116" max="15116" width="9.33203125" style="164" customWidth="1"/>
    <col min="15117" max="15118" width="11.1328125" style="164" customWidth="1"/>
    <col min="15119" max="15121" width="9.33203125" style="164" customWidth="1"/>
    <col min="15122" max="15122" width="11.1328125" style="164" customWidth="1"/>
    <col min="15123" max="15127" width="9.33203125" style="164" customWidth="1"/>
    <col min="15128" max="15361" width="9.1328125" style="164"/>
    <col min="15362" max="15370" width="9.33203125" style="164" customWidth="1"/>
    <col min="15371" max="15371" width="11.1328125" style="164" customWidth="1"/>
    <col min="15372" max="15372" width="9.33203125" style="164" customWidth="1"/>
    <col min="15373" max="15374" width="11.1328125" style="164" customWidth="1"/>
    <col min="15375" max="15377" width="9.33203125" style="164" customWidth="1"/>
    <col min="15378" max="15378" width="11.1328125" style="164" customWidth="1"/>
    <col min="15379" max="15383" width="9.33203125" style="164" customWidth="1"/>
    <col min="15384" max="15617" width="9.1328125" style="164"/>
    <col min="15618" max="15626" width="9.33203125" style="164" customWidth="1"/>
    <col min="15627" max="15627" width="11.1328125" style="164" customWidth="1"/>
    <col min="15628" max="15628" width="9.33203125" style="164" customWidth="1"/>
    <col min="15629" max="15630" width="11.1328125" style="164" customWidth="1"/>
    <col min="15631" max="15633" width="9.33203125" style="164" customWidth="1"/>
    <col min="15634" max="15634" width="11.1328125" style="164" customWidth="1"/>
    <col min="15635" max="15639" width="9.33203125" style="164" customWidth="1"/>
    <col min="15640" max="15873" width="9.1328125" style="164"/>
    <col min="15874" max="15882" width="9.33203125" style="164" customWidth="1"/>
    <col min="15883" max="15883" width="11.1328125" style="164" customWidth="1"/>
    <col min="15884" max="15884" width="9.33203125" style="164" customWidth="1"/>
    <col min="15885" max="15886" width="11.1328125" style="164" customWidth="1"/>
    <col min="15887" max="15889" width="9.33203125" style="164" customWidth="1"/>
    <col min="15890" max="15890" width="11.1328125" style="164" customWidth="1"/>
    <col min="15891" max="15895" width="9.33203125" style="164" customWidth="1"/>
    <col min="15896" max="16129" width="9.1328125" style="164"/>
    <col min="16130" max="16138" width="9.33203125" style="164" customWidth="1"/>
    <col min="16139" max="16139" width="11.1328125" style="164" customWidth="1"/>
    <col min="16140" max="16140" width="9.33203125" style="164" customWidth="1"/>
    <col min="16141" max="16142" width="11.1328125" style="164" customWidth="1"/>
    <col min="16143" max="16145" width="9.33203125" style="164" customWidth="1"/>
    <col min="16146" max="16146" width="11.1328125" style="164" customWidth="1"/>
    <col min="16147" max="16151" width="9.33203125" style="164" customWidth="1"/>
    <col min="16152" max="16384" width="9.1328125" style="164"/>
  </cols>
  <sheetData>
    <row r="2" spans="2:23" ht="28.15" x14ac:dyDescent="0.45">
      <c r="B2" s="292" t="s">
        <v>226</v>
      </c>
    </row>
    <row r="3" spans="2:23" ht="22.5" x14ac:dyDescent="0.45">
      <c r="B3" s="173"/>
    </row>
    <row r="4" spans="2:23" ht="22.5" x14ac:dyDescent="0.45">
      <c r="B4" s="173" t="s">
        <v>221</v>
      </c>
    </row>
    <row r="6" spans="2:23" x14ac:dyDescent="0.45">
      <c r="B6" s="165" t="s">
        <v>37</v>
      </c>
      <c r="C6" s="171">
        <v>1000</v>
      </c>
      <c r="D6" s="165"/>
    </row>
    <row r="7" spans="2:23" x14ac:dyDescent="0.45">
      <c r="B7" s="165" t="s">
        <v>123</v>
      </c>
      <c r="C7" s="277"/>
      <c r="D7" s="165"/>
      <c r="E7" s="165"/>
    </row>
    <row r="8" spans="2:23" x14ac:dyDescent="0.45">
      <c r="B8" s="165" t="s">
        <v>124</v>
      </c>
      <c r="C8" s="165"/>
      <c r="D8" s="165"/>
    </row>
    <row r="9" spans="2:23" x14ac:dyDescent="0.45">
      <c r="B9" s="165"/>
      <c r="C9" s="165"/>
    </row>
    <row r="10" spans="2:23" s="165" customFormat="1" ht="18" x14ac:dyDescent="0.45">
      <c r="B10" s="192" t="s">
        <v>125</v>
      </c>
      <c r="C10" s="176" t="s">
        <v>164</v>
      </c>
      <c r="D10" s="170" t="s">
        <v>172</v>
      </c>
      <c r="E10" s="170" t="s">
        <v>173</v>
      </c>
      <c r="F10" s="170" t="s">
        <v>174</v>
      </c>
      <c r="G10" s="170" t="s">
        <v>175</v>
      </c>
      <c r="H10" s="170" t="s">
        <v>176</v>
      </c>
      <c r="I10" s="170" t="s">
        <v>177</v>
      </c>
      <c r="J10" s="170" t="s">
        <v>178</v>
      </c>
      <c r="K10" s="170" t="s">
        <v>179</v>
      </c>
      <c r="L10" s="170" t="s">
        <v>180</v>
      </c>
      <c r="M10" s="170" t="s">
        <v>181</v>
      </c>
      <c r="N10" s="170" t="s">
        <v>182</v>
      </c>
      <c r="O10" s="170" t="s">
        <v>183</v>
      </c>
      <c r="P10" s="170" t="s">
        <v>184</v>
      </c>
      <c r="Q10" s="170" t="s">
        <v>185</v>
      </c>
      <c r="R10" s="170" t="s">
        <v>186</v>
      </c>
      <c r="S10" s="170" t="s">
        <v>187</v>
      </c>
      <c r="T10" s="170" t="s">
        <v>188</v>
      </c>
      <c r="U10" s="170" t="s">
        <v>189</v>
      </c>
      <c r="V10" s="170" t="s">
        <v>190</v>
      </c>
      <c r="W10" s="170" t="s">
        <v>191</v>
      </c>
    </row>
    <row r="11" spans="2:23" x14ac:dyDescent="0.45">
      <c r="B11" s="177">
        <v>1</v>
      </c>
      <c r="C11" s="185">
        <v>0.08</v>
      </c>
      <c r="D11" s="166">
        <f>$C$6*C11+C6</f>
        <v>1080</v>
      </c>
      <c r="E11" s="167" t="str">
        <f ca="1">_xlfn.FORMULATEXT(D11)</f>
        <v>=$C$6*C11+C6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</row>
    <row r="12" spans="2:23" x14ac:dyDescent="0.45">
      <c r="B12" s="175">
        <v>2</v>
      </c>
      <c r="C12" s="186">
        <v>7.9899999999999999E-2</v>
      </c>
      <c r="D12" s="168">
        <f>$C$6*$C$12</f>
        <v>79.900000000000006</v>
      </c>
      <c r="E12" s="168">
        <f>$C$6*$C$12+C6</f>
        <v>1079.9000000000001</v>
      </c>
      <c r="F12" s="169" t="str">
        <f ca="1">_xlfn.FORMULATEXT(E12)</f>
        <v>=$C$6*$C$12+C6</v>
      </c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</row>
    <row r="13" spans="2:23" x14ac:dyDescent="0.45">
      <c r="B13" s="175">
        <v>3</v>
      </c>
      <c r="C13" s="186">
        <v>7.8E-2</v>
      </c>
      <c r="D13" s="168">
        <f>$C$6*$C$13</f>
        <v>78</v>
      </c>
      <c r="E13" s="168">
        <f>$C$6*$C$13</f>
        <v>78</v>
      </c>
      <c r="F13" s="168">
        <f>$C$6*$C$13+C6</f>
        <v>1078</v>
      </c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</row>
    <row r="14" spans="2:23" x14ac:dyDescent="0.45">
      <c r="B14" s="175">
        <v>4</v>
      </c>
      <c r="C14" s="186">
        <v>7.4999999999999997E-2</v>
      </c>
      <c r="D14" s="168">
        <f>$C$6*$C$14</f>
        <v>75</v>
      </c>
      <c r="E14" s="168">
        <f>$C$6*$C$14</f>
        <v>75</v>
      </c>
      <c r="F14" s="168">
        <f>$C$6*$C$14</f>
        <v>75</v>
      </c>
      <c r="G14" s="168">
        <f>$C$6*$C$14+C6</f>
        <v>1075</v>
      </c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</row>
    <row r="15" spans="2:23" x14ac:dyDescent="0.45">
      <c r="B15" s="175">
        <v>5</v>
      </c>
      <c r="C15" s="186">
        <v>7.2499999999999995E-2</v>
      </c>
      <c r="D15" s="168">
        <f>$C$6*$C$15</f>
        <v>72.5</v>
      </c>
      <c r="E15" s="168">
        <f>$C$6*$C$15</f>
        <v>72.5</v>
      </c>
      <c r="F15" s="168">
        <f>$C$6*$C$15</f>
        <v>72.5</v>
      </c>
      <c r="G15" s="168">
        <f>$C$6*$C$15</f>
        <v>72.5</v>
      </c>
      <c r="H15" s="168">
        <f>$C$6*$C$15+C6</f>
        <v>1072.5</v>
      </c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</row>
    <row r="16" spans="2:23" x14ac:dyDescent="0.45">
      <c r="B16" s="175">
        <v>6</v>
      </c>
      <c r="C16" s="186">
        <v>7.1499999999999994E-2</v>
      </c>
      <c r="D16" s="168">
        <f>$C$6*$C$16</f>
        <v>71.5</v>
      </c>
      <c r="E16" s="168">
        <f>$C$6*$C$16</f>
        <v>71.5</v>
      </c>
      <c r="F16" s="168">
        <f>$C$6*$C$16</f>
        <v>71.5</v>
      </c>
      <c r="G16" s="168">
        <f>$C$6*$C$16</f>
        <v>71.5</v>
      </c>
      <c r="H16" s="168">
        <f>$C$6*$C$16</f>
        <v>71.5</v>
      </c>
      <c r="I16" s="168">
        <f>$C$6*$C$16+C6</f>
        <v>1071.5</v>
      </c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</row>
    <row r="17" spans="2:23" x14ac:dyDescent="0.45">
      <c r="B17" s="175">
        <v>7</v>
      </c>
      <c r="C17" s="186">
        <v>7.0199999999999999E-2</v>
      </c>
      <c r="D17" s="168">
        <f t="shared" ref="D17:I17" si="0">$C$6*$C$17</f>
        <v>70.2</v>
      </c>
      <c r="E17" s="168">
        <f t="shared" si="0"/>
        <v>70.2</v>
      </c>
      <c r="F17" s="168">
        <f t="shared" si="0"/>
        <v>70.2</v>
      </c>
      <c r="G17" s="168">
        <f t="shared" si="0"/>
        <v>70.2</v>
      </c>
      <c r="H17" s="168">
        <f t="shared" si="0"/>
        <v>70.2</v>
      </c>
      <c r="I17" s="168">
        <f t="shared" si="0"/>
        <v>70.2</v>
      </c>
      <c r="J17" s="168">
        <f>$C$6*$C$17+C6</f>
        <v>1070.2</v>
      </c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</row>
    <row r="18" spans="2:23" x14ac:dyDescent="0.45">
      <c r="B18" s="175">
        <v>8</v>
      </c>
      <c r="C18" s="186">
        <v>7.0000000000000007E-2</v>
      </c>
      <c r="D18" s="168">
        <f t="shared" ref="D18:J18" si="1">$C$6*$C$18</f>
        <v>70</v>
      </c>
      <c r="E18" s="168">
        <f t="shared" si="1"/>
        <v>70</v>
      </c>
      <c r="F18" s="168">
        <f t="shared" si="1"/>
        <v>70</v>
      </c>
      <c r="G18" s="168">
        <f t="shared" si="1"/>
        <v>70</v>
      </c>
      <c r="H18" s="168">
        <f t="shared" si="1"/>
        <v>70</v>
      </c>
      <c r="I18" s="168">
        <f t="shared" si="1"/>
        <v>70</v>
      </c>
      <c r="J18" s="168">
        <f t="shared" si="1"/>
        <v>70</v>
      </c>
      <c r="K18" s="168">
        <f>$C$6*$C$18+C6</f>
        <v>1070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</row>
    <row r="19" spans="2:23" x14ac:dyDescent="0.45">
      <c r="B19" s="175">
        <v>9</v>
      </c>
      <c r="C19" s="186">
        <v>6.8250000000000005E-2</v>
      </c>
      <c r="D19" s="168">
        <f t="shared" ref="D19:K19" si="2">$C$6*$C$19</f>
        <v>68.25</v>
      </c>
      <c r="E19" s="168">
        <f t="shared" si="2"/>
        <v>68.25</v>
      </c>
      <c r="F19" s="168">
        <f t="shared" si="2"/>
        <v>68.25</v>
      </c>
      <c r="G19" s="168">
        <f t="shared" si="2"/>
        <v>68.25</v>
      </c>
      <c r="H19" s="168">
        <f t="shared" si="2"/>
        <v>68.25</v>
      </c>
      <c r="I19" s="168">
        <f t="shared" si="2"/>
        <v>68.25</v>
      </c>
      <c r="J19" s="168">
        <f t="shared" si="2"/>
        <v>68.25</v>
      </c>
      <c r="K19" s="168">
        <f t="shared" si="2"/>
        <v>68.25</v>
      </c>
      <c r="L19" s="168">
        <f>$C$6*$C$19+C6</f>
        <v>1068.25</v>
      </c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</row>
    <row r="20" spans="2:23" x14ac:dyDescent="0.45">
      <c r="B20" s="175">
        <v>10</v>
      </c>
      <c r="C20" s="186">
        <v>6.7500000000000004E-2</v>
      </c>
      <c r="D20" s="168">
        <f t="shared" ref="D20:L20" si="3">$C$6*$C$20</f>
        <v>67.5</v>
      </c>
      <c r="E20" s="168">
        <f t="shared" si="3"/>
        <v>67.5</v>
      </c>
      <c r="F20" s="168">
        <f t="shared" si="3"/>
        <v>67.5</v>
      </c>
      <c r="G20" s="168">
        <f t="shared" si="3"/>
        <v>67.5</v>
      </c>
      <c r="H20" s="168">
        <f t="shared" si="3"/>
        <v>67.5</v>
      </c>
      <c r="I20" s="168">
        <f t="shared" si="3"/>
        <v>67.5</v>
      </c>
      <c r="J20" s="168">
        <f t="shared" si="3"/>
        <v>67.5</v>
      </c>
      <c r="K20" s="168">
        <f t="shared" si="3"/>
        <v>67.5</v>
      </c>
      <c r="L20" s="168">
        <f t="shared" si="3"/>
        <v>67.5</v>
      </c>
      <c r="M20" s="168">
        <f>$C$6*$C$20+C6</f>
        <v>1067.5</v>
      </c>
      <c r="N20" s="169"/>
      <c r="O20" s="169"/>
      <c r="P20" s="169"/>
      <c r="Q20" s="169"/>
      <c r="R20" s="169"/>
      <c r="S20" s="169"/>
      <c r="T20" s="169"/>
      <c r="U20" s="169"/>
      <c r="V20" s="169"/>
      <c r="W20" s="169"/>
    </row>
    <row r="21" spans="2:23" x14ac:dyDescent="0.45">
      <c r="B21" s="175">
        <v>11</v>
      </c>
      <c r="C21" s="186">
        <v>6.6299999999999998E-2</v>
      </c>
      <c r="D21" s="168">
        <f t="shared" ref="D21:M21" si="4">$C$6*$C$21</f>
        <v>66.3</v>
      </c>
      <c r="E21" s="168">
        <f t="shared" si="4"/>
        <v>66.3</v>
      </c>
      <c r="F21" s="168">
        <f t="shared" si="4"/>
        <v>66.3</v>
      </c>
      <c r="G21" s="168">
        <f t="shared" si="4"/>
        <v>66.3</v>
      </c>
      <c r="H21" s="168">
        <f t="shared" si="4"/>
        <v>66.3</v>
      </c>
      <c r="I21" s="168">
        <f t="shared" si="4"/>
        <v>66.3</v>
      </c>
      <c r="J21" s="168">
        <f t="shared" si="4"/>
        <v>66.3</v>
      </c>
      <c r="K21" s="168">
        <f t="shared" si="4"/>
        <v>66.3</v>
      </c>
      <c r="L21" s="168">
        <f t="shared" si="4"/>
        <v>66.3</v>
      </c>
      <c r="M21" s="168">
        <f t="shared" si="4"/>
        <v>66.3</v>
      </c>
      <c r="N21" s="168">
        <f>$C$6*$C$21+C6</f>
        <v>1066.3</v>
      </c>
      <c r="O21" s="169"/>
      <c r="P21" s="169"/>
      <c r="Q21" s="169"/>
      <c r="R21" s="169"/>
      <c r="S21" s="169"/>
      <c r="T21" s="169"/>
      <c r="U21" s="169"/>
      <c r="V21" s="169"/>
      <c r="W21" s="169"/>
    </row>
    <row r="22" spans="2:23" x14ac:dyDescent="0.45">
      <c r="B22" s="175">
        <v>12</v>
      </c>
      <c r="C22" s="186">
        <v>6.54E-2</v>
      </c>
      <c r="D22" s="168">
        <f t="shared" ref="D22:N22" si="5">$C$6*$C$22</f>
        <v>65.400000000000006</v>
      </c>
      <c r="E22" s="168">
        <f t="shared" si="5"/>
        <v>65.400000000000006</v>
      </c>
      <c r="F22" s="168">
        <f t="shared" si="5"/>
        <v>65.400000000000006</v>
      </c>
      <c r="G22" s="168">
        <f t="shared" si="5"/>
        <v>65.400000000000006</v>
      </c>
      <c r="H22" s="168">
        <f t="shared" si="5"/>
        <v>65.400000000000006</v>
      </c>
      <c r="I22" s="168">
        <f t="shared" si="5"/>
        <v>65.400000000000006</v>
      </c>
      <c r="J22" s="168">
        <f t="shared" si="5"/>
        <v>65.400000000000006</v>
      </c>
      <c r="K22" s="168">
        <f t="shared" si="5"/>
        <v>65.400000000000006</v>
      </c>
      <c r="L22" s="168">
        <f t="shared" si="5"/>
        <v>65.400000000000006</v>
      </c>
      <c r="M22" s="168">
        <f t="shared" si="5"/>
        <v>65.400000000000006</v>
      </c>
      <c r="N22" s="168">
        <f t="shared" si="5"/>
        <v>65.400000000000006</v>
      </c>
      <c r="O22" s="168">
        <f>$C$6*$C$22+C6</f>
        <v>1065.4000000000001</v>
      </c>
      <c r="P22" s="169"/>
      <c r="Q22" s="169"/>
      <c r="R22" s="169"/>
      <c r="S22" s="169"/>
      <c r="T22" s="169"/>
      <c r="U22" s="169"/>
      <c r="V22" s="169"/>
      <c r="W22" s="169"/>
    </row>
    <row r="23" spans="2:23" x14ac:dyDescent="0.45">
      <c r="B23" s="175">
        <v>13</v>
      </c>
      <c r="C23" s="186">
        <v>6.4399999999999999E-2</v>
      </c>
      <c r="D23" s="168">
        <f t="shared" ref="D23:O23" si="6">$C$6*$C$23</f>
        <v>64.400000000000006</v>
      </c>
      <c r="E23" s="168">
        <f t="shared" si="6"/>
        <v>64.400000000000006</v>
      </c>
      <c r="F23" s="168">
        <f t="shared" si="6"/>
        <v>64.400000000000006</v>
      </c>
      <c r="G23" s="168">
        <f t="shared" si="6"/>
        <v>64.400000000000006</v>
      </c>
      <c r="H23" s="168">
        <f t="shared" si="6"/>
        <v>64.400000000000006</v>
      </c>
      <c r="I23" s="168">
        <f t="shared" si="6"/>
        <v>64.400000000000006</v>
      </c>
      <c r="J23" s="168">
        <f t="shared" si="6"/>
        <v>64.400000000000006</v>
      </c>
      <c r="K23" s="168">
        <f t="shared" si="6"/>
        <v>64.400000000000006</v>
      </c>
      <c r="L23" s="168">
        <f t="shared" si="6"/>
        <v>64.400000000000006</v>
      </c>
      <c r="M23" s="168">
        <f t="shared" si="6"/>
        <v>64.400000000000006</v>
      </c>
      <c r="N23" s="168">
        <f t="shared" si="6"/>
        <v>64.400000000000006</v>
      </c>
      <c r="O23" s="168">
        <f t="shared" si="6"/>
        <v>64.400000000000006</v>
      </c>
      <c r="P23" s="168">
        <f>$C$6*$C$23+C6</f>
        <v>1064.4000000000001</v>
      </c>
      <c r="Q23" s="169"/>
      <c r="R23" s="169"/>
      <c r="S23" s="169"/>
      <c r="T23" s="169"/>
      <c r="U23" s="169"/>
      <c r="V23" s="169"/>
      <c r="W23" s="169"/>
    </row>
    <row r="24" spans="2:23" x14ac:dyDescent="0.45">
      <c r="B24" s="175">
        <v>14</v>
      </c>
      <c r="C24" s="186">
        <v>6.4000000000000001E-2</v>
      </c>
      <c r="D24" s="168">
        <f t="shared" ref="D24:P24" si="7">$C$6*$C$24</f>
        <v>64</v>
      </c>
      <c r="E24" s="168">
        <f t="shared" si="7"/>
        <v>64</v>
      </c>
      <c r="F24" s="168">
        <f t="shared" si="7"/>
        <v>64</v>
      </c>
      <c r="G24" s="168">
        <f t="shared" si="7"/>
        <v>64</v>
      </c>
      <c r="H24" s="168">
        <f t="shared" si="7"/>
        <v>64</v>
      </c>
      <c r="I24" s="168">
        <f t="shared" si="7"/>
        <v>64</v>
      </c>
      <c r="J24" s="168">
        <f t="shared" si="7"/>
        <v>64</v>
      </c>
      <c r="K24" s="168">
        <f t="shared" si="7"/>
        <v>64</v>
      </c>
      <c r="L24" s="168">
        <f t="shared" si="7"/>
        <v>64</v>
      </c>
      <c r="M24" s="168">
        <f t="shared" si="7"/>
        <v>64</v>
      </c>
      <c r="N24" s="168">
        <f t="shared" si="7"/>
        <v>64</v>
      </c>
      <c r="O24" s="168">
        <f t="shared" si="7"/>
        <v>64</v>
      </c>
      <c r="P24" s="168">
        <f t="shared" si="7"/>
        <v>64</v>
      </c>
      <c r="Q24" s="168">
        <f>$C$6*$C$24+C6</f>
        <v>1064</v>
      </c>
      <c r="R24" s="169"/>
      <c r="S24" s="169"/>
      <c r="T24" s="169"/>
      <c r="U24" s="169"/>
      <c r="V24" s="169"/>
      <c r="W24" s="169"/>
    </row>
    <row r="25" spans="2:23" x14ac:dyDescent="0.45">
      <c r="B25" s="175">
        <v>15</v>
      </c>
      <c r="C25" s="186">
        <v>6.3500000000000001E-2</v>
      </c>
      <c r="D25" s="168">
        <f t="shared" ref="D25:Q25" si="8">$C$6*$C$25</f>
        <v>63.5</v>
      </c>
      <c r="E25" s="168">
        <f t="shared" si="8"/>
        <v>63.5</v>
      </c>
      <c r="F25" s="168">
        <f t="shared" si="8"/>
        <v>63.5</v>
      </c>
      <c r="G25" s="168">
        <f t="shared" si="8"/>
        <v>63.5</v>
      </c>
      <c r="H25" s="168">
        <f t="shared" si="8"/>
        <v>63.5</v>
      </c>
      <c r="I25" s="168">
        <f t="shared" si="8"/>
        <v>63.5</v>
      </c>
      <c r="J25" s="168">
        <f t="shared" si="8"/>
        <v>63.5</v>
      </c>
      <c r="K25" s="168">
        <f t="shared" si="8"/>
        <v>63.5</v>
      </c>
      <c r="L25" s="168">
        <f t="shared" si="8"/>
        <v>63.5</v>
      </c>
      <c r="M25" s="168">
        <f t="shared" si="8"/>
        <v>63.5</v>
      </c>
      <c r="N25" s="168">
        <f t="shared" si="8"/>
        <v>63.5</v>
      </c>
      <c r="O25" s="168">
        <f t="shared" si="8"/>
        <v>63.5</v>
      </c>
      <c r="P25" s="168">
        <f t="shared" si="8"/>
        <v>63.5</v>
      </c>
      <c r="Q25" s="168">
        <f t="shared" si="8"/>
        <v>63.5</v>
      </c>
      <c r="R25" s="168">
        <f>$C$6*$C$25+C6</f>
        <v>1063.5</v>
      </c>
      <c r="S25" s="169"/>
      <c r="T25" s="169"/>
      <c r="U25" s="169"/>
      <c r="V25" s="169"/>
      <c r="W25" s="169"/>
    </row>
    <row r="26" spans="2:23" x14ac:dyDescent="0.45">
      <c r="B26" s="175">
        <v>16</v>
      </c>
      <c r="C26" s="186">
        <v>6.3E-2</v>
      </c>
      <c r="D26" s="168">
        <f t="shared" ref="D26:R26" si="9">$C$6*$C$26</f>
        <v>63</v>
      </c>
      <c r="E26" s="168">
        <f t="shared" si="9"/>
        <v>63</v>
      </c>
      <c r="F26" s="168">
        <f t="shared" si="9"/>
        <v>63</v>
      </c>
      <c r="G26" s="168">
        <f t="shared" si="9"/>
        <v>63</v>
      </c>
      <c r="H26" s="168">
        <f t="shared" si="9"/>
        <v>63</v>
      </c>
      <c r="I26" s="168">
        <f t="shared" si="9"/>
        <v>63</v>
      </c>
      <c r="J26" s="168">
        <f t="shared" si="9"/>
        <v>63</v>
      </c>
      <c r="K26" s="168">
        <f t="shared" si="9"/>
        <v>63</v>
      </c>
      <c r="L26" s="168">
        <f t="shared" si="9"/>
        <v>63</v>
      </c>
      <c r="M26" s="168">
        <f t="shared" si="9"/>
        <v>63</v>
      </c>
      <c r="N26" s="168">
        <f t="shared" si="9"/>
        <v>63</v>
      </c>
      <c r="O26" s="168">
        <f t="shared" si="9"/>
        <v>63</v>
      </c>
      <c r="P26" s="168">
        <f t="shared" si="9"/>
        <v>63</v>
      </c>
      <c r="Q26" s="168">
        <f t="shared" si="9"/>
        <v>63</v>
      </c>
      <c r="R26" s="168">
        <f t="shared" si="9"/>
        <v>63</v>
      </c>
      <c r="S26" s="168">
        <f>$C$6*$C$26+C6</f>
        <v>1063</v>
      </c>
      <c r="T26" s="169"/>
      <c r="U26" s="169"/>
      <c r="V26" s="169"/>
      <c r="W26" s="169"/>
    </row>
    <row r="27" spans="2:23" x14ac:dyDescent="0.45">
      <c r="B27" s="175">
        <v>17</v>
      </c>
      <c r="C27" s="186">
        <v>6.25E-2</v>
      </c>
      <c r="D27" s="168">
        <f t="shared" ref="D27:S27" si="10">$C$6*$C$27</f>
        <v>62.5</v>
      </c>
      <c r="E27" s="168">
        <f t="shared" si="10"/>
        <v>62.5</v>
      </c>
      <c r="F27" s="168">
        <f t="shared" si="10"/>
        <v>62.5</v>
      </c>
      <c r="G27" s="168">
        <f t="shared" si="10"/>
        <v>62.5</v>
      </c>
      <c r="H27" s="168">
        <f t="shared" si="10"/>
        <v>62.5</v>
      </c>
      <c r="I27" s="168">
        <f t="shared" si="10"/>
        <v>62.5</v>
      </c>
      <c r="J27" s="168">
        <f t="shared" si="10"/>
        <v>62.5</v>
      </c>
      <c r="K27" s="168">
        <f t="shared" si="10"/>
        <v>62.5</v>
      </c>
      <c r="L27" s="168">
        <f t="shared" si="10"/>
        <v>62.5</v>
      </c>
      <c r="M27" s="168">
        <f t="shared" si="10"/>
        <v>62.5</v>
      </c>
      <c r="N27" s="168">
        <f t="shared" si="10"/>
        <v>62.5</v>
      </c>
      <c r="O27" s="168">
        <f t="shared" si="10"/>
        <v>62.5</v>
      </c>
      <c r="P27" s="168">
        <f t="shared" si="10"/>
        <v>62.5</v>
      </c>
      <c r="Q27" s="168">
        <f t="shared" si="10"/>
        <v>62.5</v>
      </c>
      <c r="R27" s="168">
        <f t="shared" si="10"/>
        <v>62.5</v>
      </c>
      <c r="S27" s="168">
        <f t="shared" si="10"/>
        <v>62.5</v>
      </c>
      <c r="T27" s="168">
        <f>$C$6*$C$27+C6</f>
        <v>1062.5</v>
      </c>
      <c r="U27" s="169"/>
      <c r="V27" s="169"/>
      <c r="W27" s="169"/>
    </row>
    <row r="28" spans="2:23" x14ac:dyDescent="0.45">
      <c r="B28" s="175">
        <v>18</v>
      </c>
      <c r="C28" s="186">
        <v>6.2E-2</v>
      </c>
      <c r="D28" s="168">
        <f t="shared" ref="D28:T28" si="11">$C$6*$C$28</f>
        <v>62</v>
      </c>
      <c r="E28" s="168">
        <f t="shared" si="11"/>
        <v>62</v>
      </c>
      <c r="F28" s="168">
        <f t="shared" si="11"/>
        <v>62</v>
      </c>
      <c r="G28" s="168">
        <f t="shared" si="11"/>
        <v>62</v>
      </c>
      <c r="H28" s="168">
        <f t="shared" si="11"/>
        <v>62</v>
      </c>
      <c r="I28" s="168">
        <f t="shared" si="11"/>
        <v>62</v>
      </c>
      <c r="J28" s="168">
        <f t="shared" si="11"/>
        <v>62</v>
      </c>
      <c r="K28" s="168">
        <f t="shared" si="11"/>
        <v>62</v>
      </c>
      <c r="L28" s="168">
        <f t="shared" si="11"/>
        <v>62</v>
      </c>
      <c r="M28" s="168">
        <f t="shared" si="11"/>
        <v>62</v>
      </c>
      <c r="N28" s="168">
        <f t="shared" si="11"/>
        <v>62</v>
      </c>
      <c r="O28" s="168">
        <f t="shared" si="11"/>
        <v>62</v>
      </c>
      <c r="P28" s="168">
        <f t="shared" si="11"/>
        <v>62</v>
      </c>
      <c r="Q28" s="168">
        <f t="shared" si="11"/>
        <v>62</v>
      </c>
      <c r="R28" s="168">
        <f t="shared" si="11"/>
        <v>62</v>
      </c>
      <c r="S28" s="168">
        <f t="shared" si="11"/>
        <v>62</v>
      </c>
      <c r="T28" s="168">
        <f t="shared" si="11"/>
        <v>62</v>
      </c>
      <c r="U28" s="168">
        <f>$C$6*$C$28+C6</f>
        <v>1062</v>
      </c>
      <c r="V28" s="169"/>
      <c r="W28" s="169"/>
    </row>
    <row r="29" spans="2:23" x14ac:dyDescent="0.45">
      <c r="B29" s="175">
        <v>19</v>
      </c>
      <c r="C29" s="186">
        <v>6.1899999999999997E-2</v>
      </c>
      <c r="D29" s="168">
        <f t="shared" ref="D29:U29" si="12">$C$6*$C$29</f>
        <v>61.9</v>
      </c>
      <c r="E29" s="168">
        <f t="shared" si="12"/>
        <v>61.9</v>
      </c>
      <c r="F29" s="168">
        <f t="shared" si="12"/>
        <v>61.9</v>
      </c>
      <c r="G29" s="168">
        <f t="shared" si="12"/>
        <v>61.9</v>
      </c>
      <c r="H29" s="168">
        <f t="shared" si="12"/>
        <v>61.9</v>
      </c>
      <c r="I29" s="168">
        <f t="shared" si="12"/>
        <v>61.9</v>
      </c>
      <c r="J29" s="168">
        <f t="shared" si="12"/>
        <v>61.9</v>
      </c>
      <c r="K29" s="168">
        <f t="shared" si="12"/>
        <v>61.9</v>
      </c>
      <c r="L29" s="168">
        <f t="shared" si="12"/>
        <v>61.9</v>
      </c>
      <c r="M29" s="168">
        <f t="shared" si="12"/>
        <v>61.9</v>
      </c>
      <c r="N29" s="168">
        <f t="shared" si="12"/>
        <v>61.9</v>
      </c>
      <c r="O29" s="168">
        <f t="shared" si="12"/>
        <v>61.9</v>
      </c>
      <c r="P29" s="168">
        <f t="shared" si="12"/>
        <v>61.9</v>
      </c>
      <c r="Q29" s="168">
        <f t="shared" si="12"/>
        <v>61.9</v>
      </c>
      <c r="R29" s="168">
        <f t="shared" si="12"/>
        <v>61.9</v>
      </c>
      <c r="S29" s="168">
        <f t="shared" si="12"/>
        <v>61.9</v>
      </c>
      <c r="T29" s="168">
        <f t="shared" si="12"/>
        <v>61.9</v>
      </c>
      <c r="U29" s="168">
        <f t="shared" si="12"/>
        <v>61.9</v>
      </c>
      <c r="V29" s="168">
        <f>$C$6*$C$29+C6</f>
        <v>1061.9000000000001</v>
      </c>
      <c r="W29" s="169"/>
    </row>
    <row r="30" spans="2:23" x14ac:dyDescent="0.45">
      <c r="B30" s="175">
        <v>20</v>
      </c>
      <c r="C30" s="186">
        <v>6.1800000000000001E-2</v>
      </c>
      <c r="D30" s="168">
        <f t="shared" ref="D30:V30" si="13">$C$6*$C$30</f>
        <v>61.800000000000004</v>
      </c>
      <c r="E30" s="168">
        <f t="shared" si="13"/>
        <v>61.800000000000004</v>
      </c>
      <c r="F30" s="168">
        <f t="shared" si="13"/>
        <v>61.800000000000004</v>
      </c>
      <c r="G30" s="168">
        <f t="shared" si="13"/>
        <v>61.800000000000004</v>
      </c>
      <c r="H30" s="168">
        <f t="shared" si="13"/>
        <v>61.800000000000004</v>
      </c>
      <c r="I30" s="168">
        <f t="shared" si="13"/>
        <v>61.800000000000004</v>
      </c>
      <c r="J30" s="168">
        <f t="shared" si="13"/>
        <v>61.800000000000004</v>
      </c>
      <c r="K30" s="168">
        <f t="shared" si="13"/>
        <v>61.800000000000004</v>
      </c>
      <c r="L30" s="168">
        <f t="shared" si="13"/>
        <v>61.800000000000004</v>
      </c>
      <c r="M30" s="168">
        <f t="shared" si="13"/>
        <v>61.800000000000004</v>
      </c>
      <c r="N30" s="168">
        <f t="shared" si="13"/>
        <v>61.800000000000004</v>
      </c>
      <c r="O30" s="168">
        <f t="shared" si="13"/>
        <v>61.800000000000004</v>
      </c>
      <c r="P30" s="168">
        <f t="shared" si="13"/>
        <v>61.800000000000004</v>
      </c>
      <c r="Q30" s="168">
        <f t="shared" si="13"/>
        <v>61.800000000000004</v>
      </c>
      <c r="R30" s="168">
        <f t="shared" si="13"/>
        <v>61.800000000000004</v>
      </c>
      <c r="S30" s="168">
        <f t="shared" si="13"/>
        <v>61.800000000000004</v>
      </c>
      <c r="T30" s="168">
        <f t="shared" si="13"/>
        <v>61.800000000000004</v>
      </c>
      <c r="U30" s="168">
        <f t="shared" si="13"/>
        <v>61.800000000000004</v>
      </c>
      <c r="V30" s="168">
        <f t="shared" si="13"/>
        <v>61.800000000000004</v>
      </c>
      <c r="W30" s="168">
        <f>$C$6*$C$30+C6</f>
        <v>1061.8</v>
      </c>
    </row>
    <row r="33" spans="2:18" ht="22.5" x14ac:dyDescent="0.45">
      <c r="B33" s="173" t="s">
        <v>223</v>
      </c>
      <c r="C33" s="165"/>
      <c r="D33" s="165"/>
    </row>
    <row r="34" spans="2:18" ht="15" customHeight="1" x14ac:dyDescent="0.45">
      <c r="B34" s="173"/>
      <c r="C34" s="165"/>
      <c r="D34" s="165"/>
    </row>
    <row r="35" spans="2:18" x14ac:dyDescent="0.45">
      <c r="B35" s="165" t="s">
        <v>217</v>
      </c>
      <c r="C35" s="165"/>
      <c r="D35" s="165"/>
      <c r="I35" s="288" t="s">
        <v>227</v>
      </c>
    </row>
    <row r="36" spans="2:18" x14ac:dyDescent="0.45">
      <c r="B36" s="183" t="s">
        <v>218</v>
      </c>
      <c r="C36" s="215"/>
      <c r="D36" s="165"/>
      <c r="I36" s="288" t="s">
        <v>228</v>
      </c>
    </row>
    <row r="37" spans="2:18" x14ac:dyDescent="0.45">
      <c r="B37" s="195" t="s">
        <v>164</v>
      </c>
      <c r="C37" s="284">
        <v>7.0000000000000007E-2</v>
      </c>
      <c r="I37" s="288" t="s">
        <v>229</v>
      </c>
    </row>
    <row r="38" spans="2:18" x14ac:dyDescent="0.45">
      <c r="B38" s="195" t="s">
        <v>39</v>
      </c>
      <c r="C38" s="285">
        <v>20</v>
      </c>
      <c r="D38" s="165"/>
      <c r="I38" s="288" t="s">
        <v>230</v>
      </c>
      <c r="P38" s="293"/>
      <c r="Q38" s="293"/>
      <c r="R38" s="293"/>
    </row>
    <row r="39" spans="2:18" x14ac:dyDescent="0.45">
      <c r="B39" s="195" t="s">
        <v>37</v>
      </c>
      <c r="C39" s="286">
        <v>1000</v>
      </c>
      <c r="F39" s="165"/>
      <c r="G39" s="165"/>
      <c r="H39" s="165"/>
      <c r="P39" s="293"/>
      <c r="Q39" s="293"/>
      <c r="R39" s="293"/>
    </row>
    <row r="40" spans="2:18" x14ac:dyDescent="0.45">
      <c r="B40" s="195" t="s">
        <v>29</v>
      </c>
      <c r="C40" s="287">
        <f>C62</f>
        <v>6.1800000000000001E-2</v>
      </c>
      <c r="F40" s="195" t="s">
        <v>31</v>
      </c>
      <c r="G40" s="182" t="s">
        <v>219</v>
      </c>
      <c r="I40" s="288" t="s">
        <v>222</v>
      </c>
      <c r="M40" s="293"/>
      <c r="N40" s="293"/>
      <c r="O40" s="187"/>
      <c r="P40" s="294"/>
      <c r="Q40" s="294"/>
      <c r="R40" s="189"/>
    </row>
    <row r="41" spans="2:18" x14ac:dyDescent="0.45">
      <c r="E41" s="170"/>
      <c r="F41" s="195" t="s">
        <v>194</v>
      </c>
      <c r="G41" s="182" t="s">
        <v>195</v>
      </c>
      <c r="I41" s="288" t="s">
        <v>220</v>
      </c>
      <c r="M41" s="188"/>
      <c r="N41" s="190"/>
      <c r="O41" s="187"/>
      <c r="P41" s="191"/>
      <c r="Q41" s="188"/>
    </row>
    <row r="42" spans="2:18" x14ac:dyDescent="0.45">
      <c r="B42" s="192" t="s">
        <v>125</v>
      </c>
      <c r="C42" s="176" t="s">
        <v>29</v>
      </c>
      <c r="D42" s="176" t="s">
        <v>126</v>
      </c>
      <c r="E42" s="176" t="s">
        <v>192</v>
      </c>
      <c r="F42" s="196" t="s">
        <v>193</v>
      </c>
      <c r="G42" s="184" t="s">
        <v>193</v>
      </c>
      <c r="M42" s="188"/>
      <c r="N42" s="188"/>
      <c r="P42" s="188"/>
      <c r="Q42" s="188"/>
    </row>
    <row r="43" spans="2:18" x14ac:dyDescent="0.45">
      <c r="B43" s="175">
        <v>1</v>
      </c>
      <c r="C43" s="178">
        <f t="shared" ref="C43:C62" si="14">C11</f>
        <v>0.08</v>
      </c>
      <c r="D43" s="290">
        <f>C11</f>
        <v>0.08</v>
      </c>
      <c r="E43" s="278">
        <f>$C$37*$C$39</f>
        <v>70</v>
      </c>
      <c r="F43" s="279">
        <f>E43/(1+$C$40)^B43</f>
        <v>65.925786400452054</v>
      </c>
      <c r="G43" s="280">
        <f>E43/(1+D43)^B43</f>
        <v>64.81481481481481</v>
      </c>
      <c r="I43" s="164" t="str">
        <f ca="1">_xlfn.FORMULATEXT(D43)</f>
        <v>=C11</v>
      </c>
      <c r="J43" s="164" t="str">
        <f ca="1">_xlfn.FORMULATEXT(E43)</f>
        <v>=$C$37*$C$39</v>
      </c>
      <c r="L43" s="164" t="str">
        <f ca="1">_xlfn.FORMULATEXT(F43)</f>
        <v>=E43/(1+$C$40)^B43</v>
      </c>
      <c r="N43" s="164" t="str">
        <f ca="1">_xlfn.FORMULATEXT(G43)</f>
        <v>=E43/(1+D43)^B43</v>
      </c>
    </row>
    <row r="44" spans="2:18" x14ac:dyDescent="0.45">
      <c r="B44" s="175">
        <v>2</v>
      </c>
      <c r="C44" s="178">
        <f t="shared" si="14"/>
        <v>7.9899999999999999E-2</v>
      </c>
      <c r="D44" s="290">
        <f>((E12/($C$6-(D12/(1+D43)^B11)))^(1/B12))-1</f>
        <v>7.9896005392072089E-2</v>
      </c>
      <c r="E44" s="278">
        <f>$C$37*$C$39</f>
        <v>70</v>
      </c>
      <c r="F44" s="279">
        <f>E44/(1+$C$40)^B44</f>
        <v>62.08870446454327</v>
      </c>
      <c r="G44" s="280">
        <f>E44/(1+D44)^B44</f>
        <v>60.025276688856628</v>
      </c>
      <c r="I44" s="164" t="str">
        <f t="shared" ref="I44:I51" ca="1" si="15">_xlfn.FORMULATEXT(D44)</f>
        <v>=((E12/($C$6-(D12/(1+D43)^B11)))^(1/B12))-1</v>
      </c>
      <c r="P44" s="188"/>
    </row>
    <row r="45" spans="2:18" x14ac:dyDescent="0.45">
      <c r="B45" s="175">
        <v>3</v>
      </c>
      <c r="C45" s="178">
        <f t="shared" si="14"/>
        <v>7.8E-2</v>
      </c>
      <c r="D45" s="275">
        <f>((F13/($C$6-(D13/(1+D43)^B11)-(E13/(1+D44)^B12)))^(1/B13))-1</f>
        <v>7.7845759175388274E-2</v>
      </c>
      <c r="E45" s="278">
        <f t="shared" ref="E45:E61" si="16">$C$37*$C$39</f>
        <v>70</v>
      </c>
      <c r="F45" s="279">
        <f t="shared" ref="F45:F61" si="17">E45/(1+$C$40)^B45</f>
        <v>58.474952405861053</v>
      </c>
      <c r="G45" s="280">
        <f>E45/(1+D45)^B45</f>
        <v>55.902108406969987</v>
      </c>
      <c r="I45" s="164" t="str">
        <f t="shared" ca="1" si="15"/>
        <v>=((F13/($C$6-(D13/(1+D43)^B11)-(E13/(1+D44)^B12)))^(1/B13))-1</v>
      </c>
      <c r="P45" s="188"/>
    </row>
    <row r="46" spans="2:18" x14ac:dyDescent="0.45">
      <c r="B46" s="175">
        <v>4</v>
      </c>
      <c r="C46" s="178">
        <f t="shared" si="14"/>
        <v>7.4999999999999997E-2</v>
      </c>
      <c r="D46" s="275">
        <f>((G14/(C6-(D14/(1+D43)^B11)-(E14/(1+D44)^B12)-(F14/(1+D45)^B13)))^(1/B14))-1</f>
        <v>7.4537399656099401E-2</v>
      </c>
      <c r="E46" s="278">
        <f t="shared" si="16"/>
        <v>70</v>
      </c>
      <c r="F46" s="279">
        <f t="shared" si="17"/>
        <v>55.071531744077085</v>
      </c>
      <c r="G46" s="280">
        <f t="shared" ref="G46:G61" si="18">E46/(1+D46)^B46</f>
        <v>52.506358145769227</v>
      </c>
      <c r="I46" s="164" t="str">
        <f t="shared" ca="1" si="15"/>
        <v>=((G14/(C6-(D14/(1+D43)^B11)-(E14/(1+D44)^B12)-(F14/(1+D45)^B13)))^(1/B14))-1</v>
      </c>
      <c r="P46" s="188"/>
    </row>
    <row r="47" spans="2:18" x14ac:dyDescent="0.45">
      <c r="B47" s="175">
        <v>5</v>
      </c>
      <c r="C47" s="178">
        <f t="shared" si="14"/>
        <v>7.2499999999999995E-2</v>
      </c>
      <c r="D47" s="275">
        <f>((H15/($C$6-(D15/(1+D43)^B11)-(E15/(1+D44)^B12)-(F15/(1+D45)^B13)-(G15/(1+D46)^B14)))^(1/B15))-1</f>
        <v>7.1759581097231129E-2</v>
      </c>
      <c r="E47" s="278">
        <f t="shared" si="16"/>
        <v>70</v>
      </c>
      <c r="F47" s="279">
        <f t="shared" si="17"/>
        <v>51.866200550082013</v>
      </c>
      <c r="G47" s="280">
        <f t="shared" si="18"/>
        <v>49.500680224624922</v>
      </c>
      <c r="I47" s="164" t="str">
        <f t="shared" ca="1" si="15"/>
        <v>=((H15/($C$6-(D15/(1+D43)^B11)-(E15/(1+D44)^B12)-(F15/(1+D45)^B13)-(G15/(1+D46)^B14)))^(1/B15))-1</v>
      </c>
      <c r="P47" s="188"/>
    </row>
    <row r="48" spans="2:18" x14ac:dyDescent="0.45">
      <c r="B48" s="175">
        <v>6</v>
      </c>
      <c r="C48" s="178">
        <f t="shared" si="14"/>
        <v>7.1499999999999994E-2</v>
      </c>
      <c r="D48" s="275">
        <f>((I16/($C$6-(D16/(1+D43)^B11)-(E16/(1+D44)^B12)-(F16/(1+D45)^B13)-(G16/(1+D46)^B14)-(H16/(1+D47)^B15)))^(1/B16))-1</f>
        <v>7.0699420026458348E-2</v>
      </c>
      <c r="E48" s="278">
        <f t="shared" si="16"/>
        <v>70</v>
      </c>
      <c r="F48" s="279">
        <f t="shared" si="17"/>
        <v>48.847429412395933</v>
      </c>
      <c r="G48" s="280">
        <f t="shared" si="18"/>
        <v>46.461436736263117</v>
      </c>
      <c r="I48" s="164" t="str">
        <f t="shared" ca="1" si="15"/>
        <v>=((I16/($C$6-(D16/(1+D43)^B11)-(E16/(1+D44)^B12)-(F16/(1+D45)^B13)-(G16/(1+D46)^B14)-(H16/(1+D47)^B15)))^(1/B16))-1</v>
      </c>
      <c r="P48" s="188"/>
    </row>
    <row r="49" spans="2:16" x14ac:dyDescent="0.45">
      <c r="B49" s="175">
        <v>7</v>
      </c>
      <c r="C49" s="178">
        <f t="shared" si="14"/>
        <v>7.0199999999999999E-2</v>
      </c>
      <c r="D49" s="275">
        <f>((J17/($C$6-(D17/(1+D43)^B11)-(E17/(1+D44)^B12)-(F17/(1+D45)^B13)-(G17/(1+D46)^B14)-(H17/(1+D47)^B15)-(I17/(1+D48)^B16)))^(1/B17))-1</f>
        <v>6.9226575829938186E-2</v>
      </c>
      <c r="E49" s="278">
        <f t="shared" si="16"/>
        <v>70</v>
      </c>
      <c r="F49" s="279">
        <f t="shared" si="17"/>
        <v>46.004359966468193</v>
      </c>
      <c r="G49" s="280">
        <f t="shared" si="18"/>
        <v>43.813689603612055</v>
      </c>
      <c r="I49" s="164" t="str">
        <f t="shared" ca="1" si="15"/>
        <v>=((J17/($C$6-(D17/(1+D43)^B11)-(E17/(1+D44)^B12)-(F17/(1+D45)^B13)-(G17/(1+D46)^B14)-(H17/(1+D47)^B15)-(I17/(1+D48)^B16)))^(1/B17))-1</v>
      </c>
      <c r="P49" s="188"/>
    </row>
    <row r="50" spans="2:16" x14ac:dyDescent="0.45">
      <c r="B50" s="175">
        <v>8</v>
      </c>
      <c r="C50" s="178">
        <f t="shared" si="14"/>
        <v>7.0000000000000007E-2</v>
      </c>
      <c r="D50" s="275">
        <f>((K18/($C$6-(D18/(1+D43)^B11)-(E18/(1+D44)^B12)-(F18/(1+D45)^B13)-(G18/(1+D46)^B14)-(H18/(1+D47)^B15)-(I18/(1+D48)^B16)-(J18/(1+D49)^B17)))^(1/B18))-1</f>
        <v>6.909583884692716E-2</v>
      </c>
      <c r="E50" s="278">
        <f t="shared" si="16"/>
        <v>70</v>
      </c>
      <c r="F50" s="279">
        <f t="shared" si="17"/>
        <v>43.326765837698424</v>
      </c>
      <c r="G50" s="280">
        <f t="shared" si="18"/>
        <v>41.017097641622627</v>
      </c>
      <c r="I50" s="164" t="str">
        <f t="shared" ca="1" si="15"/>
        <v>=((K18/($C$6-(D18/(1+D43)^B11)-(E18/(1+D44)^B12)-(F18/(1+D45)^B13)-(G18/(1+D46)^B14)-(H18/(1+D47)^B15)-(I18/(1+D48)^B16)-(J18/(1+D49)^B17)))^(1/B18))-1</v>
      </c>
      <c r="P50" s="188"/>
    </row>
    <row r="51" spans="2:16" x14ac:dyDescent="0.45">
      <c r="B51" s="175">
        <v>9</v>
      </c>
      <c r="C51" s="178">
        <f t="shared" si="14"/>
        <v>6.8250000000000005E-2</v>
      </c>
      <c r="D51" s="275">
        <f>((L19/($C$6-(D19/(1+D43)^B11)-(E19/(1+D44)^B12)-(F19/(1+D45)^B13)-(G19/(1+D46)^B14)-(H19/(1+D47)^B15)-(I19/(1+D48)^B16)-(J19/(1+D49)^B17)-(K19/(1+D50)^B18)))^(1/B19))-1</f>
        <v>6.6923934085554082E-2</v>
      </c>
      <c r="E51" s="278">
        <f t="shared" si="16"/>
        <v>70</v>
      </c>
      <c r="F51" s="279">
        <f t="shared" si="17"/>
        <v>40.805015857692993</v>
      </c>
      <c r="G51" s="280">
        <f t="shared" si="18"/>
        <v>39.074814135812844</v>
      </c>
      <c r="I51" s="164" t="str">
        <f t="shared" ca="1" si="15"/>
        <v>=((L19/($C$6-(D19/(1+D43)^B11)-(E19/(1+D44)^B12)-(F19/(1+D45)^B13)-(G19/(1+D46)^B14)-(H19/(1+D47)^B15)-(I19/(1+D48)^B16)-(J19/(1+D49)^B17)-(K19/(1+D50)^B18)))^(1/B19))-1</v>
      </c>
      <c r="P51" s="188"/>
    </row>
    <row r="52" spans="2:16" x14ac:dyDescent="0.45">
      <c r="B52" s="175">
        <v>10</v>
      </c>
      <c r="C52" s="178">
        <f t="shared" si="14"/>
        <v>6.7500000000000004E-2</v>
      </c>
      <c r="D52" s="275">
        <f>((M20/($C$6-(D20/(1+D43)^B11)-(E20/(1+D44)^B12)-(F20/(1+D45)^B13)-(G20/(1+D46)^B14)-(H20/(1+D47)^B15)-(I20/(1+D48)^B16)-(J20/(1+D49)^B17)-(K20/(1+D50)^B18)-(L20/(1+D51)^B19)))^(1/B20))-1</f>
        <v>6.605797513926337E-2</v>
      </c>
      <c r="E52" s="278">
        <f t="shared" si="16"/>
        <v>70</v>
      </c>
      <c r="F52" s="279">
        <f t="shared" si="17"/>
        <v>38.430039421447532</v>
      </c>
      <c r="G52" s="280">
        <f t="shared" si="18"/>
        <v>36.922390016966389</v>
      </c>
      <c r="P52" s="188"/>
    </row>
    <row r="53" spans="2:16" x14ac:dyDescent="0.45">
      <c r="B53" s="175">
        <v>11</v>
      </c>
      <c r="C53" s="178">
        <f t="shared" si="14"/>
        <v>6.6299999999999998E-2</v>
      </c>
      <c r="D53" s="275">
        <f>((N21/($C$6-(D21/(1+D43)^B11)-(E21/(1+D44)^B12)-(F21/(1+D45)^B13)-(G21/(1+D46)^B14)-(H21/(1+D47)^B15)-(I21/(1+D48)^B16)-(J21/(1+D49)^B17)-(K21/(1+D50)^B18)-(L21/(1+D51)^B19)-(M21/(1+D52)^B20)))^(1/B21))-1</f>
        <v>6.4549693619020188E-2</v>
      </c>
      <c r="E53" s="278">
        <f t="shared" si="16"/>
        <v>70</v>
      </c>
      <c r="F53" s="279">
        <f t="shared" si="17"/>
        <v>36.193293860847177</v>
      </c>
      <c r="G53" s="280">
        <f t="shared" si="18"/>
        <v>35.178126621649454</v>
      </c>
      <c r="P53" s="188"/>
    </row>
    <row r="54" spans="2:16" x14ac:dyDescent="0.45">
      <c r="B54" s="175">
        <v>12</v>
      </c>
      <c r="C54" s="178">
        <f t="shared" si="14"/>
        <v>6.54E-2</v>
      </c>
      <c r="D54" s="275">
        <f>((O22/($C$6-(D22/(1+D43)^B11)-(E22/(1+D44)^B12)-(F22/(1+D45)^B13)-(G22/(1+D46)^B14)-(H22/(1+D47)^B15)-(I22/(1+D48)^B16)-(J22/(1+D49)^B17)-(K22/(1+D50)^B18)-(L22/(1+D51)^B19)-(M22/(1+D52)^B20)-(N22/(1+D53)^B21)))^(1/B22))-1</f>
        <v>6.3436997731280753E-2</v>
      </c>
      <c r="E54" s="278">
        <f t="shared" si="16"/>
        <v>70</v>
      </c>
      <c r="F54" s="279">
        <f t="shared" si="17"/>
        <v>34.086733717128624</v>
      </c>
      <c r="G54" s="280">
        <f t="shared" si="18"/>
        <v>33.462381955493392</v>
      </c>
      <c r="P54" s="188"/>
    </row>
    <row r="55" spans="2:16" x14ac:dyDescent="0.45">
      <c r="B55" s="175">
        <v>13</v>
      </c>
      <c r="C55" s="178">
        <f t="shared" si="14"/>
        <v>6.4399999999999999E-2</v>
      </c>
      <c r="D55" s="275">
        <f>((P23/($C$6-(D23/(1+D43)^B11)-(E23/(1+D44)^B12)-(F23/(1+D45)^B13)-(G23/(1+D46)^B14)-(H23/(1+D47)^B15)-(I23/(1+D48)^B16)-(J23/(1+D49)^B17)-(K23/(1+D50)^B18)-(L23/(1+D51)^B19)-(M23/(1+D52)^B20)-(N23/(1+D53)^B21)-(O23/(1+D54)^B22)))^(1/B23))-1</f>
        <v>6.2157328789067101E-2</v>
      </c>
      <c r="E55" s="278">
        <f t="shared" si="16"/>
        <v>70</v>
      </c>
      <c r="F55" s="279">
        <f t="shared" si="17"/>
        <v>32.102781801778697</v>
      </c>
      <c r="G55" s="280">
        <f t="shared" si="18"/>
        <v>31.962665473962648</v>
      </c>
      <c r="P55" s="188"/>
    </row>
    <row r="56" spans="2:16" x14ac:dyDescent="0.45">
      <c r="B56" s="175">
        <v>14</v>
      </c>
      <c r="C56" s="178">
        <f t="shared" si="14"/>
        <v>6.4000000000000001E-2</v>
      </c>
      <c r="D56" s="275">
        <f>((Q24/($C$6-(D24/(1+D43)^B11)-(E24/(1+D44)^B12)-(F24/(1+D45)^B13)-(G24/(1+D46)^B14)-(H24/(1+D47)^B15)-(I24/(1+D48)^B16)-(J24/(1+D49)^B17)-(K24/(1+D50)^B18)-(L24/(1+D51)^B19)-(M24/(1+D52)^B20)-(N24/(1+D53)^B21)-(O24/(1+D54)^B22)-(P24/(1+D55)^B23)))^(1/B24))-1</f>
        <v>6.17301901864582E-2</v>
      </c>
      <c r="E56" s="278">
        <f t="shared" si="16"/>
        <v>70</v>
      </c>
      <c r="F56" s="279">
        <f t="shared" si="17"/>
        <v>30.234301941776877</v>
      </c>
      <c r="G56" s="280">
        <f t="shared" si="18"/>
        <v>30.262144934350765</v>
      </c>
      <c r="P56" s="188"/>
    </row>
    <row r="57" spans="2:16" x14ac:dyDescent="0.45">
      <c r="B57" s="175">
        <v>15</v>
      </c>
      <c r="C57" s="178">
        <f t="shared" si="14"/>
        <v>6.3500000000000001E-2</v>
      </c>
      <c r="D57" s="275">
        <f>((R25/($C$6-(D25/(1+D43)^B11)-(E25/(1+D44)^B12)-(F25/(1+D45)^B13)-(G25/(1+D46)^B14)-(H25/(1+D47)^B15)-(I25/(1+D48)^B16)-(J25/(1+D49)^B17)-(K25/(1+D50)^B18)-(L25/(1+D51)^B19)-(M25/(1+D52)^B20)-(N25/(1+D53)^B21)-(O25/(1+D54)^B22)-(P25/(1+D55)^B23)-(Q25/(1+D56)^B24)))^(1/B25))-1</f>
        <v>6.1125815233740166E-2</v>
      </c>
      <c r="E57" s="278">
        <f t="shared" si="16"/>
        <v>70</v>
      </c>
      <c r="F57" s="279">
        <f t="shared" si="17"/>
        <v>28.474573311147935</v>
      </c>
      <c r="G57" s="280">
        <f t="shared" si="18"/>
        <v>28.74715272877399</v>
      </c>
      <c r="P57" s="188"/>
    </row>
    <row r="58" spans="2:16" x14ac:dyDescent="0.45">
      <c r="B58" s="175">
        <v>16</v>
      </c>
      <c r="C58" s="178">
        <f t="shared" si="14"/>
        <v>6.3E-2</v>
      </c>
      <c r="D58" s="275">
        <f>((S26/($C$6-(D26/(1+D43)^B11)-(E26/(1+D44)^B12)-(F26/(1+D45)^B13)-(G26/(1+D46)^B14)-(H26/(1+D47)^B15)-(I26/(1+D48)^B16)-(J26/(1+D49)^B17)-(K26/(1+D50)^B18)-(L26/(1+D51)^B19)-(M26/(1+D52)^B20)-(N26/(1+D53)^B21)-(O26/(1+D54)^B22)-(P26/(1+D55)^B23)-(Q26/(1+D56)^B24)-(R26/(1+D57)^B25)))^(1/B26))-1</f>
        <v>6.0497856194195343E-2</v>
      </c>
      <c r="E58" s="278">
        <f t="shared" si="16"/>
        <v>70</v>
      </c>
      <c r="F58" s="279">
        <f t="shared" si="17"/>
        <v>26.817266256496453</v>
      </c>
      <c r="G58" s="280">
        <f t="shared" si="18"/>
        <v>27.348991813583048</v>
      </c>
      <c r="P58" s="188"/>
    </row>
    <row r="59" spans="2:16" x14ac:dyDescent="0.45">
      <c r="B59" s="175">
        <v>17</v>
      </c>
      <c r="C59" s="178">
        <f t="shared" si="14"/>
        <v>6.25E-2</v>
      </c>
      <c r="D59" s="275">
        <f>((T27/($C$6-(D27/(1+D43)^B11)-(E27/(1+D44)^B12)-(F27/(1+D45)^B13)-(G27/(1+D46)^B14)-(H27/(1+D47)^B15)-(I27/(1+D48)^B16)-(J27/(1+D49)^B17)-(K27/(1+D50)^B18)-(L27/(1+D51)^B19)-(M27/(1+D52)^B20)-(N27/(1+D53)^B21)-(O27/(1+D54)^B22)-(P27/(1+D55)^B23)-(Q27/(1+D56)^B24)-(R27/(1+D57)^B25)-(S27/(1+D58)^B26)))^(1/B27))-1</f>
        <v>5.9848347999593265E-2</v>
      </c>
      <c r="E59" s="278">
        <f t="shared" si="16"/>
        <v>70</v>
      </c>
      <c r="F59" s="279">
        <f t="shared" si="17"/>
        <v>25.256419529569083</v>
      </c>
      <c r="G59" s="280">
        <f t="shared" si="18"/>
        <v>26.058815885698476</v>
      </c>
      <c r="P59" s="188"/>
    </row>
    <row r="60" spans="2:16" x14ac:dyDescent="0.45">
      <c r="B60" s="175">
        <v>18</v>
      </c>
      <c r="C60" s="178">
        <f t="shared" si="14"/>
        <v>6.2E-2</v>
      </c>
      <c r="D60" s="275">
        <f>((U28/($C$6-(D28/(1+D43)^B11)-(E28/(1+D44)^B12)-(F28/(1+D45)^B13)-(G28/(1+D46)^B14)-(H28/(1+D47)^B15)-(I28/(1+D48)^B16)-(J28/(1+D49)^B17)-(K28/(1+D50)^B18)-(L28/(1+D51)^B19)-(M28/(1+D52)^B20)-(N28/(1+D53)^B21)-(O28/(1+D54)^B22)-(P28/(1+D55)^B23)-(Q28/(1+D56)^B24)-(R28/(1+D57)^B25)-(S28/(1+D58)^B26)-(T28/(1+D59)^B27)))^(1/B28))-1</f>
        <v>5.9178995696903325E-2</v>
      </c>
      <c r="E60" s="278">
        <f t="shared" si="16"/>
        <v>70</v>
      </c>
      <c r="F60" s="279">
        <f t="shared" si="17"/>
        <v>23.786418844951097</v>
      </c>
      <c r="G60" s="280">
        <f t="shared" si="18"/>
        <v>24.868498454437724</v>
      </c>
      <c r="P60" s="188"/>
    </row>
    <row r="61" spans="2:16" x14ac:dyDescent="0.45">
      <c r="B61" s="175">
        <v>19</v>
      </c>
      <c r="C61" s="178">
        <f t="shared" si="14"/>
        <v>6.1899999999999997E-2</v>
      </c>
      <c r="D61" s="275">
        <f>((V29/($C$6-(D29/(1+D43)^B11)-(E29/(1+D44)^B12)-(F29/(1+D45)^B13)-(G29/(1+D46)^B14)-(H29/(1+D47)^B15)-(I29/(1+D48)^B16)-(J29/(1+D49)^B17)-(K29/(1+D50)^B18)-(L29/(1+D51)^B19)-(M29/(1+D52)^B20)-(N29/(1+D53)^B21)-(O29/(1+D54)^B22)-(P29/(1+D55)^B23)-(Q29/(1+D56)^B24)-(R29/(1+D57)^B25)-(S29/(1+D58)^B26)-(T29/(1+D59)^B27)-(U29/(1+D60)^B28)))^(1/B29))-1</f>
        <v>5.9159086098788505E-2</v>
      </c>
      <c r="E61" s="278">
        <f t="shared" si="16"/>
        <v>70</v>
      </c>
      <c r="F61" s="279">
        <f t="shared" si="17"/>
        <v>22.401976685770482</v>
      </c>
      <c r="G61" s="280">
        <f t="shared" si="18"/>
        <v>23.487419906644778</v>
      </c>
      <c r="P61" s="188"/>
    </row>
    <row r="62" spans="2:16" x14ac:dyDescent="0.45">
      <c r="B62" s="174">
        <v>20</v>
      </c>
      <c r="C62" s="194">
        <f t="shared" si="14"/>
        <v>6.1800000000000001E-2</v>
      </c>
      <c r="D62" s="276">
        <f>((W30/($C$6-(D30/(1+D43)^B11)-(E30/(1+D44)^B12)-(F30/(1+D45)^B13)-(G30/(1+D46)^B14)-(H30/(1+D47)^B15)-(I30/(1+D48)^B16)-(J30/(1+D49)^B17)-(K30/(1+D50)^B18)-(L30/(1+D51)^B19)-(M30/(1+D52)^B20)-(N30/(1+D53)^B21)-(O30/(1+D54)^B22)-(P30/(1+D55)^B23)-(Q30/(1+D56)^B24)-(R30/(1+D57)^B25)-(S30/(1+D58)^B26)-(T30/(1+D59)^B27)-(U30/(1+D60)^B28)-(V30/(1+D61)^B29)))^(1/B30))-1</f>
        <v>5.9121814248986437E-2</v>
      </c>
      <c r="E62" s="281">
        <f>E61+C39</f>
        <v>1070</v>
      </c>
      <c r="F62" s="281">
        <f>E62/(1+$C$40)^B62</f>
        <v>322.4997316386515</v>
      </c>
      <c r="G62" s="289">
        <f>E62/(1+D62)^B62</f>
        <v>339.20755443018845</v>
      </c>
      <c r="P62" s="188"/>
    </row>
    <row r="63" spans="2:16" s="197" customFormat="1" ht="17.649999999999999" x14ac:dyDescent="0.45">
      <c r="E63" s="198" t="s">
        <v>127</v>
      </c>
      <c r="F63" s="282">
        <f>SUM(F43:F62)</f>
        <v>1092.6942836488363</v>
      </c>
      <c r="G63" s="283">
        <f>SUM(G43:G62)</f>
        <v>1090.6224186200952</v>
      </c>
    </row>
    <row r="64" spans="2:16" x14ac:dyDescent="0.45">
      <c r="E64" s="180" t="str">
        <f ca="1">_xlfn.FORMULATEXT(E62)</f>
        <v>=E61+C39</v>
      </c>
      <c r="F64" s="193"/>
    </row>
  </sheetData>
  <mergeCells count="4">
    <mergeCell ref="P38:R38"/>
    <mergeCell ref="P39:R39"/>
    <mergeCell ref="M40:N40"/>
    <mergeCell ref="P40:Q40"/>
  </mergeCells>
  <printOptions horizontalCentered="1" verticalCentered="1" headings="1" gridLinesSet="0"/>
  <pageMargins left="0.25" right="0.25" top="0.75" bottom="0.75" header="0.5" footer="0.5"/>
  <pageSetup scale="60" orientation="portrait" horizontalDpi="300" verticalDpi="300"/>
  <headerFooter alignWithMargins="0">
    <oddHeader>&amp;F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011D-1641-F94F-9657-F0352D1CC42F}">
  <sheetPr>
    <pageSetUpPr fitToPage="1"/>
  </sheetPr>
  <dimension ref="B2:I49"/>
  <sheetViews>
    <sheetView showGridLines="0" zoomScale="79" workbookViewId="0">
      <selection activeCell="E37" sqref="E37"/>
    </sheetView>
  </sheetViews>
  <sheetFormatPr defaultColWidth="10.6640625" defaultRowHeight="15.4" x14ac:dyDescent="0.45"/>
  <cols>
    <col min="1" max="1" width="2.6640625" style="164" customWidth="1"/>
    <col min="2" max="2" width="35.6640625" style="164" customWidth="1"/>
    <col min="3" max="3" width="16.796875" style="164" customWidth="1"/>
    <col min="4" max="4" width="16.796875" style="199" customWidth="1"/>
    <col min="5" max="5" width="16.796875" style="164" customWidth="1"/>
    <col min="6" max="6" width="16.796875" style="200" customWidth="1"/>
    <col min="7" max="7" width="16.796875" style="164" customWidth="1"/>
    <col min="8" max="8" width="18.33203125" style="164" customWidth="1"/>
    <col min="9" max="256" width="10.796875" style="164"/>
    <col min="257" max="257" width="2.6640625" style="164" customWidth="1"/>
    <col min="258" max="258" width="35.6640625" style="164" customWidth="1"/>
    <col min="259" max="264" width="14.796875" style="164" customWidth="1"/>
    <col min="265" max="512" width="10.796875" style="164"/>
    <col min="513" max="513" width="2.6640625" style="164" customWidth="1"/>
    <col min="514" max="514" width="35.6640625" style="164" customWidth="1"/>
    <col min="515" max="520" width="14.796875" style="164" customWidth="1"/>
    <col min="521" max="768" width="10.796875" style="164"/>
    <col min="769" max="769" width="2.6640625" style="164" customWidth="1"/>
    <col min="770" max="770" width="35.6640625" style="164" customWidth="1"/>
    <col min="771" max="776" width="14.796875" style="164" customWidth="1"/>
    <col min="777" max="1024" width="10.796875" style="164"/>
    <col min="1025" max="1025" width="2.6640625" style="164" customWidth="1"/>
    <col min="1026" max="1026" width="35.6640625" style="164" customWidth="1"/>
    <col min="1027" max="1032" width="14.796875" style="164" customWidth="1"/>
    <col min="1033" max="1280" width="10.796875" style="164"/>
    <col min="1281" max="1281" width="2.6640625" style="164" customWidth="1"/>
    <col min="1282" max="1282" width="35.6640625" style="164" customWidth="1"/>
    <col min="1283" max="1288" width="14.796875" style="164" customWidth="1"/>
    <col min="1289" max="1536" width="10.796875" style="164"/>
    <col min="1537" max="1537" width="2.6640625" style="164" customWidth="1"/>
    <col min="1538" max="1538" width="35.6640625" style="164" customWidth="1"/>
    <col min="1539" max="1544" width="14.796875" style="164" customWidth="1"/>
    <col min="1545" max="1792" width="10.796875" style="164"/>
    <col min="1793" max="1793" width="2.6640625" style="164" customWidth="1"/>
    <col min="1794" max="1794" width="35.6640625" style="164" customWidth="1"/>
    <col min="1795" max="1800" width="14.796875" style="164" customWidth="1"/>
    <col min="1801" max="2048" width="10.796875" style="164"/>
    <col min="2049" max="2049" width="2.6640625" style="164" customWidth="1"/>
    <col min="2050" max="2050" width="35.6640625" style="164" customWidth="1"/>
    <col min="2051" max="2056" width="14.796875" style="164" customWidth="1"/>
    <col min="2057" max="2304" width="10.796875" style="164"/>
    <col min="2305" max="2305" width="2.6640625" style="164" customWidth="1"/>
    <col min="2306" max="2306" width="35.6640625" style="164" customWidth="1"/>
    <col min="2307" max="2312" width="14.796875" style="164" customWidth="1"/>
    <col min="2313" max="2560" width="10.796875" style="164"/>
    <col min="2561" max="2561" width="2.6640625" style="164" customWidth="1"/>
    <col min="2562" max="2562" width="35.6640625" style="164" customWidth="1"/>
    <col min="2563" max="2568" width="14.796875" style="164" customWidth="1"/>
    <col min="2569" max="2816" width="10.796875" style="164"/>
    <col min="2817" max="2817" width="2.6640625" style="164" customWidth="1"/>
    <col min="2818" max="2818" width="35.6640625" style="164" customWidth="1"/>
    <col min="2819" max="2824" width="14.796875" style="164" customWidth="1"/>
    <col min="2825" max="3072" width="10.796875" style="164"/>
    <col min="3073" max="3073" width="2.6640625" style="164" customWidth="1"/>
    <col min="3074" max="3074" width="35.6640625" style="164" customWidth="1"/>
    <col min="3075" max="3080" width="14.796875" style="164" customWidth="1"/>
    <col min="3081" max="3328" width="10.796875" style="164"/>
    <col min="3329" max="3329" width="2.6640625" style="164" customWidth="1"/>
    <col min="3330" max="3330" width="35.6640625" style="164" customWidth="1"/>
    <col min="3331" max="3336" width="14.796875" style="164" customWidth="1"/>
    <col min="3337" max="3584" width="10.796875" style="164"/>
    <col min="3585" max="3585" width="2.6640625" style="164" customWidth="1"/>
    <col min="3586" max="3586" width="35.6640625" style="164" customWidth="1"/>
    <col min="3587" max="3592" width="14.796875" style="164" customWidth="1"/>
    <col min="3593" max="3840" width="10.796875" style="164"/>
    <col min="3841" max="3841" width="2.6640625" style="164" customWidth="1"/>
    <col min="3842" max="3842" width="35.6640625" style="164" customWidth="1"/>
    <col min="3843" max="3848" width="14.796875" style="164" customWidth="1"/>
    <col min="3849" max="4096" width="10.796875" style="164"/>
    <col min="4097" max="4097" width="2.6640625" style="164" customWidth="1"/>
    <col min="4098" max="4098" width="35.6640625" style="164" customWidth="1"/>
    <col min="4099" max="4104" width="14.796875" style="164" customWidth="1"/>
    <col min="4105" max="4352" width="10.796875" style="164"/>
    <col min="4353" max="4353" width="2.6640625" style="164" customWidth="1"/>
    <col min="4354" max="4354" width="35.6640625" style="164" customWidth="1"/>
    <col min="4355" max="4360" width="14.796875" style="164" customWidth="1"/>
    <col min="4361" max="4608" width="10.796875" style="164"/>
    <col min="4609" max="4609" width="2.6640625" style="164" customWidth="1"/>
    <col min="4610" max="4610" width="35.6640625" style="164" customWidth="1"/>
    <col min="4611" max="4616" width="14.796875" style="164" customWidth="1"/>
    <col min="4617" max="4864" width="10.796875" style="164"/>
    <col min="4865" max="4865" width="2.6640625" style="164" customWidth="1"/>
    <col min="4866" max="4866" width="35.6640625" style="164" customWidth="1"/>
    <col min="4867" max="4872" width="14.796875" style="164" customWidth="1"/>
    <col min="4873" max="5120" width="10.796875" style="164"/>
    <col min="5121" max="5121" width="2.6640625" style="164" customWidth="1"/>
    <col min="5122" max="5122" width="35.6640625" style="164" customWidth="1"/>
    <col min="5123" max="5128" width="14.796875" style="164" customWidth="1"/>
    <col min="5129" max="5376" width="10.796875" style="164"/>
    <col min="5377" max="5377" width="2.6640625" style="164" customWidth="1"/>
    <col min="5378" max="5378" width="35.6640625" style="164" customWidth="1"/>
    <col min="5379" max="5384" width="14.796875" style="164" customWidth="1"/>
    <col min="5385" max="5632" width="10.796875" style="164"/>
    <col min="5633" max="5633" width="2.6640625" style="164" customWidth="1"/>
    <col min="5634" max="5634" width="35.6640625" style="164" customWidth="1"/>
    <col min="5635" max="5640" width="14.796875" style="164" customWidth="1"/>
    <col min="5641" max="5888" width="10.796875" style="164"/>
    <col min="5889" max="5889" width="2.6640625" style="164" customWidth="1"/>
    <col min="5890" max="5890" width="35.6640625" style="164" customWidth="1"/>
    <col min="5891" max="5896" width="14.796875" style="164" customWidth="1"/>
    <col min="5897" max="6144" width="10.796875" style="164"/>
    <col min="6145" max="6145" width="2.6640625" style="164" customWidth="1"/>
    <col min="6146" max="6146" width="35.6640625" style="164" customWidth="1"/>
    <col min="6147" max="6152" width="14.796875" style="164" customWidth="1"/>
    <col min="6153" max="6400" width="10.796875" style="164"/>
    <col min="6401" max="6401" width="2.6640625" style="164" customWidth="1"/>
    <col min="6402" max="6402" width="35.6640625" style="164" customWidth="1"/>
    <col min="6403" max="6408" width="14.796875" style="164" customWidth="1"/>
    <col min="6409" max="6656" width="10.796875" style="164"/>
    <col min="6657" max="6657" width="2.6640625" style="164" customWidth="1"/>
    <col min="6658" max="6658" width="35.6640625" style="164" customWidth="1"/>
    <col min="6659" max="6664" width="14.796875" style="164" customWidth="1"/>
    <col min="6665" max="6912" width="10.796875" style="164"/>
    <col min="6913" max="6913" width="2.6640625" style="164" customWidth="1"/>
    <col min="6914" max="6914" width="35.6640625" style="164" customWidth="1"/>
    <col min="6915" max="6920" width="14.796875" style="164" customWidth="1"/>
    <col min="6921" max="7168" width="10.796875" style="164"/>
    <col min="7169" max="7169" width="2.6640625" style="164" customWidth="1"/>
    <col min="7170" max="7170" width="35.6640625" style="164" customWidth="1"/>
    <col min="7171" max="7176" width="14.796875" style="164" customWidth="1"/>
    <col min="7177" max="7424" width="10.796875" style="164"/>
    <col min="7425" max="7425" width="2.6640625" style="164" customWidth="1"/>
    <col min="7426" max="7426" width="35.6640625" style="164" customWidth="1"/>
    <col min="7427" max="7432" width="14.796875" style="164" customWidth="1"/>
    <col min="7433" max="7680" width="10.796875" style="164"/>
    <col min="7681" max="7681" width="2.6640625" style="164" customWidth="1"/>
    <col min="7682" max="7682" width="35.6640625" style="164" customWidth="1"/>
    <col min="7683" max="7688" width="14.796875" style="164" customWidth="1"/>
    <col min="7689" max="7936" width="10.796875" style="164"/>
    <col min="7937" max="7937" width="2.6640625" style="164" customWidth="1"/>
    <col min="7938" max="7938" width="35.6640625" style="164" customWidth="1"/>
    <col min="7939" max="7944" width="14.796875" style="164" customWidth="1"/>
    <col min="7945" max="8192" width="10.796875" style="164"/>
    <col min="8193" max="8193" width="2.6640625" style="164" customWidth="1"/>
    <col min="8194" max="8194" width="35.6640625" style="164" customWidth="1"/>
    <col min="8195" max="8200" width="14.796875" style="164" customWidth="1"/>
    <col min="8201" max="8448" width="10.796875" style="164"/>
    <col min="8449" max="8449" width="2.6640625" style="164" customWidth="1"/>
    <col min="8450" max="8450" width="35.6640625" style="164" customWidth="1"/>
    <col min="8451" max="8456" width="14.796875" style="164" customWidth="1"/>
    <col min="8457" max="8704" width="10.796875" style="164"/>
    <col min="8705" max="8705" width="2.6640625" style="164" customWidth="1"/>
    <col min="8706" max="8706" width="35.6640625" style="164" customWidth="1"/>
    <col min="8707" max="8712" width="14.796875" style="164" customWidth="1"/>
    <col min="8713" max="8960" width="10.796875" style="164"/>
    <col min="8961" max="8961" width="2.6640625" style="164" customWidth="1"/>
    <col min="8962" max="8962" width="35.6640625" style="164" customWidth="1"/>
    <col min="8963" max="8968" width="14.796875" style="164" customWidth="1"/>
    <col min="8969" max="9216" width="10.796875" style="164"/>
    <col min="9217" max="9217" width="2.6640625" style="164" customWidth="1"/>
    <col min="9218" max="9218" width="35.6640625" style="164" customWidth="1"/>
    <col min="9219" max="9224" width="14.796875" style="164" customWidth="1"/>
    <col min="9225" max="9472" width="10.796875" style="164"/>
    <col min="9473" max="9473" width="2.6640625" style="164" customWidth="1"/>
    <col min="9474" max="9474" width="35.6640625" style="164" customWidth="1"/>
    <col min="9475" max="9480" width="14.796875" style="164" customWidth="1"/>
    <col min="9481" max="9728" width="10.796875" style="164"/>
    <col min="9729" max="9729" width="2.6640625" style="164" customWidth="1"/>
    <col min="9730" max="9730" width="35.6640625" style="164" customWidth="1"/>
    <col min="9731" max="9736" width="14.796875" style="164" customWidth="1"/>
    <col min="9737" max="9984" width="10.796875" style="164"/>
    <col min="9985" max="9985" width="2.6640625" style="164" customWidth="1"/>
    <col min="9986" max="9986" width="35.6640625" style="164" customWidth="1"/>
    <col min="9987" max="9992" width="14.796875" style="164" customWidth="1"/>
    <col min="9993" max="10240" width="10.796875" style="164"/>
    <col min="10241" max="10241" width="2.6640625" style="164" customWidth="1"/>
    <col min="10242" max="10242" width="35.6640625" style="164" customWidth="1"/>
    <col min="10243" max="10248" width="14.796875" style="164" customWidth="1"/>
    <col min="10249" max="10496" width="10.796875" style="164"/>
    <col min="10497" max="10497" width="2.6640625" style="164" customWidth="1"/>
    <col min="10498" max="10498" width="35.6640625" style="164" customWidth="1"/>
    <col min="10499" max="10504" width="14.796875" style="164" customWidth="1"/>
    <col min="10505" max="10752" width="10.796875" style="164"/>
    <col min="10753" max="10753" width="2.6640625" style="164" customWidth="1"/>
    <col min="10754" max="10754" width="35.6640625" style="164" customWidth="1"/>
    <col min="10755" max="10760" width="14.796875" style="164" customWidth="1"/>
    <col min="10761" max="11008" width="10.796875" style="164"/>
    <col min="11009" max="11009" width="2.6640625" style="164" customWidth="1"/>
    <col min="11010" max="11010" width="35.6640625" style="164" customWidth="1"/>
    <col min="11011" max="11016" width="14.796875" style="164" customWidth="1"/>
    <col min="11017" max="11264" width="10.796875" style="164"/>
    <col min="11265" max="11265" width="2.6640625" style="164" customWidth="1"/>
    <col min="11266" max="11266" width="35.6640625" style="164" customWidth="1"/>
    <col min="11267" max="11272" width="14.796875" style="164" customWidth="1"/>
    <col min="11273" max="11520" width="10.796875" style="164"/>
    <col min="11521" max="11521" width="2.6640625" style="164" customWidth="1"/>
    <col min="11522" max="11522" width="35.6640625" style="164" customWidth="1"/>
    <col min="11523" max="11528" width="14.796875" style="164" customWidth="1"/>
    <col min="11529" max="11776" width="10.796875" style="164"/>
    <col min="11777" max="11777" width="2.6640625" style="164" customWidth="1"/>
    <col min="11778" max="11778" width="35.6640625" style="164" customWidth="1"/>
    <col min="11779" max="11784" width="14.796875" style="164" customWidth="1"/>
    <col min="11785" max="12032" width="10.796875" style="164"/>
    <col min="12033" max="12033" width="2.6640625" style="164" customWidth="1"/>
    <col min="12034" max="12034" width="35.6640625" style="164" customWidth="1"/>
    <col min="12035" max="12040" width="14.796875" style="164" customWidth="1"/>
    <col min="12041" max="12288" width="10.796875" style="164"/>
    <col min="12289" max="12289" width="2.6640625" style="164" customWidth="1"/>
    <col min="12290" max="12290" width="35.6640625" style="164" customWidth="1"/>
    <col min="12291" max="12296" width="14.796875" style="164" customWidth="1"/>
    <col min="12297" max="12544" width="10.796875" style="164"/>
    <col min="12545" max="12545" width="2.6640625" style="164" customWidth="1"/>
    <col min="12546" max="12546" width="35.6640625" style="164" customWidth="1"/>
    <col min="12547" max="12552" width="14.796875" style="164" customWidth="1"/>
    <col min="12553" max="12800" width="10.796875" style="164"/>
    <col min="12801" max="12801" width="2.6640625" style="164" customWidth="1"/>
    <col min="12802" max="12802" width="35.6640625" style="164" customWidth="1"/>
    <col min="12803" max="12808" width="14.796875" style="164" customWidth="1"/>
    <col min="12809" max="13056" width="10.796875" style="164"/>
    <col min="13057" max="13057" width="2.6640625" style="164" customWidth="1"/>
    <col min="13058" max="13058" width="35.6640625" style="164" customWidth="1"/>
    <col min="13059" max="13064" width="14.796875" style="164" customWidth="1"/>
    <col min="13065" max="13312" width="10.796875" style="164"/>
    <col min="13313" max="13313" width="2.6640625" style="164" customWidth="1"/>
    <col min="13314" max="13314" width="35.6640625" style="164" customWidth="1"/>
    <col min="13315" max="13320" width="14.796875" style="164" customWidth="1"/>
    <col min="13321" max="13568" width="10.796875" style="164"/>
    <col min="13569" max="13569" width="2.6640625" style="164" customWidth="1"/>
    <col min="13570" max="13570" width="35.6640625" style="164" customWidth="1"/>
    <col min="13571" max="13576" width="14.796875" style="164" customWidth="1"/>
    <col min="13577" max="13824" width="10.796875" style="164"/>
    <col min="13825" max="13825" width="2.6640625" style="164" customWidth="1"/>
    <col min="13826" max="13826" width="35.6640625" style="164" customWidth="1"/>
    <col min="13827" max="13832" width="14.796875" style="164" customWidth="1"/>
    <col min="13833" max="14080" width="10.796875" style="164"/>
    <col min="14081" max="14081" width="2.6640625" style="164" customWidth="1"/>
    <col min="14082" max="14082" width="35.6640625" style="164" customWidth="1"/>
    <col min="14083" max="14088" width="14.796875" style="164" customWidth="1"/>
    <col min="14089" max="14336" width="10.796875" style="164"/>
    <col min="14337" max="14337" width="2.6640625" style="164" customWidth="1"/>
    <col min="14338" max="14338" width="35.6640625" style="164" customWidth="1"/>
    <col min="14339" max="14344" width="14.796875" style="164" customWidth="1"/>
    <col min="14345" max="14592" width="10.796875" style="164"/>
    <col min="14593" max="14593" width="2.6640625" style="164" customWidth="1"/>
    <col min="14594" max="14594" width="35.6640625" style="164" customWidth="1"/>
    <col min="14595" max="14600" width="14.796875" style="164" customWidth="1"/>
    <col min="14601" max="14848" width="10.796875" style="164"/>
    <col min="14849" max="14849" width="2.6640625" style="164" customWidth="1"/>
    <col min="14850" max="14850" width="35.6640625" style="164" customWidth="1"/>
    <col min="14851" max="14856" width="14.796875" style="164" customWidth="1"/>
    <col min="14857" max="15104" width="10.796875" style="164"/>
    <col min="15105" max="15105" width="2.6640625" style="164" customWidth="1"/>
    <col min="15106" max="15106" width="35.6640625" style="164" customWidth="1"/>
    <col min="15107" max="15112" width="14.796875" style="164" customWidth="1"/>
    <col min="15113" max="15360" width="10.796875" style="164"/>
    <col min="15361" max="15361" width="2.6640625" style="164" customWidth="1"/>
    <col min="15362" max="15362" width="35.6640625" style="164" customWidth="1"/>
    <col min="15363" max="15368" width="14.796875" style="164" customWidth="1"/>
    <col min="15369" max="15616" width="10.796875" style="164"/>
    <col min="15617" max="15617" width="2.6640625" style="164" customWidth="1"/>
    <col min="15618" max="15618" width="35.6640625" style="164" customWidth="1"/>
    <col min="15619" max="15624" width="14.796875" style="164" customWidth="1"/>
    <col min="15625" max="15872" width="10.796875" style="164"/>
    <col min="15873" max="15873" width="2.6640625" style="164" customWidth="1"/>
    <col min="15874" max="15874" width="35.6640625" style="164" customWidth="1"/>
    <col min="15875" max="15880" width="14.796875" style="164" customWidth="1"/>
    <col min="15881" max="16128" width="10.796875" style="164"/>
    <col min="16129" max="16129" width="2.6640625" style="164" customWidth="1"/>
    <col min="16130" max="16130" width="35.6640625" style="164" customWidth="1"/>
    <col min="16131" max="16136" width="14.796875" style="164" customWidth="1"/>
    <col min="16137" max="16384" width="10.796875" style="164"/>
  </cols>
  <sheetData>
    <row r="2" spans="2:9" ht="22.5" x14ac:dyDescent="0.45">
      <c r="B2" s="245" t="s">
        <v>216</v>
      </c>
    </row>
    <row r="4" spans="2:9" ht="17.25" x14ac:dyDescent="0.45">
      <c r="B4" s="172" t="s">
        <v>147</v>
      </c>
      <c r="C4" s="181"/>
      <c r="E4" s="181"/>
      <c r="F4" s="202"/>
      <c r="G4" s="181"/>
    </row>
    <row r="5" spans="2:9" x14ac:dyDescent="0.45">
      <c r="B5" s="165"/>
      <c r="C5" s="181"/>
      <c r="D5" s="201" t="s">
        <v>128</v>
      </c>
      <c r="E5" s="179" t="str">
        <f ca="1">_xlfn.FORMULATEXT(E7)</f>
        <v>=8%/2*1000</v>
      </c>
      <c r="F5" s="179" t="str">
        <f ca="1">_xlfn.FORMULATEXT(F7)</f>
        <v>=E7/(1+10%/2)^C7</v>
      </c>
      <c r="G5" s="179" t="str">
        <f ca="1">_xlfn.FORMULATEXT(G7)</f>
        <v>=F7/$F$11</v>
      </c>
      <c r="H5" s="201" t="s">
        <v>129</v>
      </c>
    </row>
    <row r="6" spans="2:9" x14ac:dyDescent="0.45">
      <c r="B6" s="183" t="s">
        <v>196</v>
      </c>
      <c r="C6" s="184" t="s">
        <v>125</v>
      </c>
      <c r="D6" s="203" t="s">
        <v>209</v>
      </c>
      <c r="E6" s="184" t="s">
        <v>130</v>
      </c>
      <c r="F6" s="204" t="s">
        <v>131</v>
      </c>
      <c r="G6" s="184" t="s">
        <v>132</v>
      </c>
      <c r="H6" s="184" t="s">
        <v>210</v>
      </c>
    </row>
    <row r="7" spans="2:9" x14ac:dyDescent="0.45">
      <c r="B7" s="165" t="s">
        <v>133</v>
      </c>
      <c r="C7" s="205">
        <v>1</v>
      </c>
      <c r="D7" s="206">
        <f>C7/2</f>
        <v>0.5</v>
      </c>
      <c r="E7" s="205">
        <f>8%/2*1000</f>
        <v>40</v>
      </c>
      <c r="F7" s="225">
        <f>E7/(1+10%/2)^C7</f>
        <v>38.095238095238095</v>
      </c>
      <c r="G7" s="207">
        <f>F7/$F$11</f>
        <v>3.9495737394501046E-2</v>
      </c>
      <c r="H7" s="207">
        <f>G7*D7</f>
        <v>1.9747868697250523E-2</v>
      </c>
      <c r="I7" s="164" t="str">
        <f ca="1">_xlfn.FORMULATEXT(H7)</f>
        <v>=G7*D7</v>
      </c>
    </row>
    <row r="8" spans="2:9" x14ac:dyDescent="0.45">
      <c r="B8" s="165" t="s">
        <v>134</v>
      </c>
      <c r="C8" s="205">
        <v>2</v>
      </c>
      <c r="D8" s="206">
        <f>C8/2</f>
        <v>1</v>
      </c>
      <c r="E8" s="205">
        <f>8%/2*1000</f>
        <v>40</v>
      </c>
      <c r="F8" s="225">
        <f>E8/(1+10%/2)^C8</f>
        <v>36.281179138321995</v>
      </c>
      <c r="G8" s="207">
        <f t="shared" ref="G8:G10" si="0">F8/$F$11</f>
        <v>3.76149879947629E-2</v>
      </c>
      <c r="H8" s="207">
        <f>G8*D8</f>
        <v>3.76149879947629E-2</v>
      </c>
    </row>
    <row r="9" spans="2:9" x14ac:dyDescent="0.45">
      <c r="B9" s="165" t="s">
        <v>135</v>
      </c>
      <c r="C9" s="205">
        <v>3</v>
      </c>
      <c r="D9" s="206">
        <f>C9/2</f>
        <v>1.5</v>
      </c>
      <c r="E9" s="205">
        <f>8%/2*1000</f>
        <v>40</v>
      </c>
      <c r="F9" s="225">
        <f>E9/(1+10%/2)^C9</f>
        <v>34.553503941259038</v>
      </c>
      <c r="G9" s="207">
        <f t="shared" si="0"/>
        <v>3.5823798090250381E-2</v>
      </c>
      <c r="H9" s="207">
        <f>G9*D9</f>
        <v>5.3735697135375571E-2</v>
      </c>
    </row>
    <row r="10" spans="2:9" x14ac:dyDescent="0.45">
      <c r="C10" s="208">
        <v>4</v>
      </c>
      <c r="D10" s="209">
        <f>C10/2</f>
        <v>2</v>
      </c>
      <c r="E10" s="208">
        <f>8%/2*1000+1000</f>
        <v>1040</v>
      </c>
      <c r="F10" s="226">
        <f>E10/(1+10%/2)^C10</f>
        <v>855.61057378355724</v>
      </c>
      <c r="G10" s="210">
        <f t="shared" si="0"/>
        <v>0.88706547652048562</v>
      </c>
      <c r="H10" s="210">
        <f>G10*D10</f>
        <v>1.7741309530409712</v>
      </c>
    </row>
    <row r="11" spans="2:9" x14ac:dyDescent="0.45">
      <c r="C11" s="179"/>
      <c r="D11" s="211" t="str">
        <f ca="1">_xlfn.FORMULATEXT(D7)</f>
        <v>=C7/2</v>
      </c>
      <c r="E11" s="181" t="s">
        <v>136</v>
      </c>
      <c r="F11" s="225">
        <f>SUM(F7:F10)</f>
        <v>964.54049495837637</v>
      </c>
      <c r="G11" s="207">
        <f>F11/F$11</f>
        <v>1</v>
      </c>
      <c r="H11" s="246">
        <f>SUM(H7:H10)</f>
        <v>1.8852295068683602</v>
      </c>
      <c r="I11" s="255" t="s">
        <v>137</v>
      </c>
    </row>
    <row r="12" spans="2:9" x14ac:dyDescent="0.45">
      <c r="B12" s="231" t="s">
        <v>204</v>
      </c>
      <c r="C12" s="179"/>
      <c r="D12" s="211"/>
      <c r="E12" s="179" t="str">
        <f ca="1">_xlfn.FORMULATEXT(E10)</f>
        <v>=8%/2*1000+1000</v>
      </c>
      <c r="F12" s="227"/>
      <c r="H12" s="214">
        <f>H11*2</f>
        <v>3.7704590137367204</v>
      </c>
      <c r="I12" s="256" t="s">
        <v>138</v>
      </c>
    </row>
    <row r="13" spans="2:9" x14ac:dyDescent="0.45">
      <c r="C13" s="179"/>
      <c r="D13" s="211"/>
      <c r="E13" s="179"/>
      <c r="F13" s="247"/>
      <c r="H13" s="179" t="str">
        <f ca="1">_xlfn.FORMULATEXT(H12)</f>
        <v>=H11*2</v>
      </c>
    </row>
    <row r="14" spans="2:9" x14ac:dyDescent="0.45">
      <c r="B14" s="183" t="s">
        <v>197</v>
      </c>
      <c r="C14" s="215"/>
      <c r="D14" s="216"/>
      <c r="E14" s="215"/>
      <c r="F14" s="228"/>
      <c r="G14" s="215"/>
      <c r="H14" s="215"/>
    </row>
    <row r="15" spans="2:9" x14ac:dyDescent="0.45">
      <c r="B15" s="165" t="s">
        <v>133</v>
      </c>
      <c r="C15" s="218">
        <v>1</v>
      </c>
      <c r="D15" s="206">
        <f>C15/2</f>
        <v>0.5</v>
      </c>
      <c r="E15" s="218">
        <v>0</v>
      </c>
      <c r="F15" s="229">
        <f>E15/(1+10%/2)^C15</f>
        <v>0</v>
      </c>
      <c r="G15" s="219">
        <f>F15/F$19</f>
        <v>0</v>
      </c>
      <c r="H15" s="219">
        <f>G15*D15</f>
        <v>0</v>
      </c>
    </row>
    <row r="16" spans="2:9" x14ac:dyDescent="0.45">
      <c r="B16" s="165" t="s">
        <v>134</v>
      </c>
      <c r="C16" s="218">
        <v>2</v>
      </c>
      <c r="D16" s="206">
        <f>C16/2</f>
        <v>1</v>
      </c>
      <c r="E16" s="218">
        <v>0</v>
      </c>
      <c r="F16" s="229">
        <f>E16/(1+10%/2)^C16</f>
        <v>0</v>
      </c>
      <c r="G16" s="219">
        <f>F16/F$19</f>
        <v>0</v>
      </c>
      <c r="H16" s="219">
        <f>G16*D16</f>
        <v>0</v>
      </c>
    </row>
    <row r="17" spans="2:9" x14ac:dyDescent="0.45">
      <c r="B17" s="165" t="s">
        <v>135</v>
      </c>
      <c r="C17" s="218">
        <v>3</v>
      </c>
      <c r="D17" s="206">
        <f>C17/2</f>
        <v>1.5</v>
      </c>
      <c r="E17" s="218">
        <v>0</v>
      </c>
      <c r="F17" s="229">
        <f>E17/(1+10%/2)^C17</f>
        <v>0</v>
      </c>
      <c r="G17" s="219">
        <f>F17/F$19</f>
        <v>0</v>
      </c>
      <c r="H17" s="219">
        <f>G17*D17</f>
        <v>0</v>
      </c>
    </row>
    <row r="18" spans="2:9" x14ac:dyDescent="0.45">
      <c r="C18" s="220">
        <v>4</v>
      </c>
      <c r="D18" s="209">
        <f>C18/2</f>
        <v>2</v>
      </c>
      <c r="E18" s="220">
        <f>1000</f>
        <v>1000</v>
      </c>
      <c r="F18" s="230">
        <f>E18/(1+10%/2)^C18</f>
        <v>822.70247479188197</v>
      </c>
      <c r="G18" s="221">
        <f>F18/F$19</f>
        <v>1</v>
      </c>
      <c r="H18" s="221">
        <f>G18*D18</f>
        <v>2</v>
      </c>
    </row>
    <row r="19" spans="2:9" x14ac:dyDescent="0.45">
      <c r="C19" s="179"/>
      <c r="D19" s="211" t="str">
        <f ca="1">_xlfn.FORMULATEXT(D15)</f>
        <v>=C15/2</v>
      </c>
      <c r="E19" s="181" t="s">
        <v>136</v>
      </c>
      <c r="F19" s="229">
        <f>SUM(F15:F18)</f>
        <v>822.70247479188197</v>
      </c>
      <c r="G19" s="219">
        <f>F19/F$19</f>
        <v>1</v>
      </c>
      <c r="H19" s="257">
        <f>SUM(H15:H18)</f>
        <v>2</v>
      </c>
      <c r="I19" s="255" t="s">
        <v>137</v>
      </c>
    </row>
    <row r="20" spans="2:9" x14ac:dyDescent="0.45">
      <c r="C20" s="179"/>
      <c r="E20" s="179" t="str">
        <f ca="1">_xlfn.FORMULATEXT(E18)</f>
        <v>=1000</v>
      </c>
      <c r="F20" s="212"/>
      <c r="G20" s="213"/>
      <c r="H20" s="214">
        <f>H19*2</f>
        <v>4</v>
      </c>
      <c r="I20" s="256" t="s">
        <v>138</v>
      </c>
    </row>
    <row r="21" spans="2:9" x14ac:dyDescent="0.45">
      <c r="C21" s="222"/>
      <c r="H21" s="291"/>
    </row>
    <row r="22" spans="2:9" x14ac:dyDescent="0.45">
      <c r="B22" s="165" t="s">
        <v>198</v>
      </c>
    </row>
    <row r="23" spans="2:9" x14ac:dyDescent="0.45">
      <c r="B23" s="183" t="s">
        <v>139</v>
      </c>
      <c r="C23" s="215"/>
      <c r="D23" s="216"/>
      <c r="E23" s="215"/>
      <c r="F23" s="217"/>
      <c r="G23" s="215"/>
      <c r="H23" s="215"/>
    </row>
    <row r="24" spans="2:9" x14ac:dyDescent="0.45">
      <c r="B24" s="164" t="s">
        <v>205</v>
      </c>
      <c r="C24" s="219">
        <f>H12/(1+5%)</f>
        <v>3.590913346415924</v>
      </c>
      <c r="D24" s="164" t="str">
        <f ca="1">_xlfn.FORMULATEXT(C24)</f>
        <v>=H12/(1+5%)</v>
      </c>
      <c r="E24" s="199" t="s">
        <v>224</v>
      </c>
      <c r="F24" s="164"/>
    </row>
    <row r="25" spans="2:9" x14ac:dyDescent="0.45">
      <c r="B25" s="164" t="s">
        <v>206</v>
      </c>
      <c r="C25" s="223">
        <f>-C24*0.5%</f>
        <v>-1.7954566732079621E-2</v>
      </c>
      <c r="D25" s="164" t="str">
        <f ca="1">_xlfn.FORMULATEXT(C25)</f>
        <v>=-C24*0.5%</v>
      </c>
      <c r="F25" s="164"/>
    </row>
    <row r="26" spans="2:9" x14ac:dyDescent="0.45">
      <c r="B26" s="164" t="s">
        <v>201</v>
      </c>
      <c r="C26" s="249">
        <f>964.54</f>
        <v>964.54</v>
      </c>
      <c r="D26" s="164" t="str">
        <f ca="1">_xlfn.FORMULATEXT(C26)</f>
        <v>=964.54</v>
      </c>
      <c r="F26" s="164"/>
    </row>
    <row r="27" spans="2:9" x14ac:dyDescent="0.45">
      <c r="B27" s="164" t="s">
        <v>141</v>
      </c>
      <c r="C27" s="224">
        <f>C26*(1+C25)</f>
        <v>947.22210220423983</v>
      </c>
      <c r="D27" s="164" t="str">
        <f ca="1">_xlfn.FORMULATEXT(C27)</f>
        <v>=C26*(1+C25)</v>
      </c>
      <c r="E27" s="164" t="s">
        <v>207</v>
      </c>
      <c r="F27" s="164"/>
    </row>
    <row r="30" spans="2:9" s="244" customFormat="1" ht="20.25" x14ac:dyDescent="0.45">
      <c r="B30" s="243" t="s">
        <v>148</v>
      </c>
    </row>
    <row r="31" spans="2:9" s="233" customFormat="1" x14ac:dyDescent="0.45"/>
    <row r="32" spans="2:9" s="233" customFormat="1" x14ac:dyDescent="0.45">
      <c r="B32" s="248" t="s">
        <v>142</v>
      </c>
      <c r="C32" s="234"/>
      <c r="F32" s="248" t="s">
        <v>143</v>
      </c>
      <c r="G32" s="234"/>
    </row>
    <row r="33" spans="2:8" s="233" customFormat="1" x14ac:dyDescent="0.45">
      <c r="B33" s="235" t="s">
        <v>17</v>
      </c>
      <c r="C33" s="236">
        <f>DATE(2000,1,1)</f>
        <v>36526</v>
      </c>
      <c r="D33" s="237" t="str">
        <f ca="1">_xlfn.FORMULATEXT(C33)</f>
        <v>=DATE(2000,1,1)</v>
      </c>
      <c r="F33" s="235" t="s">
        <v>199</v>
      </c>
      <c r="G33" s="240">
        <f>DURATION(C33,C34,C35,C36,C37)</f>
        <v>1.8852295068683602</v>
      </c>
      <c r="H33" s="237" t="str">
        <f ca="1">_xlfn.FORMULATEXT(G33)</f>
        <v>=DURATION(C33,C34,C35,C36,C37)</v>
      </c>
    </row>
    <row r="34" spans="2:8" s="233" customFormat="1" x14ac:dyDescent="0.45">
      <c r="B34" s="235" t="s">
        <v>15</v>
      </c>
      <c r="C34" s="236">
        <f>DATE(2002,1,1)</f>
        <v>37257</v>
      </c>
      <c r="D34" s="237" t="str">
        <f ca="1">_xlfn.FORMULATEXT(C34)</f>
        <v>=DATE(2002,1,1)</v>
      </c>
      <c r="F34" s="235" t="s">
        <v>200</v>
      </c>
      <c r="G34" s="240">
        <f>MDURATION(C33,C34,C35,C36,C37)</f>
        <v>1.795456673207962</v>
      </c>
      <c r="H34" s="237" t="str">
        <f ca="1">_xlfn.FORMULATEXT(G34)</f>
        <v>=MDURATION(C33,C34,C35,C36,C37)</v>
      </c>
    </row>
    <row r="35" spans="2:8" s="233" customFormat="1" x14ac:dyDescent="0.45">
      <c r="B35" s="235" t="s">
        <v>32</v>
      </c>
      <c r="C35" s="238">
        <f>0.08</f>
        <v>0.08</v>
      </c>
      <c r="D35" s="237" t="str">
        <f ca="1">_xlfn.FORMULATEXT(C35)</f>
        <v>=0.08</v>
      </c>
      <c r="F35" s="235" t="s">
        <v>202</v>
      </c>
      <c r="G35" s="240">
        <f>G34*2</f>
        <v>3.590913346415924</v>
      </c>
      <c r="H35" s="237" t="str">
        <f ca="1">_xlfn.FORMULATEXT(G35)</f>
        <v>=G34*2</v>
      </c>
    </row>
    <row r="36" spans="2:8" s="233" customFormat="1" x14ac:dyDescent="0.45">
      <c r="B36" s="235" t="s">
        <v>12</v>
      </c>
      <c r="C36" s="239">
        <f>0.1</f>
        <v>0.1</v>
      </c>
      <c r="D36" s="237" t="str">
        <f ca="1">_xlfn.FORMULATEXT(C36)</f>
        <v>=0.1</v>
      </c>
    </row>
    <row r="37" spans="2:8" s="233" customFormat="1" x14ac:dyDescent="0.45">
      <c r="B37" s="235" t="s">
        <v>225</v>
      </c>
      <c r="C37" s="238">
        <f>2</f>
        <v>2</v>
      </c>
      <c r="D37" s="237" t="str">
        <f ca="1">_xlfn.FORMULATEXT(C37)</f>
        <v>=2</v>
      </c>
    </row>
    <row r="38" spans="2:8" s="233" customFormat="1" x14ac:dyDescent="0.45">
      <c r="D38" s="237"/>
    </row>
    <row r="39" spans="2:8" s="233" customFormat="1" x14ac:dyDescent="0.45"/>
    <row r="40" spans="2:8" s="233" customFormat="1" ht="17.25" x14ac:dyDescent="0.45">
      <c r="B40" s="243" t="s">
        <v>203</v>
      </c>
    </row>
    <row r="41" spans="2:8" s="233" customFormat="1" x14ac:dyDescent="0.45"/>
    <row r="42" spans="2:8" s="233" customFormat="1" x14ac:dyDescent="0.45">
      <c r="B42" s="241"/>
      <c r="C42" s="253" t="s">
        <v>144</v>
      </c>
      <c r="D42" s="232"/>
      <c r="E42" s="232"/>
      <c r="F42" s="232"/>
      <c r="G42" s="232"/>
    </row>
    <row r="43" spans="2:8" s="233" customFormat="1" x14ac:dyDescent="0.45">
      <c r="B43" s="250" t="s">
        <v>145</v>
      </c>
      <c r="C43" s="254">
        <v>0.02</v>
      </c>
      <c r="D43" s="254">
        <v>0.04</v>
      </c>
      <c r="E43" s="254">
        <v>0.06</v>
      </c>
      <c r="F43" s="254">
        <v>0.08</v>
      </c>
      <c r="G43" s="254">
        <v>0.1</v>
      </c>
    </row>
    <row r="44" spans="2:8" s="233" customFormat="1" x14ac:dyDescent="0.45">
      <c r="B44" s="251">
        <v>1</v>
      </c>
      <c r="C44" s="242">
        <f t="shared" ref="C44:F44" si="1">DURATION(DATE(2000,1,1),DATE(2001,1,1),C$43,8%,2)</f>
        <v>0.99490395923167374</v>
      </c>
      <c r="D44" s="242">
        <f t="shared" si="1"/>
        <v>0.99000768639508074</v>
      </c>
      <c r="E44" s="242">
        <f t="shared" si="1"/>
        <v>0.98529966076140219</v>
      </c>
      <c r="F44" s="242">
        <f t="shared" si="1"/>
        <v>0.98076923076923084</v>
      </c>
      <c r="G44" s="242">
        <f>DURATION(DATE(2000,1,1),DATE(2001,1,1),G$43,8%,2)</f>
        <v>0.97640653357531759</v>
      </c>
      <c r="H44" s="233" t="str">
        <f ca="1">_xlfn.FORMULATEXT(G44)</f>
        <v>=DURATION(DATE(2000,1,1),DATE(2001,1,1),G$43,8%,2)</v>
      </c>
    </row>
    <row r="45" spans="2:8" s="233" customFormat="1" x14ac:dyDescent="0.45">
      <c r="B45" s="251">
        <v>5</v>
      </c>
      <c r="C45" s="242">
        <f>DURATION(DATE(2000,1,1),DATE(2005,1,1),C$43,8%,2)</f>
        <v>4.7415217459120411</v>
      </c>
      <c r="D45" s="242">
        <f t="shared" ref="D45:G45" si="2">DURATION(DATE(2000,1,1),DATE(2005,1,1),D$43,8%,2)</f>
        <v>4.533092071738662</v>
      </c>
      <c r="E45" s="242">
        <f t="shared" si="2"/>
        <v>4.3614578670365232</v>
      </c>
      <c r="F45" s="242">
        <f t="shared" si="2"/>
        <v>4.2176658052646143</v>
      </c>
      <c r="G45" s="242">
        <f t="shared" si="2"/>
        <v>4.0954494120416163</v>
      </c>
      <c r="H45" s="233" t="str">
        <f t="shared" ref="H45:H48" ca="1" si="3">_xlfn.FORMULATEXT(G45)</f>
        <v>=DURATION(DATE(2000,1,1),DATE(2005,1,1),G$43,8%,2)</v>
      </c>
    </row>
    <row r="46" spans="2:8" s="233" customFormat="1" x14ac:dyDescent="0.45">
      <c r="B46" s="251">
        <v>10</v>
      </c>
      <c r="C46" s="242">
        <f>DURATION(DATE(2000,1,1),DATE(2010,1,1),C$43,8%,2)</f>
        <v>8.7619961241866502</v>
      </c>
      <c r="D46" s="242">
        <f t="shared" ref="D46:G46" si="4">DURATION(DATE(2000,1,1),DATE(2010,1,1),D$43,8%,2)</f>
        <v>7.986091328086224</v>
      </c>
      <c r="E46" s="242">
        <f t="shared" si="4"/>
        <v>7.454251784071527</v>
      </c>
      <c r="F46" s="242">
        <f t="shared" si="4"/>
        <v>7.066969699383197</v>
      </c>
      <c r="G46" s="242">
        <f t="shared" si="4"/>
        <v>6.7723590610729607</v>
      </c>
      <c r="H46" s="233" t="str">
        <f t="shared" ca="1" si="3"/>
        <v>=DURATION(DATE(2000,1,1),DATE(2010,1,1),G$43,8%,2)</v>
      </c>
    </row>
    <row r="47" spans="2:8" s="233" customFormat="1" x14ac:dyDescent="0.45">
      <c r="B47" s="251">
        <v>20</v>
      </c>
      <c r="C47" s="242">
        <f>DURATION(DATE(2000,1,1),DATE(2020,1,1),C$43,8%,2)</f>
        <v>14.025506838342501</v>
      </c>
      <c r="D47" s="242">
        <f t="shared" ref="D47:G47" si="5">DURATION(DATE(2000,1,1),DATE(2020,1,1),D$43,8%,2)</f>
        <v>11.965699247628057</v>
      </c>
      <c r="E47" s="242">
        <f t="shared" si="5"/>
        <v>10.922490979950227</v>
      </c>
      <c r="F47" s="242">
        <f t="shared" si="5"/>
        <v>10.292242419381754</v>
      </c>
      <c r="G47" s="242">
        <f t="shared" si="5"/>
        <v>9.8702596305338108</v>
      </c>
      <c r="H47" s="233" t="str">
        <f t="shared" ca="1" si="3"/>
        <v>=DURATION(DATE(2000,1,1),DATE(2020,1,1),G$43,8%,2)</v>
      </c>
    </row>
    <row r="48" spans="2:8" s="233" customFormat="1" x14ac:dyDescent="0.45">
      <c r="B48" s="252" t="s">
        <v>146</v>
      </c>
      <c r="C48" s="242">
        <f>(1+8%)/8%</f>
        <v>13.5</v>
      </c>
      <c r="D48" s="242">
        <f t="shared" ref="D48:G48" si="6">(1+8%)/8%</f>
        <v>13.5</v>
      </c>
      <c r="E48" s="242">
        <f t="shared" si="6"/>
        <v>13.5</v>
      </c>
      <c r="F48" s="242">
        <f t="shared" si="6"/>
        <v>13.5</v>
      </c>
      <c r="G48" s="242">
        <f t="shared" si="6"/>
        <v>13.5</v>
      </c>
      <c r="H48" s="233" t="str">
        <f t="shared" ca="1" si="3"/>
        <v>=(1+8%)/8%</v>
      </c>
    </row>
    <row r="49" s="233" customFormat="1" x14ac:dyDescent="0.45"/>
  </sheetData>
  <pageMargins left="0.7" right="0.7" top="0.75" bottom="0.75" header="0.3" footer="0.3"/>
  <pageSetup scale="62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5BEB-CA84-5B4B-A40E-6ABE7F4182A2}">
  <sheetPr>
    <pageSetUpPr fitToPage="1"/>
  </sheetPr>
  <dimension ref="B2:J49"/>
  <sheetViews>
    <sheetView showGridLines="0" zoomScale="103" zoomScaleNormal="120" workbookViewId="0">
      <selection activeCell="E3" sqref="E3"/>
    </sheetView>
  </sheetViews>
  <sheetFormatPr defaultColWidth="10.6640625" defaultRowHeight="15.4" x14ac:dyDescent="0.45"/>
  <cols>
    <col min="1" max="1" width="3.6640625" style="164" customWidth="1"/>
    <col min="2" max="2" width="17.6640625" style="164" customWidth="1"/>
    <col min="3" max="3" width="12.6640625" style="164" customWidth="1"/>
    <col min="4" max="4" width="15.33203125" style="179" customWidth="1"/>
    <col min="5" max="6" width="17.6640625" style="179" customWidth="1"/>
    <col min="7" max="7" width="7.6640625" style="179" customWidth="1"/>
    <col min="8" max="8" width="21.33203125" style="179" customWidth="1"/>
    <col min="9" max="9" width="13" style="164" customWidth="1"/>
    <col min="10" max="256" width="10.796875" style="164"/>
    <col min="257" max="257" width="3.6640625" style="164" customWidth="1"/>
    <col min="258" max="258" width="13.1328125" style="164" customWidth="1"/>
    <col min="259" max="262" width="15.796875" style="164" customWidth="1"/>
    <col min="263" max="264" width="13.46484375" style="164" customWidth="1"/>
    <col min="265" max="512" width="10.796875" style="164"/>
    <col min="513" max="513" width="3.6640625" style="164" customWidth="1"/>
    <col min="514" max="514" width="13.1328125" style="164" customWidth="1"/>
    <col min="515" max="518" width="15.796875" style="164" customWidth="1"/>
    <col min="519" max="520" width="13.46484375" style="164" customWidth="1"/>
    <col min="521" max="768" width="10.796875" style="164"/>
    <col min="769" max="769" width="3.6640625" style="164" customWidth="1"/>
    <col min="770" max="770" width="13.1328125" style="164" customWidth="1"/>
    <col min="771" max="774" width="15.796875" style="164" customWidth="1"/>
    <col min="775" max="776" width="13.46484375" style="164" customWidth="1"/>
    <col min="777" max="1024" width="10.796875" style="164"/>
    <col min="1025" max="1025" width="3.6640625" style="164" customWidth="1"/>
    <col min="1026" max="1026" width="13.1328125" style="164" customWidth="1"/>
    <col min="1027" max="1030" width="15.796875" style="164" customWidth="1"/>
    <col min="1031" max="1032" width="13.46484375" style="164" customWidth="1"/>
    <col min="1033" max="1280" width="10.796875" style="164"/>
    <col min="1281" max="1281" width="3.6640625" style="164" customWidth="1"/>
    <col min="1282" max="1282" width="13.1328125" style="164" customWidth="1"/>
    <col min="1283" max="1286" width="15.796875" style="164" customWidth="1"/>
    <col min="1287" max="1288" width="13.46484375" style="164" customWidth="1"/>
    <col min="1289" max="1536" width="10.796875" style="164"/>
    <col min="1537" max="1537" width="3.6640625" style="164" customWidth="1"/>
    <col min="1538" max="1538" width="13.1328125" style="164" customWidth="1"/>
    <col min="1539" max="1542" width="15.796875" style="164" customWidth="1"/>
    <col min="1543" max="1544" width="13.46484375" style="164" customWidth="1"/>
    <col min="1545" max="1792" width="10.796875" style="164"/>
    <col min="1793" max="1793" width="3.6640625" style="164" customWidth="1"/>
    <col min="1794" max="1794" width="13.1328125" style="164" customWidth="1"/>
    <col min="1795" max="1798" width="15.796875" style="164" customWidth="1"/>
    <col min="1799" max="1800" width="13.46484375" style="164" customWidth="1"/>
    <col min="1801" max="2048" width="10.796875" style="164"/>
    <col min="2049" max="2049" width="3.6640625" style="164" customWidth="1"/>
    <col min="2050" max="2050" width="13.1328125" style="164" customWidth="1"/>
    <col min="2051" max="2054" width="15.796875" style="164" customWidth="1"/>
    <col min="2055" max="2056" width="13.46484375" style="164" customWidth="1"/>
    <col min="2057" max="2304" width="10.796875" style="164"/>
    <col min="2305" max="2305" width="3.6640625" style="164" customWidth="1"/>
    <col min="2306" max="2306" width="13.1328125" style="164" customWidth="1"/>
    <col min="2307" max="2310" width="15.796875" style="164" customWidth="1"/>
    <col min="2311" max="2312" width="13.46484375" style="164" customWidth="1"/>
    <col min="2313" max="2560" width="10.796875" style="164"/>
    <col min="2561" max="2561" width="3.6640625" style="164" customWidth="1"/>
    <col min="2562" max="2562" width="13.1328125" style="164" customWidth="1"/>
    <col min="2563" max="2566" width="15.796875" style="164" customWidth="1"/>
    <col min="2567" max="2568" width="13.46484375" style="164" customWidth="1"/>
    <col min="2569" max="2816" width="10.796875" style="164"/>
    <col min="2817" max="2817" width="3.6640625" style="164" customWidth="1"/>
    <col min="2818" max="2818" width="13.1328125" style="164" customWidth="1"/>
    <col min="2819" max="2822" width="15.796875" style="164" customWidth="1"/>
    <col min="2823" max="2824" width="13.46484375" style="164" customWidth="1"/>
    <col min="2825" max="3072" width="10.796875" style="164"/>
    <col min="3073" max="3073" width="3.6640625" style="164" customWidth="1"/>
    <col min="3074" max="3074" width="13.1328125" style="164" customWidth="1"/>
    <col min="3075" max="3078" width="15.796875" style="164" customWidth="1"/>
    <col min="3079" max="3080" width="13.46484375" style="164" customWidth="1"/>
    <col min="3081" max="3328" width="10.796875" style="164"/>
    <col min="3329" max="3329" width="3.6640625" style="164" customWidth="1"/>
    <col min="3330" max="3330" width="13.1328125" style="164" customWidth="1"/>
    <col min="3331" max="3334" width="15.796875" style="164" customWidth="1"/>
    <col min="3335" max="3336" width="13.46484375" style="164" customWidth="1"/>
    <col min="3337" max="3584" width="10.796875" style="164"/>
    <col min="3585" max="3585" width="3.6640625" style="164" customWidth="1"/>
    <col min="3586" max="3586" width="13.1328125" style="164" customWidth="1"/>
    <col min="3587" max="3590" width="15.796875" style="164" customWidth="1"/>
    <col min="3591" max="3592" width="13.46484375" style="164" customWidth="1"/>
    <col min="3593" max="3840" width="10.796875" style="164"/>
    <col min="3841" max="3841" width="3.6640625" style="164" customWidth="1"/>
    <col min="3842" max="3842" width="13.1328125" style="164" customWidth="1"/>
    <col min="3843" max="3846" width="15.796875" style="164" customWidth="1"/>
    <col min="3847" max="3848" width="13.46484375" style="164" customWidth="1"/>
    <col min="3849" max="4096" width="10.796875" style="164"/>
    <col min="4097" max="4097" width="3.6640625" style="164" customWidth="1"/>
    <col min="4098" max="4098" width="13.1328125" style="164" customWidth="1"/>
    <col min="4099" max="4102" width="15.796875" style="164" customWidth="1"/>
    <col min="4103" max="4104" width="13.46484375" style="164" customWidth="1"/>
    <col min="4105" max="4352" width="10.796875" style="164"/>
    <col min="4353" max="4353" width="3.6640625" style="164" customWidth="1"/>
    <col min="4354" max="4354" width="13.1328125" style="164" customWidth="1"/>
    <col min="4355" max="4358" width="15.796875" style="164" customWidth="1"/>
    <col min="4359" max="4360" width="13.46484375" style="164" customWidth="1"/>
    <col min="4361" max="4608" width="10.796875" style="164"/>
    <col min="4609" max="4609" width="3.6640625" style="164" customWidth="1"/>
    <col min="4610" max="4610" width="13.1328125" style="164" customWidth="1"/>
    <col min="4611" max="4614" width="15.796875" style="164" customWidth="1"/>
    <col min="4615" max="4616" width="13.46484375" style="164" customWidth="1"/>
    <col min="4617" max="4864" width="10.796875" style="164"/>
    <col min="4865" max="4865" width="3.6640625" style="164" customWidth="1"/>
    <col min="4866" max="4866" width="13.1328125" style="164" customWidth="1"/>
    <col min="4867" max="4870" width="15.796875" style="164" customWidth="1"/>
    <col min="4871" max="4872" width="13.46484375" style="164" customWidth="1"/>
    <col min="4873" max="5120" width="10.796875" style="164"/>
    <col min="5121" max="5121" width="3.6640625" style="164" customWidth="1"/>
    <col min="5122" max="5122" width="13.1328125" style="164" customWidth="1"/>
    <col min="5123" max="5126" width="15.796875" style="164" customWidth="1"/>
    <col min="5127" max="5128" width="13.46484375" style="164" customWidth="1"/>
    <col min="5129" max="5376" width="10.796875" style="164"/>
    <col min="5377" max="5377" width="3.6640625" style="164" customWidth="1"/>
    <col min="5378" max="5378" width="13.1328125" style="164" customWidth="1"/>
    <col min="5379" max="5382" width="15.796875" style="164" customWidth="1"/>
    <col min="5383" max="5384" width="13.46484375" style="164" customWidth="1"/>
    <col min="5385" max="5632" width="10.796875" style="164"/>
    <col min="5633" max="5633" width="3.6640625" style="164" customWidth="1"/>
    <col min="5634" max="5634" width="13.1328125" style="164" customWidth="1"/>
    <col min="5635" max="5638" width="15.796875" style="164" customWidth="1"/>
    <col min="5639" max="5640" width="13.46484375" style="164" customWidth="1"/>
    <col min="5641" max="5888" width="10.796875" style="164"/>
    <col min="5889" max="5889" width="3.6640625" style="164" customWidth="1"/>
    <col min="5890" max="5890" width="13.1328125" style="164" customWidth="1"/>
    <col min="5891" max="5894" width="15.796875" style="164" customWidth="1"/>
    <col min="5895" max="5896" width="13.46484375" style="164" customWidth="1"/>
    <col min="5897" max="6144" width="10.796875" style="164"/>
    <col min="6145" max="6145" width="3.6640625" style="164" customWidth="1"/>
    <col min="6146" max="6146" width="13.1328125" style="164" customWidth="1"/>
    <col min="6147" max="6150" width="15.796875" style="164" customWidth="1"/>
    <col min="6151" max="6152" width="13.46484375" style="164" customWidth="1"/>
    <col min="6153" max="6400" width="10.796875" style="164"/>
    <col min="6401" max="6401" width="3.6640625" style="164" customWidth="1"/>
    <col min="6402" max="6402" width="13.1328125" style="164" customWidth="1"/>
    <col min="6403" max="6406" width="15.796875" style="164" customWidth="1"/>
    <col min="6407" max="6408" width="13.46484375" style="164" customWidth="1"/>
    <col min="6409" max="6656" width="10.796875" style="164"/>
    <col min="6657" max="6657" width="3.6640625" style="164" customWidth="1"/>
    <col min="6658" max="6658" width="13.1328125" style="164" customWidth="1"/>
    <col min="6659" max="6662" width="15.796875" style="164" customWidth="1"/>
    <col min="6663" max="6664" width="13.46484375" style="164" customWidth="1"/>
    <col min="6665" max="6912" width="10.796875" style="164"/>
    <col min="6913" max="6913" width="3.6640625" style="164" customWidth="1"/>
    <col min="6914" max="6914" width="13.1328125" style="164" customWidth="1"/>
    <col min="6915" max="6918" width="15.796875" style="164" customWidth="1"/>
    <col min="6919" max="6920" width="13.46484375" style="164" customWidth="1"/>
    <col min="6921" max="7168" width="10.796875" style="164"/>
    <col min="7169" max="7169" width="3.6640625" style="164" customWidth="1"/>
    <col min="7170" max="7170" width="13.1328125" style="164" customWidth="1"/>
    <col min="7171" max="7174" width="15.796875" style="164" customWidth="1"/>
    <col min="7175" max="7176" width="13.46484375" style="164" customWidth="1"/>
    <col min="7177" max="7424" width="10.796875" style="164"/>
    <col min="7425" max="7425" width="3.6640625" style="164" customWidth="1"/>
    <col min="7426" max="7426" width="13.1328125" style="164" customWidth="1"/>
    <col min="7427" max="7430" width="15.796875" style="164" customWidth="1"/>
    <col min="7431" max="7432" width="13.46484375" style="164" customWidth="1"/>
    <col min="7433" max="7680" width="10.796875" style="164"/>
    <col min="7681" max="7681" width="3.6640625" style="164" customWidth="1"/>
    <col min="7682" max="7682" width="13.1328125" style="164" customWidth="1"/>
    <col min="7683" max="7686" width="15.796875" style="164" customWidth="1"/>
    <col min="7687" max="7688" width="13.46484375" style="164" customWidth="1"/>
    <col min="7689" max="7936" width="10.796875" style="164"/>
    <col min="7937" max="7937" width="3.6640625" style="164" customWidth="1"/>
    <col min="7938" max="7938" width="13.1328125" style="164" customWidth="1"/>
    <col min="7939" max="7942" width="15.796875" style="164" customWidth="1"/>
    <col min="7943" max="7944" width="13.46484375" style="164" customWidth="1"/>
    <col min="7945" max="8192" width="10.796875" style="164"/>
    <col min="8193" max="8193" width="3.6640625" style="164" customWidth="1"/>
    <col min="8194" max="8194" width="13.1328125" style="164" customWidth="1"/>
    <col min="8195" max="8198" width="15.796875" style="164" customWidth="1"/>
    <col min="8199" max="8200" width="13.46484375" style="164" customWidth="1"/>
    <col min="8201" max="8448" width="10.796875" style="164"/>
    <col min="8449" max="8449" width="3.6640625" style="164" customWidth="1"/>
    <col min="8450" max="8450" width="13.1328125" style="164" customWidth="1"/>
    <col min="8451" max="8454" width="15.796875" style="164" customWidth="1"/>
    <col min="8455" max="8456" width="13.46484375" style="164" customWidth="1"/>
    <col min="8457" max="8704" width="10.796875" style="164"/>
    <col min="8705" max="8705" width="3.6640625" style="164" customWidth="1"/>
    <col min="8706" max="8706" width="13.1328125" style="164" customWidth="1"/>
    <col min="8707" max="8710" width="15.796875" style="164" customWidth="1"/>
    <col min="8711" max="8712" width="13.46484375" style="164" customWidth="1"/>
    <col min="8713" max="8960" width="10.796875" style="164"/>
    <col min="8961" max="8961" width="3.6640625" style="164" customWidth="1"/>
    <col min="8962" max="8962" width="13.1328125" style="164" customWidth="1"/>
    <col min="8963" max="8966" width="15.796875" style="164" customWidth="1"/>
    <col min="8967" max="8968" width="13.46484375" style="164" customWidth="1"/>
    <col min="8969" max="9216" width="10.796875" style="164"/>
    <col min="9217" max="9217" width="3.6640625" style="164" customWidth="1"/>
    <col min="9218" max="9218" width="13.1328125" style="164" customWidth="1"/>
    <col min="9219" max="9222" width="15.796875" style="164" customWidth="1"/>
    <col min="9223" max="9224" width="13.46484375" style="164" customWidth="1"/>
    <col min="9225" max="9472" width="10.796875" style="164"/>
    <col min="9473" max="9473" width="3.6640625" style="164" customWidth="1"/>
    <col min="9474" max="9474" width="13.1328125" style="164" customWidth="1"/>
    <col min="9475" max="9478" width="15.796875" style="164" customWidth="1"/>
    <col min="9479" max="9480" width="13.46484375" style="164" customWidth="1"/>
    <col min="9481" max="9728" width="10.796875" style="164"/>
    <col min="9729" max="9729" width="3.6640625" style="164" customWidth="1"/>
    <col min="9730" max="9730" width="13.1328125" style="164" customWidth="1"/>
    <col min="9731" max="9734" width="15.796875" style="164" customWidth="1"/>
    <col min="9735" max="9736" width="13.46484375" style="164" customWidth="1"/>
    <col min="9737" max="9984" width="10.796875" style="164"/>
    <col min="9985" max="9985" width="3.6640625" style="164" customWidth="1"/>
    <col min="9986" max="9986" width="13.1328125" style="164" customWidth="1"/>
    <col min="9987" max="9990" width="15.796875" style="164" customWidth="1"/>
    <col min="9991" max="9992" width="13.46484375" style="164" customWidth="1"/>
    <col min="9993" max="10240" width="10.796875" style="164"/>
    <col min="10241" max="10241" width="3.6640625" style="164" customWidth="1"/>
    <col min="10242" max="10242" width="13.1328125" style="164" customWidth="1"/>
    <col min="10243" max="10246" width="15.796875" style="164" customWidth="1"/>
    <col min="10247" max="10248" width="13.46484375" style="164" customWidth="1"/>
    <col min="10249" max="10496" width="10.796875" style="164"/>
    <col min="10497" max="10497" width="3.6640625" style="164" customWidth="1"/>
    <col min="10498" max="10498" width="13.1328125" style="164" customWidth="1"/>
    <col min="10499" max="10502" width="15.796875" style="164" customWidth="1"/>
    <col min="10503" max="10504" width="13.46484375" style="164" customWidth="1"/>
    <col min="10505" max="10752" width="10.796875" style="164"/>
    <col min="10753" max="10753" width="3.6640625" style="164" customWidth="1"/>
    <col min="10754" max="10754" width="13.1328125" style="164" customWidth="1"/>
    <col min="10755" max="10758" width="15.796875" style="164" customWidth="1"/>
    <col min="10759" max="10760" width="13.46484375" style="164" customWidth="1"/>
    <col min="10761" max="11008" width="10.796875" style="164"/>
    <col min="11009" max="11009" width="3.6640625" style="164" customWidth="1"/>
    <col min="11010" max="11010" width="13.1328125" style="164" customWidth="1"/>
    <col min="11011" max="11014" width="15.796875" style="164" customWidth="1"/>
    <col min="11015" max="11016" width="13.46484375" style="164" customWidth="1"/>
    <col min="11017" max="11264" width="10.796875" style="164"/>
    <col min="11265" max="11265" width="3.6640625" style="164" customWidth="1"/>
    <col min="11266" max="11266" width="13.1328125" style="164" customWidth="1"/>
    <col min="11267" max="11270" width="15.796875" style="164" customWidth="1"/>
    <col min="11271" max="11272" width="13.46484375" style="164" customWidth="1"/>
    <col min="11273" max="11520" width="10.796875" style="164"/>
    <col min="11521" max="11521" width="3.6640625" style="164" customWidth="1"/>
    <col min="11522" max="11522" width="13.1328125" style="164" customWidth="1"/>
    <col min="11523" max="11526" width="15.796875" style="164" customWidth="1"/>
    <col min="11527" max="11528" width="13.46484375" style="164" customWidth="1"/>
    <col min="11529" max="11776" width="10.796875" style="164"/>
    <col min="11777" max="11777" width="3.6640625" style="164" customWidth="1"/>
    <col min="11778" max="11778" width="13.1328125" style="164" customWidth="1"/>
    <col min="11779" max="11782" width="15.796875" style="164" customWidth="1"/>
    <col min="11783" max="11784" width="13.46484375" style="164" customWidth="1"/>
    <col min="11785" max="12032" width="10.796875" style="164"/>
    <col min="12033" max="12033" width="3.6640625" style="164" customWidth="1"/>
    <col min="12034" max="12034" width="13.1328125" style="164" customWidth="1"/>
    <col min="12035" max="12038" width="15.796875" style="164" customWidth="1"/>
    <col min="12039" max="12040" width="13.46484375" style="164" customWidth="1"/>
    <col min="12041" max="12288" width="10.796875" style="164"/>
    <col min="12289" max="12289" width="3.6640625" style="164" customWidth="1"/>
    <col min="12290" max="12290" width="13.1328125" style="164" customWidth="1"/>
    <col min="12291" max="12294" width="15.796875" style="164" customWidth="1"/>
    <col min="12295" max="12296" width="13.46484375" style="164" customWidth="1"/>
    <col min="12297" max="12544" width="10.796875" style="164"/>
    <col min="12545" max="12545" width="3.6640625" style="164" customWidth="1"/>
    <col min="12546" max="12546" width="13.1328125" style="164" customWidth="1"/>
    <col min="12547" max="12550" width="15.796875" style="164" customWidth="1"/>
    <col min="12551" max="12552" width="13.46484375" style="164" customWidth="1"/>
    <col min="12553" max="12800" width="10.796875" style="164"/>
    <col min="12801" max="12801" width="3.6640625" style="164" customWidth="1"/>
    <col min="12802" max="12802" width="13.1328125" style="164" customWidth="1"/>
    <col min="12803" max="12806" width="15.796875" style="164" customWidth="1"/>
    <col min="12807" max="12808" width="13.46484375" style="164" customWidth="1"/>
    <col min="12809" max="13056" width="10.796875" style="164"/>
    <col min="13057" max="13057" width="3.6640625" style="164" customWidth="1"/>
    <col min="13058" max="13058" width="13.1328125" style="164" customWidth="1"/>
    <col min="13059" max="13062" width="15.796875" style="164" customWidth="1"/>
    <col min="13063" max="13064" width="13.46484375" style="164" customWidth="1"/>
    <col min="13065" max="13312" width="10.796875" style="164"/>
    <col min="13313" max="13313" width="3.6640625" style="164" customWidth="1"/>
    <col min="13314" max="13314" width="13.1328125" style="164" customWidth="1"/>
    <col min="13315" max="13318" width="15.796875" style="164" customWidth="1"/>
    <col min="13319" max="13320" width="13.46484375" style="164" customWidth="1"/>
    <col min="13321" max="13568" width="10.796875" style="164"/>
    <col min="13569" max="13569" width="3.6640625" style="164" customWidth="1"/>
    <col min="13570" max="13570" width="13.1328125" style="164" customWidth="1"/>
    <col min="13571" max="13574" width="15.796875" style="164" customWidth="1"/>
    <col min="13575" max="13576" width="13.46484375" style="164" customWidth="1"/>
    <col min="13577" max="13824" width="10.796875" style="164"/>
    <col min="13825" max="13825" width="3.6640625" style="164" customWidth="1"/>
    <col min="13826" max="13826" width="13.1328125" style="164" customWidth="1"/>
    <col min="13827" max="13830" width="15.796875" style="164" customWidth="1"/>
    <col min="13831" max="13832" width="13.46484375" style="164" customWidth="1"/>
    <col min="13833" max="14080" width="10.796875" style="164"/>
    <col min="14081" max="14081" width="3.6640625" style="164" customWidth="1"/>
    <col min="14082" max="14082" width="13.1328125" style="164" customWidth="1"/>
    <col min="14083" max="14086" width="15.796875" style="164" customWidth="1"/>
    <col min="14087" max="14088" width="13.46484375" style="164" customWidth="1"/>
    <col min="14089" max="14336" width="10.796875" style="164"/>
    <col min="14337" max="14337" width="3.6640625" style="164" customWidth="1"/>
    <col min="14338" max="14338" width="13.1328125" style="164" customWidth="1"/>
    <col min="14339" max="14342" width="15.796875" style="164" customWidth="1"/>
    <col min="14343" max="14344" width="13.46484375" style="164" customWidth="1"/>
    <col min="14345" max="14592" width="10.796875" style="164"/>
    <col min="14593" max="14593" width="3.6640625" style="164" customWidth="1"/>
    <col min="14594" max="14594" width="13.1328125" style="164" customWidth="1"/>
    <col min="14595" max="14598" width="15.796875" style="164" customWidth="1"/>
    <col min="14599" max="14600" width="13.46484375" style="164" customWidth="1"/>
    <col min="14601" max="14848" width="10.796875" style="164"/>
    <col min="14849" max="14849" width="3.6640625" style="164" customWidth="1"/>
    <col min="14850" max="14850" width="13.1328125" style="164" customWidth="1"/>
    <col min="14851" max="14854" width="15.796875" style="164" customWidth="1"/>
    <col min="14855" max="14856" width="13.46484375" style="164" customWidth="1"/>
    <col min="14857" max="15104" width="10.796875" style="164"/>
    <col min="15105" max="15105" width="3.6640625" style="164" customWidth="1"/>
    <col min="15106" max="15106" width="13.1328125" style="164" customWidth="1"/>
    <col min="15107" max="15110" width="15.796875" style="164" customWidth="1"/>
    <col min="15111" max="15112" width="13.46484375" style="164" customWidth="1"/>
    <col min="15113" max="15360" width="10.796875" style="164"/>
    <col min="15361" max="15361" width="3.6640625" style="164" customWidth="1"/>
    <col min="15362" max="15362" width="13.1328125" style="164" customWidth="1"/>
    <col min="15363" max="15366" width="15.796875" style="164" customWidth="1"/>
    <col min="15367" max="15368" width="13.46484375" style="164" customWidth="1"/>
    <col min="15369" max="15616" width="10.796875" style="164"/>
    <col min="15617" max="15617" width="3.6640625" style="164" customWidth="1"/>
    <col min="15618" max="15618" width="13.1328125" style="164" customWidth="1"/>
    <col min="15619" max="15622" width="15.796875" style="164" customWidth="1"/>
    <col min="15623" max="15624" width="13.46484375" style="164" customWidth="1"/>
    <col min="15625" max="15872" width="10.796875" style="164"/>
    <col min="15873" max="15873" width="3.6640625" style="164" customWidth="1"/>
    <col min="15874" max="15874" width="13.1328125" style="164" customWidth="1"/>
    <col min="15875" max="15878" width="15.796875" style="164" customWidth="1"/>
    <col min="15879" max="15880" width="13.46484375" style="164" customWidth="1"/>
    <col min="15881" max="16128" width="10.796875" style="164"/>
    <col min="16129" max="16129" width="3.6640625" style="164" customWidth="1"/>
    <col min="16130" max="16130" width="13.1328125" style="164" customWidth="1"/>
    <col min="16131" max="16134" width="15.796875" style="164" customWidth="1"/>
    <col min="16135" max="16136" width="13.46484375" style="164" customWidth="1"/>
    <col min="16137" max="16384" width="10.796875" style="164"/>
  </cols>
  <sheetData>
    <row r="2" spans="2:10" ht="22.5" x14ac:dyDescent="0.45">
      <c r="B2" s="265" t="s">
        <v>215</v>
      </c>
    </row>
    <row r="4" spans="2:10" x14ac:dyDescent="0.45">
      <c r="B4" s="184"/>
      <c r="C4" s="184" t="s">
        <v>211</v>
      </c>
      <c r="D4" s="181"/>
      <c r="E4" s="184"/>
      <c r="F4" s="184" t="s">
        <v>212</v>
      </c>
      <c r="H4" s="164"/>
    </row>
    <row r="5" spans="2:10" x14ac:dyDescent="0.45">
      <c r="B5" s="179" t="s">
        <v>208</v>
      </c>
      <c r="C5" s="258">
        <v>0.08</v>
      </c>
      <c r="E5" s="179" t="s">
        <v>140</v>
      </c>
      <c r="F5" s="261">
        <f>MDURATION(DATE(2000,1,1),DATE(2030,1,1),C5,C8,1)</f>
        <v>11.25778334312748</v>
      </c>
      <c r="G5" s="180" t="str">
        <f ca="1">_xlfn.FORMULATEXT(F5)</f>
        <v>=MDURATION(DATE(2000,1,1),DATE(2030,1,1),C5,C8,1)</v>
      </c>
      <c r="H5" s="164"/>
    </row>
    <row r="6" spans="2:10" x14ac:dyDescent="0.45">
      <c r="B6" s="179" t="s">
        <v>149</v>
      </c>
      <c r="C6" s="164">
        <v>100</v>
      </c>
      <c r="E6" s="179" t="s">
        <v>150</v>
      </c>
      <c r="F6" s="262">
        <f>-F5*(C11-C8)</f>
        <v>-0.22515566686254965</v>
      </c>
      <c r="G6" s="180" t="str">
        <f t="shared" ref="G6:G11" ca="1" si="0">_xlfn.FORMULATEXT(F6)</f>
        <v>=-F5*(C11-C8)</v>
      </c>
      <c r="H6" s="164"/>
    </row>
    <row r="7" spans="2:10" x14ac:dyDescent="0.45">
      <c r="B7" s="179" t="s">
        <v>151</v>
      </c>
      <c r="C7" s="164">
        <f>C5*C6</f>
        <v>8</v>
      </c>
      <c r="E7" s="259" t="s">
        <v>152</v>
      </c>
      <c r="F7" s="266">
        <f>C10*(1+F6)</f>
        <v>77.484433313745043</v>
      </c>
      <c r="G7" s="180" t="str">
        <f t="shared" ca="1" si="0"/>
        <v>=C10*(1+F6)</v>
      </c>
      <c r="H7" s="164"/>
    </row>
    <row r="8" spans="2:10" x14ac:dyDescent="0.45">
      <c r="B8" s="179" t="s">
        <v>153</v>
      </c>
      <c r="C8" s="258">
        <v>0.08</v>
      </c>
      <c r="E8" s="267" t="s">
        <v>154</v>
      </c>
      <c r="F8" s="268">
        <f>F44/(D44*((1+C8)^2))</f>
        <v>212.43254708526939</v>
      </c>
      <c r="G8" s="180" t="str">
        <f t="shared" ca="1" si="0"/>
        <v>=F44/(D44*((1+C8)^2))</v>
      </c>
      <c r="H8" s="164"/>
    </row>
    <row r="9" spans="2:10" x14ac:dyDescent="0.45">
      <c r="B9" s="179" t="s">
        <v>155</v>
      </c>
      <c r="C9" s="164">
        <v>30</v>
      </c>
      <c r="E9" s="269" t="s">
        <v>156</v>
      </c>
      <c r="F9" s="270">
        <f>(1/C10)*((2*C7/C8^3)*(1-1/(1+C8)^C9)-2*C7*C9/((C8^2)*(1+C8)^(C9+1))+C9*(C9+1)*(100-C7/C8)/(1+C8)^(C9+2))</f>
        <v>212.43254708526959</v>
      </c>
      <c r="G9" s="180"/>
      <c r="H9" s="164"/>
    </row>
    <row r="10" spans="2:10" x14ac:dyDescent="0.45">
      <c r="B10" s="179" t="s">
        <v>157</v>
      </c>
      <c r="C10" s="264">
        <f>PV(C8,C9,-C7,-C6)</f>
        <v>100</v>
      </c>
      <c r="E10" s="179" t="s">
        <v>158</v>
      </c>
      <c r="F10" s="262">
        <f>-F5*(C11-C8)+1/2*F8*(C11-C8)^2</f>
        <v>-0.18266915744549575</v>
      </c>
      <c r="G10" s="180" t="str">
        <f t="shared" ca="1" si="0"/>
        <v>=-F5*(C11-C8)+1/2*F8*(C11-C8)^2</v>
      </c>
      <c r="H10" s="164"/>
    </row>
    <row r="11" spans="2:10" x14ac:dyDescent="0.45">
      <c r="B11" s="179" t="s">
        <v>159</v>
      </c>
      <c r="C11" s="258">
        <v>0.1</v>
      </c>
      <c r="E11" s="179" t="s">
        <v>160</v>
      </c>
      <c r="F11" s="263">
        <f>C10*(1+F10)</f>
        <v>81.733084255450422</v>
      </c>
      <c r="G11" s="180" t="str">
        <f t="shared" ca="1" si="0"/>
        <v>=C10*(1+F10)</v>
      </c>
      <c r="H11" s="164"/>
    </row>
    <row r="13" spans="2:10" x14ac:dyDescent="0.45">
      <c r="B13" s="184" t="s">
        <v>161</v>
      </c>
      <c r="C13" s="184" t="s">
        <v>130</v>
      </c>
      <c r="D13" s="184" t="s">
        <v>162</v>
      </c>
      <c r="E13" s="184" t="s">
        <v>214</v>
      </c>
      <c r="F13" s="184" t="s">
        <v>213</v>
      </c>
    </row>
    <row r="14" spans="2:10" x14ac:dyDescent="0.45">
      <c r="B14" s="179">
        <v>1</v>
      </c>
      <c r="C14" s="271">
        <f t="shared" ref="C14:C42" si="1">$C$7</f>
        <v>8</v>
      </c>
      <c r="D14" s="271">
        <f t="shared" ref="D14:D40" si="2">C14/((1+$C$8))^B14</f>
        <v>7.4074074074074066</v>
      </c>
      <c r="E14" s="271">
        <f>B14^2+B14</f>
        <v>2</v>
      </c>
      <c r="F14" s="271">
        <f>E14*D14</f>
        <v>14.814814814814813</v>
      </c>
      <c r="G14" s="180" t="str">
        <f ca="1">_xlfn.FORMULATEXT(C14)</f>
        <v>=$C$7</v>
      </c>
      <c r="H14" s="180" t="str">
        <f t="shared" ref="H14:J14" ca="1" si="3">_xlfn.FORMULATEXT(D14)</f>
        <v>=C14/((1+$C$8))^B14</v>
      </c>
      <c r="I14" s="180" t="str">
        <f t="shared" ca="1" si="3"/>
        <v>=B14^2+B14</v>
      </c>
      <c r="J14" s="180" t="str">
        <f t="shared" ca="1" si="3"/>
        <v>=E14*D14</v>
      </c>
    </row>
    <row r="15" spans="2:10" x14ac:dyDescent="0.45">
      <c r="B15" s="179">
        <f t="shared" ref="B15:B43" si="4">B14+1</f>
        <v>2</v>
      </c>
      <c r="C15" s="271">
        <f t="shared" si="1"/>
        <v>8</v>
      </c>
      <c r="D15" s="271">
        <f t="shared" si="2"/>
        <v>6.8587105624142657</v>
      </c>
      <c r="E15" s="271">
        <f t="shared" ref="E15:E43" si="5">B15^2+B15</f>
        <v>6</v>
      </c>
      <c r="F15" s="271">
        <f t="shared" ref="F15:F43" si="6">E15*D15</f>
        <v>41.152263374485592</v>
      </c>
    </row>
    <row r="16" spans="2:10" x14ac:dyDescent="0.45">
      <c r="B16" s="179">
        <f t="shared" si="4"/>
        <v>3</v>
      </c>
      <c r="C16" s="271">
        <f t="shared" si="1"/>
        <v>8</v>
      </c>
      <c r="D16" s="271">
        <f t="shared" si="2"/>
        <v>6.3506579281613567</v>
      </c>
      <c r="E16" s="271">
        <f t="shared" si="5"/>
        <v>12</v>
      </c>
      <c r="F16" s="271">
        <f t="shared" si="6"/>
        <v>76.207895137936276</v>
      </c>
    </row>
    <row r="17" spans="2:6" x14ac:dyDescent="0.45">
      <c r="B17" s="179">
        <f t="shared" si="4"/>
        <v>4</v>
      </c>
      <c r="C17" s="271">
        <f t="shared" si="1"/>
        <v>8</v>
      </c>
      <c r="D17" s="271">
        <f t="shared" si="2"/>
        <v>5.8802388223716262</v>
      </c>
      <c r="E17" s="271">
        <f t="shared" si="5"/>
        <v>20</v>
      </c>
      <c r="F17" s="271">
        <f t="shared" si="6"/>
        <v>117.60477644743253</v>
      </c>
    </row>
    <row r="18" spans="2:6" x14ac:dyDescent="0.45">
      <c r="B18" s="179">
        <f t="shared" si="4"/>
        <v>5</v>
      </c>
      <c r="C18" s="271">
        <f t="shared" si="1"/>
        <v>8</v>
      </c>
      <c r="D18" s="271">
        <f t="shared" si="2"/>
        <v>5.4446655762700242</v>
      </c>
      <c r="E18" s="271">
        <f t="shared" si="5"/>
        <v>30</v>
      </c>
      <c r="F18" s="271">
        <f t="shared" si="6"/>
        <v>163.33996728810072</v>
      </c>
    </row>
    <row r="19" spans="2:6" x14ac:dyDescent="0.45">
      <c r="B19" s="179">
        <f t="shared" si="4"/>
        <v>6</v>
      </c>
      <c r="C19" s="271">
        <f t="shared" si="1"/>
        <v>8</v>
      </c>
      <c r="D19" s="271">
        <f t="shared" si="2"/>
        <v>5.0413570150648361</v>
      </c>
      <c r="E19" s="271">
        <f t="shared" si="5"/>
        <v>42</v>
      </c>
      <c r="F19" s="271">
        <f t="shared" si="6"/>
        <v>211.73699463272311</v>
      </c>
    </row>
    <row r="20" spans="2:6" x14ac:dyDescent="0.45">
      <c r="B20" s="179">
        <f t="shared" si="4"/>
        <v>7</v>
      </c>
      <c r="C20" s="271">
        <f t="shared" si="1"/>
        <v>8</v>
      </c>
      <c r="D20" s="271">
        <f t="shared" si="2"/>
        <v>4.6679231620970709</v>
      </c>
      <c r="E20" s="271">
        <f t="shared" si="5"/>
        <v>56</v>
      </c>
      <c r="F20" s="271">
        <f t="shared" si="6"/>
        <v>261.40369707743599</v>
      </c>
    </row>
    <row r="21" spans="2:6" x14ac:dyDescent="0.45">
      <c r="B21" s="179">
        <f t="shared" si="4"/>
        <v>8</v>
      </c>
      <c r="C21" s="271">
        <f t="shared" si="1"/>
        <v>8</v>
      </c>
      <c r="D21" s="271">
        <f t="shared" si="2"/>
        <v>4.3221510760158059</v>
      </c>
      <c r="E21" s="271">
        <f t="shared" si="5"/>
        <v>72</v>
      </c>
      <c r="F21" s="271">
        <f t="shared" si="6"/>
        <v>311.19487747313804</v>
      </c>
    </row>
    <row r="22" spans="2:6" x14ac:dyDescent="0.45">
      <c r="B22" s="179">
        <f t="shared" si="4"/>
        <v>9</v>
      </c>
      <c r="C22" s="271">
        <f t="shared" si="1"/>
        <v>8</v>
      </c>
      <c r="D22" s="271">
        <f t="shared" si="2"/>
        <v>4.0019917370516724</v>
      </c>
      <c r="E22" s="271">
        <f t="shared" si="5"/>
        <v>90</v>
      </c>
      <c r="F22" s="271">
        <f t="shared" si="6"/>
        <v>360.17925633465052</v>
      </c>
    </row>
    <row r="23" spans="2:6" x14ac:dyDescent="0.45">
      <c r="B23" s="179">
        <f t="shared" si="4"/>
        <v>10</v>
      </c>
      <c r="C23" s="271">
        <f t="shared" si="1"/>
        <v>8</v>
      </c>
      <c r="D23" s="271">
        <f t="shared" si="2"/>
        <v>3.705547904677474</v>
      </c>
      <c r="E23" s="271">
        <f t="shared" si="5"/>
        <v>110</v>
      </c>
      <c r="F23" s="271">
        <f t="shared" si="6"/>
        <v>407.61026951452214</v>
      </c>
    </row>
    <row r="24" spans="2:6" x14ac:dyDescent="0.45">
      <c r="B24" s="179">
        <f t="shared" si="4"/>
        <v>11</v>
      </c>
      <c r="C24" s="271">
        <f t="shared" si="1"/>
        <v>8</v>
      </c>
      <c r="D24" s="271">
        <f t="shared" si="2"/>
        <v>3.431062874701365</v>
      </c>
      <c r="E24" s="271">
        <f t="shared" si="5"/>
        <v>132</v>
      </c>
      <c r="F24" s="271">
        <f t="shared" si="6"/>
        <v>452.90029946058019</v>
      </c>
    </row>
    <row r="25" spans="2:6" x14ac:dyDescent="0.45">
      <c r="B25" s="179">
        <f t="shared" si="4"/>
        <v>12</v>
      </c>
      <c r="C25" s="271">
        <f t="shared" si="1"/>
        <v>8</v>
      </c>
      <c r="D25" s="271">
        <f t="shared" si="2"/>
        <v>3.17691006916793</v>
      </c>
      <c r="E25" s="271">
        <f t="shared" si="5"/>
        <v>156</v>
      </c>
      <c r="F25" s="271">
        <f t="shared" si="6"/>
        <v>495.59797079019705</v>
      </c>
    </row>
    <row r="26" spans="2:6" x14ac:dyDescent="0.45">
      <c r="B26" s="179">
        <f t="shared" si="4"/>
        <v>13</v>
      </c>
      <c r="C26" s="271">
        <f t="shared" si="1"/>
        <v>8</v>
      </c>
      <c r="D26" s="271">
        <f t="shared" si="2"/>
        <v>2.941583397377713</v>
      </c>
      <c r="E26" s="271">
        <f t="shared" si="5"/>
        <v>182</v>
      </c>
      <c r="F26" s="271">
        <f t="shared" si="6"/>
        <v>535.3681783227438</v>
      </c>
    </row>
    <row r="27" spans="2:6" x14ac:dyDescent="0.45">
      <c r="B27" s="179">
        <f t="shared" si="4"/>
        <v>14</v>
      </c>
      <c r="C27" s="271">
        <f t="shared" si="1"/>
        <v>8</v>
      </c>
      <c r="D27" s="271">
        <f t="shared" si="2"/>
        <v>2.7236883309052895</v>
      </c>
      <c r="E27" s="271">
        <f t="shared" si="5"/>
        <v>210</v>
      </c>
      <c r="F27" s="271">
        <f t="shared" si="6"/>
        <v>571.9745494901108</v>
      </c>
    </row>
    <row r="28" spans="2:6" x14ac:dyDescent="0.45">
      <c r="B28" s="179">
        <f t="shared" si="4"/>
        <v>15</v>
      </c>
      <c r="C28" s="271">
        <f t="shared" si="1"/>
        <v>8</v>
      </c>
      <c r="D28" s="271">
        <f t="shared" si="2"/>
        <v>2.5219336397271195</v>
      </c>
      <c r="E28" s="271">
        <f t="shared" si="5"/>
        <v>240</v>
      </c>
      <c r="F28" s="271">
        <f t="shared" si="6"/>
        <v>605.26407353450873</v>
      </c>
    </row>
    <row r="29" spans="2:6" x14ac:dyDescent="0.45">
      <c r="B29" s="179">
        <f t="shared" si="4"/>
        <v>16</v>
      </c>
      <c r="C29" s="271">
        <f t="shared" si="1"/>
        <v>8</v>
      </c>
      <c r="D29" s="271">
        <f t="shared" si="2"/>
        <v>2.3351237404880738</v>
      </c>
      <c r="E29" s="271">
        <f t="shared" si="5"/>
        <v>272</v>
      </c>
      <c r="F29" s="271">
        <f t="shared" si="6"/>
        <v>635.15365741275605</v>
      </c>
    </row>
    <row r="30" spans="2:6" x14ac:dyDescent="0.45">
      <c r="B30" s="179">
        <f t="shared" si="4"/>
        <v>17</v>
      </c>
      <c r="C30" s="271">
        <f t="shared" si="1"/>
        <v>8</v>
      </c>
      <c r="D30" s="271">
        <f t="shared" si="2"/>
        <v>2.1621516115630315</v>
      </c>
      <c r="E30" s="271">
        <f t="shared" si="5"/>
        <v>306</v>
      </c>
      <c r="F30" s="271">
        <f t="shared" si="6"/>
        <v>661.61839313828762</v>
      </c>
    </row>
    <row r="31" spans="2:6" x14ac:dyDescent="0.45">
      <c r="B31" s="179">
        <f t="shared" si="4"/>
        <v>18</v>
      </c>
      <c r="C31" s="271">
        <f t="shared" si="1"/>
        <v>8</v>
      </c>
      <c r="D31" s="271">
        <f t="shared" si="2"/>
        <v>2.0019922329287323</v>
      </c>
      <c r="E31" s="271">
        <f t="shared" si="5"/>
        <v>342</v>
      </c>
      <c r="F31" s="271">
        <f t="shared" si="6"/>
        <v>684.68134366162644</v>
      </c>
    </row>
    <row r="32" spans="2:6" x14ac:dyDescent="0.45">
      <c r="B32" s="179">
        <f t="shared" si="4"/>
        <v>19</v>
      </c>
      <c r="C32" s="271">
        <f t="shared" si="1"/>
        <v>8</v>
      </c>
      <c r="D32" s="271">
        <f t="shared" si="2"/>
        <v>1.8536965119710485</v>
      </c>
      <c r="E32" s="271">
        <f t="shared" si="5"/>
        <v>380</v>
      </c>
      <c r="F32" s="271">
        <f t="shared" si="6"/>
        <v>704.4046745489984</v>
      </c>
    </row>
    <row r="33" spans="2:8" x14ac:dyDescent="0.45">
      <c r="B33" s="179">
        <f t="shared" si="4"/>
        <v>20</v>
      </c>
      <c r="C33" s="271">
        <f t="shared" si="1"/>
        <v>8</v>
      </c>
      <c r="D33" s="271">
        <f t="shared" si="2"/>
        <v>1.7163856592324522</v>
      </c>
      <c r="E33" s="271">
        <f t="shared" si="5"/>
        <v>420</v>
      </c>
      <c r="F33" s="271">
        <f t="shared" si="6"/>
        <v>720.88197687762988</v>
      </c>
    </row>
    <row r="34" spans="2:8" x14ac:dyDescent="0.45">
      <c r="B34" s="179">
        <f t="shared" si="4"/>
        <v>21</v>
      </c>
      <c r="C34" s="271">
        <f t="shared" si="1"/>
        <v>8</v>
      </c>
      <c r="D34" s="271">
        <f t="shared" si="2"/>
        <v>1.589245980770789</v>
      </c>
      <c r="E34" s="271">
        <f t="shared" si="5"/>
        <v>462</v>
      </c>
      <c r="F34" s="271">
        <f t="shared" si="6"/>
        <v>734.23164311610458</v>
      </c>
    </row>
    <row r="35" spans="2:8" x14ac:dyDescent="0.45">
      <c r="B35" s="179">
        <f t="shared" si="4"/>
        <v>22</v>
      </c>
      <c r="C35" s="271">
        <f t="shared" si="1"/>
        <v>8</v>
      </c>
      <c r="D35" s="271">
        <f t="shared" si="2"/>
        <v>1.4715240562692489</v>
      </c>
      <c r="E35" s="271">
        <f t="shared" si="5"/>
        <v>506</v>
      </c>
      <c r="F35" s="271">
        <f t="shared" si="6"/>
        <v>744.59117247223992</v>
      </c>
    </row>
    <row r="36" spans="2:8" x14ac:dyDescent="0.45">
      <c r="B36" s="179">
        <f t="shared" si="4"/>
        <v>23</v>
      </c>
      <c r="C36" s="271">
        <f t="shared" si="1"/>
        <v>8</v>
      </c>
      <c r="D36" s="271">
        <f t="shared" si="2"/>
        <v>1.3625222743233787</v>
      </c>
      <c r="E36" s="271">
        <f t="shared" si="5"/>
        <v>552</v>
      </c>
      <c r="F36" s="271">
        <f t="shared" si="6"/>
        <v>752.11229542650506</v>
      </c>
    </row>
    <row r="37" spans="2:8" x14ac:dyDescent="0.45">
      <c r="B37" s="179">
        <f t="shared" si="4"/>
        <v>24</v>
      </c>
      <c r="C37" s="271">
        <f t="shared" si="1"/>
        <v>8</v>
      </c>
      <c r="D37" s="271">
        <f t="shared" si="2"/>
        <v>1.2615946984475728</v>
      </c>
      <c r="E37" s="271">
        <f t="shared" si="5"/>
        <v>600</v>
      </c>
      <c r="F37" s="271">
        <f t="shared" si="6"/>
        <v>756.95681906854361</v>
      </c>
    </row>
    <row r="38" spans="2:8" x14ac:dyDescent="0.45">
      <c r="B38" s="179">
        <f t="shared" si="4"/>
        <v>25</v>
      </c>
      <c r="C38" s="271">
        <f t="shared" si="1"/>
        <v>8</v>
      </c>
      <c r="D38" s="271">
        <f t="shared" si="2"/>
        <v>1.168143239303308</v>
      </c>
      <c r="E38" s="271">
        <f t="shared" si="5"/>
        <v>650</v>
      </c>
      <c r="F38" s="271">
        <f t="shared" si="6"/>
        <v>759.29310554715016</v>
      </c>
    </row>
    <row r="39" spans="2:8" x14ac:dyDescent="0.45">
      <c r="B39" s="179">
        <f t="shared" si="4"/>
        <v>26</v>
      </c>
      <c r="C39" s="271">
        <f t="shared" si="1"/>
        <v>8</v>
      </c>
      <c r="D39" s="271">
        <f t="shared" si="2"/>
        <v>1.081614110466026</v>
      </c>
      <c r="E39" s="271">
        <f t="shared" si="5"/>
        <v>702</v>
      </c>
      <c r="F39" s="271">
        <f t="shared" si="6"/>
        <v>759.29310554715028</v>
      </c>
    </row>
    <row r="40" spans="2:8" x14ac:dyDescent="0.45">
      <c r="B40" s="179">
        <f t="shared" si="4"/>
        <v>27</v>
      </c>
      <c r="C40" s="271">
        <f t="shared" si="1"/>
        <v>8</v>
      </c>
      <c r="D40" s="271">
        <f t="shared" si="2"/>
        <v>1.0014945467278018</v>
      </c>
      <c r="E40" s="271">
        <f t="shared" si="5"/>
        <v>756</v>
      </c>
      <c r="F40" s="271">
        <f t="shared" si="6"/>
        <v>757.12987732621821</v>
      </c>
    </row>
    <row r="41" spans="2:8" x14ac:dyDescent="0.45">
      <c r="B41" s="179">
        <f t="shared" si="4"/>
        <v>28</v>
      </c>
      <c r="C41" s="271">
        <f t="shared" si="1"/>
        <v>8</v>
      </c>
      <c r="D41" s="271">
        <f t="shared" ref="D41:D43" si="7">C41/((1+$C$8))^B41</f>
        <v>0.92730976548870536</v>
      </c>
      <c r="E41" s="271">
        <f t="shared" si="5"/>
        <v>812</v>
      </c>
      <c r="F41" s="271">
        <f t="shared" si="6"/>
        <v>752.97552957682876</v>
      </c>
    </row>
    <row r="42" spans="2:8" x14ac:dyDescent="0.45">
      <c r="B42" s="179">
        <f t="shared" si="4"/>
        <v>29</v>
      </c>
      <c r="C42" s="271">
        <f t="shared" si="1"/>
        <v>8</v>
      </c>
      <c r="D42" s="271">
        <f t="shared" si="7"/>
        <v>0.85862015323028273</v>
      </c>
      <c r="E42" s="271">
        <f t="shared" si="5"/>
        <v>870</v>
      </c>
      <c r="F42" s="271">
        <f t="shared" si="6"/>
        <v>746.99953331034601</v>
      </c>
    </row>
    <row r="43" spans="2:8" x14ac:dyDescent="0.45">
      <c r="B43" s="259">
        <f t="shared" si="4"/>
        <v>30</v>
      </c>
      <c r="C43" s="272">
        <f>C6+C7</f>
        <v>108</v>
      </c>
      <c r="D43" s="272">
        <f t="shared" si="7"/>
        <v>10.732751915378532</v>
      </c>
      <c r="E43" s="272">
        <f t="shared" si="5"/>
        <v>930</v>
      </c>
      <c r="F43" s="272">
        <f t="shared" si="6"/>
        <v>9981.4592813020354</v>
      </c>
    </row>
    <row r="44" spans="2:8" s="165" customFormat="1" ht="15" x14ac:dyDescent="0.45">
      <c r="B44" s="181"/>
      <c r="C44" s="273" t="s">
        <v>136</v>
      </c>
      <c r="D44" s="274">
        <f>SUM(D14:D43)</f>
        <v>99.999999999999915</v>
      </c>
      <c r="E44" s="273"/>
      <c r="F44" s="274">
        <f>SUM(F14:F43)</f>
        <v>24778.132292025803</v>
      </c>
      <c r="G44" s="181"/>
      <c r="H44" s="181"/>
    </row>
    <row r="45" spans="2:8" x14ac:dyDescent="0.45">
      <c r="B45" s="179"/>
      <c r="C45" s="260"/>
      <c r="D45" s="260"/>
      <c r="E45" s="260"/>
      <c r="F45" s="260" t="s">
        <v>163</v>
      </c>
    </row>
    <row r="46" spans="2:8" x14ac:dyDescent="0.45">
      <c r="B46" s="179"/>
      <c r="C46" s="179"/>
    </row>
    <row r="47" spans="2:8" x14ac:dyDescent="0.45">
      <c r="B47" s="179"/>
      <c r="C47" s="179"/>
    </row>
    <row r="48" spans="2:8" x14ac:dyDescent="0.45">
      <c r="B48" s="260"/>
    </row>
    <row r="49" spans="2:3" x14ac:dyDescent="0.45">
      <c r="B49" s="179"/>
      <c r="C49" s="179"/>
    </row>
  </sheetData>
  <pageMargins left="0.7" right="0.7" top="0.75" bottom="0.75" header="0.3" footer="0.3"/>
  <pageSetup scale="73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L m 9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5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b 0 l P s u o m q 1 U B A A C Z A g A A E w A c A E Z v c m 1 1 b G F z L 1 N l Y 3 R p b 2 4 x L m 0 g o h g A K K A U A A A A A A A A A A A A A A A A A A A A A A A A A A A A j Z B d a 8 I w F I b v C / 0 P o b t R K I V 2 X z D x w t X J Z D e D O n Z h R W J 6 N j P T E 0 n S U S n + 9 y X W z a E O 1 p u U N 8 8 5 5 z n R w A y X S L L 2 j H u + 5 3 t 6 S R U U 5 C L I 1 g p o o Z c A h s R X J A l I n w g w v k f s l 8 l K M b D J Q 8 1 A R K 9 S r R Z S r j o j L i B K J R p A o z t B e p e / a F A 6 p 0 J w L X F e M k Y X k A 8 l q 0 q H 5 C O O F G 2 n Z y U / r I b O 7 2 X B I R / j J 2 j T I n E C u W t O k q g W u g 6 6 I c F K i J A Y V U E 3 b I W O f a N k n r l f Z 9 3 K N t O x g b J / w g X h E 8 f C 5 j t 8 t p 0 O q a G z n 7 Z W r J T G v s i j r b K r u I Y T u r B r 7 m / 2 e e d P g 5 B M 9 + h A i I x R Q Z X u O / f Z Q T 5 d U n y 3 Q y a b N R w m T B R F / S Z V m U p R l e g u 3 Z w T p b B p g h a J 7 T R j M W K g N t u Q N E E G J a e I F R W E y W o t U X 8 j F D c 7 o q 2 8 P I 4 H / y i 6 P h / f n I 9 v f 8 f b r u 9 x P L t / 7 w t Q S w E C L Q A U A A I A C A A u b 0 l P f M L S 3 K g A A A D 5 A A A A E g A A A A A A A A A A A A A A A A A A A A A A Q 2 9 u Z m l n L 1 B h Y 2 t h Z 2 U u e G 1 s U E s B A i 0 A F A A C A A g A L m 9 J T w / K 6 a u k A A A A 6 Q A A A B M A A A A A A A A A A A A A A A A A 9 A A A A F t D b 2 5 0 Z W 5 0 X 1 R 5 c G V z X S 5 4 b W x Q S w E C L Q A U A A I A C A A u b 0 l P s u o m q 1 U B A A C Z A g A A E w A A A A A A A A A A A A A A A A D l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D A A A A A A A A M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c H J l Y W R z a G V l d C U y M D E 0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5 V D E 4 O j U 1 O j I 5 L j A x M T Q x N z N a I i A v P j x F b n R y e S B U e X B l P S J G a W x s Q 2 9 s d W 1 u V H l w Z X M i I F Z h b H V l P S J z Q m d B Q U F B Q U F B Q T 0 9 I i A v P j x F b n R y e S B U e X B l P S J G a W x s Q 2 9 s d W 1 u T m F t Z X M i I F Z h b H V l P S J z W y Z x d W 9 0 O 0 N v b H V t b j E m c X V v d D s s J n F 1 b 3 Q 7 U 2 V t a W F u b n V h b C B j b 3 V w b 2 5 z J n F 1 b 3 Q 7 L C Z x d W 9 0 O 0 N v b H V t b j M m c X V v d D s s J n F 1 b 3 Q 7 Q W 5 u d W F s I G N v d X B v b n M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J l Y W R z a G V l d C A x N C A y L 0 N o Y W 5 n Z W Q g V H l w Z S 5 7 Q 2 9 s d W 1 u M S w w f S Z x d W 9 0 O y w m c X V v d D t T Z W N 0 a W 9 u M S 9 T c H J l Y W R z a G V l d C A x N C A y L 0 N o Y W 5 n Z W Q g V H l w Z S 5 7 U 2 V t a W F u b n V h b C B j b 3 V w b 2 5 z L D F 9 J n F 1 b 3 Q 7 L C Z x d W 9 0 O 1 N l Y 3 R p b 2 4 x L 1 N w c m V h Z H N o Z W V 0 I D E 0 I D I v Q 2 h h b m d l Z C B U e X B l L n t D b 2 x 1 b W 4 z L D J 9 J n F 1 b 3 Q 7 L C Z x d W 9 0 O 1 N l Y 3 R p b 2 4 x L 1 N w c m V h Z H N o Z W V 0 I D E 0 I D I v Q 2 h h b m d l Z C B U e X B l L n t B b m 5 1 Y W w g Y 2 9 1 c G 9 u c y w z f S Z x d W 9 0 O y w m c X V v d D t T Z W N 0 a W 9 u M S 9 T c H J l Y W R z a G V l d C A x N C A y L 0 N o Y W 5 n Z W Q g V H l w Z S 5 7 Q 2 9 s d W 1 u N S w 0 f S Z x d W 9 0 O y w m c X V v d D t T Z W N 0 a W 9 u M S 9 T c H J l Y W R z a G V l d C A x N C A y L 0 N o Y W 5 n Z W Q g V H l w Z S 5 7 Q 2 9 s d W 1 u N i w 1 f S Z x d W 9 0 O y w m c X V v d D t T Z W N 0 a W 9 u M S 9 T c H J l Y W R z a G V l d C A x N C A y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c H J l Y W R z a G V l d C A x N C A y L 0 N o Y W 5 n Z W Q g V H l w Z S 5 7 Q 2 9 s d W 1 u M S w w f S Z x d W 9 0 O y w m c X V v d D t T Z W N 0 a W 9 u M S 9 T c H J l Y W R z a G V l d C A x N C A y L 0 N o Y W 5 n Z W Q g V H l w Z S 5 7 U 2 V t a W F u b n V h b C B j b 3 V w b 2 5 z L D F 9 J n F 1 b 3 Q 7 L C Z x d W 9 0 O 1 N l Y 3 R p b 2 4 x L 1 N w c m V h Z H N o Z W V 0 I D E 0 I D I v Q 2 h h b m d l Z C B U e X B l L n t D b 2 x 1 b W 4 z L D J 9 J n F 1 b 3 Q 7 L C Z x d W 9 0 O 1 N l Y 3 R p b 2 4 x L 1 N w c m V h Z H N o Z W V 0 I D E 0 I D I v Q 2 h h b m d l Z C B U e X B l L n t B b m 5 1 Y W w g Y 2 9 1 c G 9 u c y w z f S Z x d W 9 0 O y w m c X V v d D t T Z W N 0 a W 9 u M S 9 T c H J l Y W R z a G V l d C A x N C A y L 0 N o Y W 5 n Z W Q g V H l w Z S 5 7 Q 2 9 s d W 1 u N S w 0 f S Z x d W 9 0 O y w m c X V v d D t T Z W N 0 a W 9 u M S 9 T c H J l Y W R z a G V l d C A x N C A y L 0 N o Y W 5 n Z W Q g V H l w Z S 5 7 Q 2 9 s d W 1 u N i w 1 f S Z x d W 9 0 O y w m c X V v d D t T Z W N 0 a W 9 u M S 9 T c H J l Y W R z a G V l d C A x N C A y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y Z W F k c 2 h l Z X Q l M j A x N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c 2 h l Z X Q l M j A x N C U y M D I v U 3 B y Z W F k c 2 h l Z X Q l M j A x N C 4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c 2 h l Z X Q l M j A x N C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c 2 h l Z X Q l M j A x N C U y M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3 I 5 v K H + Q U C e a G 2 y + P B z G A A A A A A C A A A A A A A D Z g A A w A A A A B A A A A C A l 3 u 7 b F q n E P m O x 9 O 2 Q p q U A A A A A A S A A A C g A A A A E A A A A H h s 6 w a D u 2 D y F E C q H 9 7 R I B V Q A A A A f U 0 1 h g 2 t 6 z 2 N 7 K b y H u z H v B t 9 h g j T N y k + J G Q w d l b t B z D B Q K a j O P o Y K q u Q t a C K 2 R + Z A h c F 9 g P + X V L + 2 2 2 q Y r w t u n 4 / D O 8 J p G e W Y Y M a M b 3 h w S M U A A A A 0 B s 6 d h z m I m B + E j N y G K X h r t N Y 6 C o = < / D a t a M a s h u p > 
</file>

<file path=customXml/itemProps1.xml><?xml version="1.0" encoding="utf-8"?>
<ds:datastoreItem xmlns:ds="http://schemas.openxmlformats.org/officeDocument/2006/customXml" ds:itemID="{64F40A2F-0459-4270-B2B5-016E1EEFD2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Bond Basics</vt:lpstr>
      <vt:lpstr>Bond Pricing &amp; Yields</vt:lpstr>
      <vt:lpstr>STRIPS Bond</vt:lpstr>
      <vt:lpstr>Duration</vt:lpstr>
      <vt:lpstr>Convexity</vt:lpstr>
      <vt:lpstr>'STRIPS Bond'!Print_Area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Suraj Udasi</cp:lastModifiedBy>
  <cp:lastPrinted>2023-03-14T12:17:56Z</cp:lastPrinted>
  <dcterms:created xsi:type="dcterms:W3CDTF">2019-10-09T18:49:03Z</dcterms:created>
  <dcterms:modified xsi:type="dcterms:W3CDTF">2024-03-17T04:51:37Z</dcterms:modified>
</cp:coreProperties>
</file>