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tiff" ContentType="image/tiff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aj\iCloudDrive\Hult\1. Masters in Finance, 2022\0. Modules\2. Spring 2023 (Jan-May)\8. Investments\Class 3\"/>
    </mc:Choice>
  </mc:AlternateContent>
  <xr:revisionPtr revIDLastSave="0" documentId="13_ncr:1_{5803B46E-56BB-4946-8AAC-DFD711375FC6}" xr6:coauthVersionLast="47" xr6:coauthVersionMax="47" xr10:uidLastSave="{00000000-0000-0000-0000-000000000000}"/>
  <bookViews>
    <workbookView xWindow="-98" yWindow="-98" windowWidth="21795" windowHeight="13875" xr2:uid="{B16405AC-C28C-C14D-A0E6-AE5A092AEE41}"/>
  </bookViews>
  <sheets>
    <sheet name="MW Efficient Pf" sheetId="7" r:id="rId1"/>
    <sheet name="MW Optimal Pf" sheetId="8" r:id="rId2"/>
    <sheet name="Index Model" sheetId="11" r:id="rId3"/>
    <sheet name="Beta &amp; CAPM" sheetId="13" r:id="rId4"/>
    <sheet name="SML" sheetId="14" r:id="rId5"/>
    <sheet name="Portfolio Beta &amp; CAPM" sheetId="15" r:id="rId6"/>
  </sheets>
  <externalReferences>
    <externalReference r:id="rId7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Print_Area" localSheetId="0">'MW Efficient Pf'!$B$59:$K$87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lling_Price">'[1]Base Case'!$B$11</definedName>
    <definedName name="solver_adj" localSheetId="2" hidden="1">'Index Model'!$E$57</definedName>
    <definedName name="solver_adj" localSheetId="0" hidden="1">'MW Efficient Pf'!$B$62:$B$69</definedName>
    <definedName name="solver_adj" localSheetId="1" hidden="1">'MW Optimal Pf'!$B$17:$B$23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drv" localSheetId="2" hidden="1">1</definedName>
    <definedName name="solver_drv" localSheetId="0" hidden="1">1</definedName>
    <definedName name="solver_drv" localSheetId="1" hidden="1">2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2" hidden="1">2147483647</definedName>
    <definedName name="solver_itr" localSheetId="0" hidden="1">100</definedName>
    <definedName name="solver_itr" localSheetId="1" hidden="1">2147483647</definedName>
    <definedName name="solver_lhs1" localSheetId="0" hidden="1">'MW Efficient Pf'!$B$62</definedName>
    <definedName name="solver_lhs1" localSheetId="1" hidden="1">'MW Optimal Pf'!$B$24</definedName>
    <definedName name="solver_lhs10" localSheetId="0" hidden="1">'MW Efficient Pf'!$B$66</definedName>
    <definedName name="solver_lhs11" localSheetId="0" hidden="1">'MW Efficient Pf'!$B$67</definedName>
    <definedName name="solver_lhs12" localSheetId="0" hidden="1">'MW Efficient Pf'!$B$67</definedName>
    <definedName name="solver_lhs13" localSheetId="0" hidden="1">'MW Efficient Pf'!$B$68</definedName>
    <definedName name="solver_lhs14" localSheetId="0" hidden="1">'MW Efficient Pf'!$B$68</definedName>
    <definedName name="solver_lhs15" localSheetId="0" hidden="1">'MW Efficient Pf'!$B$69</definedName>
    <definedName name="solver_lhs16" localSheetId="0" hidden="1">'MW Efficient Pf'!$B$69</definedName>
    <definedName name="solver_lhs17" localSheetId="0" hidden="1">'MW Efficient Pf'!$B$70</definedName>
    <definedName name="solver_lhs18" localSheetId="0" hidden="1">'MW Efficient Pf'!$C$74</definedName>
    <definedName name="solver_lhs2" localSheetId="0" hidden="1">'MW Efficient Pf'!$B$62</definedName>
    <definedName name="solver_lhs2" localSheetId="1" hidden="1">'MW Optimal Pf'!$C$26</definedName>
    <definedName name="solver_lhs3" localSheetId="0" hidden="1">'MW Efficient Pf'!$B$63</definedName>
    <definedName name="solver_lhs3" localSheetId="1" hidden="1">'MW Optimal Pf'!$C$26</definedName>
    <definedName name="solver_lhs4" localSheetId="0" hidden="1">'MW Efficient Pf'!$B$63</definedName>
    <definedName name="solver_lhs5" localSheetId="0" hidden="1">'MW Efficient Pf'!$B$64</definedName>
    <definedName name="solver_lhs6" localSheetId="0" hidden="1">'MW Efficient Pf'!$B$64</definedName>
    <definedName name="solver_lhs7" localSheetId="0" hidden="1">'MW Efficient Pf'!$B$65</definedName>
    <definedName name="solver_lhs8" localSheetId="0" hidden="1">'MW Efficient Pf'!$B$65</definedName>
    <definedName name="solver_lhs9" localSheetId="0" hidden="1">'MW Efficient Pf'!$B$66</definedName>
    <definedName name="solver_lin" localSheetId="2" hidden="1">2</definedName>
    <definedName name="solver_lin" localSheetId="0" hidden="1">2</definedName>
    <definedName name="solver_lin" localSheetId="1" hidden="1">2</definedName>
    <definedName name="solver_mip" localSheetId="2" hidden="1">2147483647</definedName>
    <definedName name="solver_mip" localSheetId="0" hidden="1">2147483647</definedName>
    <definedName name="solver_mip" localSheetId="1" hidden="1">2147483647</definedName>
    <definedName name="solver_mni" localSheetId="2" hidden="1">30</definedName>
    <definedName name="solver_mni" localSheetId="0" hidden="1">30</definedName>
    <definedName name="solver_mni" localSheetId="1" hidden="1">30</definedName>
    <definedName name="solver_mrt" localSheetId="2" hidden="1">0.075</definedName>
    <definedName name="solver_mrt" localSheetId="0" hidden="1">0.075</definedName>
    <definedName name="solver_mrt" localSheetId="1" hidden="1">0.075</definedName>
    <definedName name="solver_msl" localSheetId="2" hidden="1">2</definedName>
    <definedName name="solver_msl" localSheetId="0" hidden="1">2</definedName>
    <definedName name="solver_msl" localSheetId="1" hidden="1">2</definedName>
    <definedName name="solver_neg" localSheetId="2" hidden="1">1</definedName>
    <definedName name="solver_neg" localSheetId="0" hidden="1">2</definedName>
    <definedName name="solver_neg" localSheetId="1" hidden="1">2</definedName>
    <definedName name="solver_nod" localSheetId="2" hidden="1">2147483647</definedName>
    <definedName name="solver_nod" localSheetId="0" hidden="1">2147483647</definedName>
    <definedName name="solver_nod" localSheetId="1" hidden="1">2147483647</definedName>
    <definedName name="solver_num" localSheetId="2" hidden="1">0</definedName>
    <definedName name="solver_num" localSheetId="0" hidden="1">18</definedName>
    <definedName name="solver_num" localSheetId="1" hidden="1">1</definedName>
    <definedName name="solver_nwt" localSheetId="0" hidden="1">1</definedName>
    <definedName name="solver_nwt" localSheetId="1" hidden="1">1</definedName>
    <definedName name="solver_opt" localSheetId="2" hidden="1">'Index Model'!$E$61</definedName>
    <definedName name="solver_opt" localSheetId="0" hidden="1">'MW Efficient Pf'!$C$73</definedName>
    <definedName name="solver_opt" localSheetId="1" hidden="1">'MW Optimal Pf'!$C$28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rbv" localSheetId="2" hidden="1">1</definedName>
    <definedName name="solver_rbv" localSheetId="0" hidden="1">1</definedName>
    <definedName name="solver_rbv" localSheetId="1" hidden="1">2</definedName>
    <definedName name="solver_rel1" localSheetId="0" hidden="1">1</definedName>
    <definedName name="solver_rel1" localSheetId="1" hidden="1">2</definedName>
    <definedName name="solver_rel10" localSheetId="0" hidden="1">3</definedName>
    <definedName name="solver_rel11" localSheetId="0" hidden="1">1</definedName>
    <definedName name="solver_rel12" localSheetId="0" hidden="1">3</definedName>
    <definedName name="solver_rel13" localSheetId="0" hidden="1">1</definedName>
    <definedName name="solver_rel14" localSheetId="0" hidden="1">3</definedName>
    <definedName name="solver_rel15" localSheetId="0" hidden="1">1</definedName>
    <definedName name="solver_rel16" localSheetId="0" hidden="1">3</definedName>
    <definedName name="solver_rel17" localSheetId="0" hidden="1">2</definedName>
    <definedName name="solver_rel18" localSheetId="0" hidden="1">2</definedName>
    <definedName name="solver_rel2" localSheetId="0" hidden="1">3</definedName>
    <definedName name="solver_rel2" localSheetId="1" hidden="1">2</definedName>
    <definedName name="solver_rel3" localSheetId="0" hidden="1">1</definedName>
    <definedName name="solver_rel3" localSheetId="1" hidden="1">2</definedName>
    <definedName name="solver_rel4" localSheetId="0" hidden="1">3</definedName>
    <definedName name="solver_rel5" localSheetId="0" hidden="1">1</definedName>
    <definedName name="solver_rel6" localSheetId="0" hidden="1">3</definedName>
    <definedName name="solver_rel7" localSheetId="0" hidden="1">1</definedName>
    <definedName name="solver_rel8" localSheetId="0" hidden="1">3</definedName>
    <definedName name="solver_rel9" localSheetId="0" hidden="1">1</definedName>
    <definedName name="solver_rhs1" localSheetId="0" hidden="1">1</definedName>
    <definedName name="solver_rhs1" localSheetId="1" hidden="1">1</definedName>
    <definedName name="solver_rhs10" localSheetId="0" hidden="1">0</definedName>
    <definedName name="solver_rhs11" localSheetId="0" hidden="1">1</definedName>
    <definedName name="solver_rhs12" localSheetId="0" hidden="1">0</definedName>
    <definedName name="solver_rhs13" localSheetId="0" hidden="1">1</definedName>
    <definedName name="solver_rhs14" localSheetId="0" hidden="1">0</definedName>
    <definedName name="solver_rhs15" localSheetId="0" hidden="1">1</definedName>
    <definedName name="solver_rhs16" localSheetId="0" hidden="1">0</definedName>
    <definedName name="solver_rhs17" localSheetId="0" hidden="1">1</definedName>
    <definedName name="solver_rhs18" localSheetId="0" hidden="1">12</definedName>
    <definedName name="solver_rhs2" localSheetId="0" hidden="1">0</definedName>
    <definedName name="solver_rhs2" localSheetId="1" hidden="1">0.04</definedName>
    <definedName name="solver_rhs3" localSheetId="0" hidden="1">1</definedName>
    <definedName name="solver_rhs3" localSheetId="1" hidden="1">0.04</definedName>
    <definedName name="solver_rhs4" localSheetId="0" hidden="1">0</definedName>
    <definedName name="solver_rhs5" localSheetId="0" hidden="1">1</definedName>
    <definedName name="solver_rhs6" localSheetId="0" hidden="1">0</definedName>
    <definedName name="solver_rhs7" localSheetId="0" hidden="1">1</definedName>
    <definedName name="solver_rhs8" localSheetId="0" hidden="1">0</definedName>
    <definedName name="solver_rhs9" localSheetId="0" hidden="1">1</definedName>
    <definedName name="solver_rlx" localSheetId="2" hidden="1">2</definedName>
    <definedName name="solver_rlx" localSheetId="0" hidden="1">1</definedName>
    <definedName name="solver_rlx" localSheetId="1" hidden="1">2</definedName>
    <definedName name="solver_rsd" localSheetId="2" hidden="1">0</definedName>
    <definedName name="solver_rsd" localSheetId="0" hidden="1">0</definedName>
    <definedName name="solver_rsd" localSheetId="1" hidden="1">0</definedName>
    <definedName name="solver_scl" localSheetId="2" hidden="1">1</definedName>
    <definedName name="solver_scl" localSheetId="0" hidden="1">2</definedName>
    <definedName name="solver_scl" localSheetId="1" hidden="1">2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sz" localSheetId="2" hidden="1">100</definedName>
    <definedName name="solver_ssz" localSheetId="0" hidden="1">100</definedName>
    <definedName name="solver_ssz" localSheetId="1" hidden="1">100</definedName>
    <definedName name="solver_tim" localSheetId="2" hidden="1">2147483647</definedName>
    <definedName name="solver_tim" localSheetId="0" hidden="1">100</definedName>
    <definedName name="solver_tim" localSheetId="1" hidden="1">2147483647</definedName>
    <definedName name="solver_tol" localSheetId="2" hidden="1">0.01</definedName>
    <definedName name="solver_tol" localSheetId="0" hidden="1">0.05</definedName>
    <definedName name="solver_tol" localSheetId="1" hidden="1">0.01</definedName>
    <definedName name="solver_typ" localSheetId="2" hidden="1">1</definedName>
    <definedName name="solver_typ" localSheetId="0" hidden="1">2</definedName>
    <definedName name="solver_typ" localSheetId="1" hidden="1">1</definedName>
    <definedName name="solver_val" localSheetId="2" hidden="1">0.1691</definedName>
    <definedName name="solver_val" localSheetId="0" hidden="1">0</definedName>
    <definedName name="solver_val" localSheetId="1" hidden="1">0.1141</definedName>
    <definedName name="solver_ver" localSheetId="2" hidden="1">2</definedName>
    <definedName name="solver_ver" localSheetId="0" hidden="1">2</definedName>
    <definedName name="solver_ver" localSheetId="1" hidden="1">2</definedName>
    <definedName name="taxtable">#REF!</definedName>
    <definedName name="Variable_Cost_per_unit">'[1]Base Case'!$B$12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0" i="11" l="1"/>
  <c r="C59" i="11"/>
  <c r="C58" i="11"/>
  <c r="E60" i="11"/>
  <c r="D60" i="11"/>
  <c r="E59" i="11"/>
  <c r="E58" i="11"/>
  <c r="F57" i="11"/>
  <c r="E57" i="11"/>
  <c r="E56" i="11"/>
  <c r="E55" i="11"/>
  <c r="E54" i="11"/>
  <c r="G48" i="11"/>
  <c r="E53" i="11"/>
  <c r="E51" i="11"/>
  <c r="E52" i="11"/>
  <c r="F49" i="11"/>
  <c r="E49" i="11"/>
  <c r="F48" i="11"/>
  <c r="F47" i="11" a="1"/>
  <c r="F47" i="11" s="1"/>
  <c r="C42" i="11"/>
  <c r="C41" i="11"/>
  <c r="E28" i="11"/>
  <c r="D28" i="11"/>
  <c r="G7" i="11"/>
  <c r="G6" i="11"/>
  <c r="E6" i="11"/>
  <c r="C26" i="8"/>
  <c r="D24" i="8"/>
  <c r="E24" i="8"/>
  <c r="F24" i="8"/>
  <c r="G24" i="8"/>
  <c r="H24" i="8"/>
  <c r="I24" i="8"/>
  <c r="J24" i="8"/>
  <c r="C56" i="7"/>
  <c r="C54" i="7"/>
  <c r="J44" i="7"/>
  <c r="J41" i="7"/>
  <c r="E61" i="11" l="1"/>
  <c r="E29" i="11" l="1"/>
  <c r="C34" i="15" l="1"/>
  <c r="E6" i="14"/>
  <c r="N10" i="13"/>
  <c r="D58" i="11"/>
  <c r="F30" i="11"/>
  <c r="G31" i="11"/>
  <c r="H32" i="11"/>
  <c r="I33" i="11"/>
  <c r="J34" i="11"/>
  <c r="E7" i="11"/>
  <c r="E8" i="11"/>
  <c r="E9" i="11"/>
  <c r="E10" i="11"/>
  <c r="E11" i="11"/>
  <c r="E12" i="11"/>
  <c r="J52" i="7"/>
  <c r="C52" i="7"/>
  <c r="E44" i="7"/>
  <c r="F44" i="7"/>
  <c r="G44" i="7"/>
  <c r="H44" i="7"/>
  <c r="I44" i="7"/>
  <c r="E45" i="7"/>
  <c r="F45" i="7"/>
  <c r="G45" i="7"/>
  <c r="H45" i="7"/>
  <c r="I45" i="7"/>
  <c r="J45" i="7"/>
  <c r="E46" i="7"/>
  <c r="F46" i="7"/>
  <c r="G46" i="7"/>
  <c r="H46" i="7"/>
  <c r="I46" i="7"/>
  <c r="J46" i="7"/>
  <c r="E47" i="7"/>
  <c r="F47" i="7"/>
  <c r="G47" i="7"/>
  <c r="H47" i="7"/>
  <c r="I47" i="7"/>
  <c r="J47" i="7"/>
  <c r="E48" i="7"/>
  <c r="F48" i="7"/>
  <c r="G48" i="7"/>
  <c r="H48" i="7"/>
  <c r="I48" i="7"/>
  <c r="J48" i="7"/>
  <c r="E49" i="7"/>
  <c r="F49" i="7"/>
  <c r="G49" i="7"/>
  <c r="H49" i="7"/>
  <c r="I49" i="7"/>
  <c r="J49" i="7"/>
  <c r="E50" i="7"/>
  <c r="F50" i="7"/>
  <c r="G50" i="7"/>
  <c r="H50" i="7"/>
  <c r="I50" i="7"/>
  <c r="J50" i="7"/>
  <c r="E51" i="7"/>
  <c r="F51" i="7"/>
  <c r="G51" i="7"/>
  <c r="H51" i="7"/>
  <c r="I51" i="7"/>
  <c r="J51" i="7"/>
  <c r="D44" i="7"/>
  <c r="D45" i="7"/>
  <c r="D46" i="7"/>
  <c r="D47" i="7"/>
  <c r="D48" i="7"/>
  <c r="D49" i="7"/>
  <c r="D50" i="7"/>
  <c r="D51" i="7"/>
  <c r="C45" i="7"/>
  <c r="C46" i="7"/>
  <c r="C47" i="7"/>
  <c r="C48" i="7"/>
  <c r="C49" i="7"/>
  <c r="C50" i="7"/>
  <c r="C51" i="7"/>
  <c r="C44" i="7"/>
  <c r="C74" i="7"/>
  <c r="C34" i="7"/>
  <c r="C33" i="7"/>
  <c r="C32" i="7"/>
  <c r="C31" i="7"/>
  <c r="C35" i="7"/>
  <c r="C36" i="7"/>
  <c r="C37" i="7"/>
  <c r="C38" i="7"/>
  <c r="D31" i="7"/>
  <c r="D32" i="7"/>
  <c r="D33" i="7"/>
  <c r="D34" i="7"/>
  <c r="D35" i="7"/>
  <c r="D36" i="7"/>
  <c r="D37" i="7"/>
  <c r="D38" i="7"/>
  <c r="E31" i="7"/>
  <c r="J31" i="7"/>
  <c r="I31" i="7"/>
  <c r="H31" i="7"/>
  <c r="G31" i="7"/>
  <c r="F31" i="7"/>
  <c r="D42" i="8"/>
  <c r="E42" i="8"/>
  <c r="F42" i="8"/>
  <c r="G42" i="8"/>
  <c r="H42" i="8"/>
  <c r="I42" i="8"/>
  <c r="J42" i="8"/>
  <c r="K42" i="8"/>
  <c r="L42" i="8"/>
  <c r="M42" i="8"/>
  <c r="D15" i="8"/>
  <c r="F31" i="15"/>
  <c r="G19" i="15" s="1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42" i="14"/>
  <c r="E35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G66" i="13"/>
  <c r="H66" i="13" s="1"/>
  <c r="D66" i="13"/>
  <c r="E66" i="13" s="1"/>
  <c r="G65" i="13"/>
  <c r="H65" i="13" s="1"/>
  <c r="D65" i="13"/>
  <c r="E65" i="13" s="1"/>
  <c r="H64" i="13"/>
  <c r="G64" i="13"/>
  <c r="D64" i="13"/>
  <c r="E64" i="13" s="1"/>
  <c r="G63" i="13"/>
  <c r="H63" i="13" s="1"/>
  <c r="D63" i="13"/>
  <c r="E63" i="13" s="1"/>
  <c r="H62" i="13"/>
  <c r="G62" i="13"/>
  <c r="D62" i="13"/>
  <c r="E62" i="13" s="1"/>
  <c r="G61" i="13"/>
  <c r="H61" i="13" s="1"/>
  <c r="D61" i="13"/>
  <c r="E61" i="13" s="1"/>
  <c r="H60" i="13"/>
  <c r="G60" i="13"/>
  <c r="D60" i="13"/>
  <c r="E60" i="13" s="1"/>
  <c r="G59" i="13"/>
  <c r="H59" i="13" s="1"/>
  <c r="D59" i="13"/>
  <c r="E59" i="13" s="1"/>
  <c r="H58" i="13"/>
  <c r="G58" i="13"/>
  <c r="D58" i="13"/>
  <c r="E58" i="13" s="1"/>
  <c r="G57" i="13"/>
  <c r="H57" i="13" s="1"/>
  <c r="D57" i="13"/>
  <c r="E57" i="13" s="1"/>
  <c r="H56" i="13"/>
  <c r="G56" i="13"/>
  <c r="D56" i="13"/>
  <c r="E56" i="13" s="1"/>
  <c r="G55" i="13"/>
  <c r="H55" i="13" s="1"/>
  <c r="D55" i="13"/>
  <c r="E55" i="13" s="1"/>
  <c r="H54" i="13"/>
  <c r="G54" i="13"/>
  <c r="D54" i="13"/>
  <c r="E54" i="13" s="1"/>
  <c r="G53" i="13"/>
  <c r="H53" i="13" s="1"/>
  <c r="D53" i="13"/>
  <c r="E53" i="13" s="1"/>
  <c r="H52" i="13"/>
  <c r="G52" i="13"/>
  <c r="D52" i="13"/>
  <c r="E52" i="13" s="1"/>
  <c r="G51" i="13"/>
  <c r="H51" i="13" s="1"/>
  <c r="D51" i="13"/>
  <c r="E51" i="13" s="1"/>
  <c r="H50" i="13"/>
  <c r="G50" i="13"/>
  <c r="D50" i="13"/>
  <c r="E50" i="13" s="1"/>
  <c r="G49" i="13"/>
  <c r="H49" i="13" s="1"/>
  <c r="D49" i="13"/>
  <c r="E49" i="13" s="1"/>
  <c r="H48" i="13"/>
  <c r="G48" i="13"/>
  <c r="D48" i="13"/>
  <c r="E48" i="13" s="1"/>
  <c r="G47" i="13"/>
  <c r="H47" i="13" s="1"/>
  <c r="D47" i="13"/>
  <c r="E47" i="13" s="1"/>
  <c r="H46" i="13"/>
  <c r="G46" i="13"/>
  <c r="D46" i="13"/>
  <c r="E46" i="13" s="1"/>
  <c r="G45" i="13"/>
  <c r="H45" i="13" s="1"/>
  <c r="D45" i="13"/>
  <c r="E45" i="13" s="1"/>
  <c r="H44" i="13"/>
  <c r="G44" i="13"/>
  <c r="D44" i="13"/>
  <c r="E44" i="13" s="1"/>
  <c r="G43" i="13"/>
  <c r="H43" i="13" s="1"/>
  <c r="D43" i="13"/>
  <c r="E43" i="13" s="1"/>
  <c r="H42" i="13"/>
  <c r="G42" i="13"/>
  <c r="D42" i="13"/>
  <c r="E42" i="13" s="1"/>
  <c r="G41" i="13"/>
  <c r="H41" i="13" s="1"/>
  <c r="D41" i="13"/>
  <c r="E41" i="13" s="1"/>
  <c r="H40" i="13"/>
  <c r="G40" i="13"/>
  <c r="D40" i="13"/>
  <c r="E40" i="13" s="1"/>
  <c r="G39" i="13"/>
  <c r="H39" i="13" s="1"/>
  <c r="D39" i="13"/>
  <c r="E39" i="13" s="1"/>
  <c r="H38" i="13"/>
  <c r="G38" i="13"/>
  <c r="D38" i="13"/>
  <c r="E38" i="13" s="1"/>
  <c r="G37" i="13"/>
  <c r="H37" i="13" s="1"/>
  <c r="D37" i="13"/>
  <c r="E37" i="13" s="1"/>
  <c r="H36" i="13"/>
  <c r="G36" i="13"/>
  <c r="D36" i="13"/>
  <c r="E36" i="13" s="1"/>
  <c r="G35" i="13"/>
  <c r="H35" i="13" s="1"/>
  <c r="D35" i="13"/>
  <c r="E35" i="13" s="1"/>
  <c r="H34" i="13"/>
  <c r="G34" i="13"/>
  <c r="D34" i="13"/>
  <c r="E34" i="13" s="1"/>
  <c r="G33" i="13"/>
  <c r="H33" i="13" s="1"/>
  <c r="D33" i="13"/>
  <c r="E33" i="13" s="1"/>
  <c r="H32" i="13"/>
  <c r="G32" i="13"/>
  <c r="D32" i="13"/>
  <c r="E32" i="13" s="1"/>
  <c r="G31" i="13"/>
  <c r="H31" i="13" s="1"/>
  <c r="D31" i="13"/>
  <c r="E31" i="13" s="1"/>
  <c r="H30" i="13"/>
  <c r="G30" i="13"/>
  <c r="D30" i="13"/>
  <c r="E30" i="13" s="1"/>
  <c r="G29" i="13"/>
  <c r="H29" i="13" s="1"/>
  <c r="D29" i="13"/>
  <c r="E29" i="13" s="1"/>
  <c r="H28" i="13"/>
  <c r="G28" i="13"/>
  <c r="D28" i="13"/>
  <c r="E28" i="13" s="1"/>
  <c r="G27" i="13"/>
  <c r="H27" i="13" s="1"/>
  <c r="D27" i="13"/>
  <c r="E27" i="13" s="1"/>
  <c r="G26" i="13"/>
  <c r="H26" i="13" s="1"/>
  <c r="D26" i="13"/>
  <c r="E26" i="13" s="1"/>
  <c r="G25" i="13"/>
  <c r="H25" i="13" s="1"/>
  <c r="E25" i="13"/>
  <c r="D25" i="13"/>
  <c r="G24" i="13"/>
  <c r="H24" i="13" s="1"/>
  <c r="D24" i="13"/>
  <c r="E24" i="13" s="1"/>
  <c r="G23" i="13"/>
  <c r="H23" i="13" s="1"/>
  <c r="D23" i="13"/>
  <c r="E23" i="13" s="1"/>
  <c r="G22" i="13"/>
  <c r="H22" i="13" s="1"/>
  <c r="E22" i="13"/>
  <c r="D22" i="13"/>
  <c r="G21" i="13"/>
  <c r="H21" i="13" s="1"/>
  <c r="D21" i="13"/>
  <c r="E21" i="13" s="1"/>
  <c r="G20" i="13"/>
  <c r="H20" i="13" s="1"/>
  <c r="E20" i="13"/>
  <c r="D20" i="13"/>
  <c r="G19" i="13"/>
  <c r="H19" i="13" s="1"/>
  <c r="D19" i="13"/>
  <c r="E19" i="13" s="1"/>
  <c r="G18" i="13"/>
  <c r="H18" i="13" s="1"/>
  <c r="E18" i="13"/>
  <c r="D18" i="13"/>
  <c r="G17" i="13"/>
  <c r="H17" i="13" s="1"/>
  <c r="D17" i="13"/>
  <c r="E17" i="13" s="1"/>
  <c r="G16" i="13"/>
  <c r="H16" i="13" s="1"/>
  <c r="E16" i="13"/>
  <c r="D16" i="13"/>
  <c r="G15" i="13"/>
  <c r="H15" i="13" s="1"/>
  <c r="D15" i="13"/>
  <c r="E15" i="13" s="1"/>
  <c r="G14" i="13"/>
  <c r="H14" i="13" s="1"/>
  <c r="E14" i="13"/>
  <c r="D14" i="13"/>
  <c r="G13" i="13"/>
  <c r="H13" i="13" s="1"/>
  <c r="D13" i="13"/>
  <c r="E13" i="13" s="1"/>
  <c r="H12" i="13"/>
  <c r="G12" i="13"/>
  <c r="E12" i="13"/>
  <c r="D12" i="13"/>
  <c r="G11" i="13"/>
  <c r="H11" i="13" s="1"/>
  <c r="D11" i="13"/>
  <c r="E11" i="13" s="1"/>
  <c r="H10" i="13"/>
  <c r="G10" i="13"/>
  <c r="D10" i="13"/>
  <c r="E10" i="13" s="1"/>
  <c r="N9" i="13"/>
  <c r="G9" i="13"/>
  <c r="H9" i="13" s="1"/>
  <c r="E9" i="13"/>
  <c r="D9" i="13"/>
  <c r="G8" i="13"/>
  <c r="H8" i="13" s="1"/>
  <c r="D8" i="13"/>
  <c r="E8" i="13" s="1"/>
  <c r="F56" i="11"/>
  <c r="E65" i="11"/>
  <c r="F45" i="11"/>
  <c r="D27" i="8"/>
  <c r="H6" i="11"/>
  <c r="C62" i="11"/>
  <c r="F54" i="11"/>
  <c r="C43" i="11"/>
  <c r="C64" i="11"/>
  <c r="C65" i="11"/>
  <c r="D62" i="11"/>
  <c r="E25" i="11"/>
  <c r="E64" i="11"/>
  <c r="E62" i="11"/>
  <c r="J71" i="7"/>
  <c r="E4" i="11"/>
  <c r="F55" i="11"/>
  <c r="J59" i="7"/>
  <c r="F53" i="11"/>
  <c r="C44" i="8"/>
  <c r="D64" i="11"/>
  <c r="D63" i="11"/>
  <c r="J53" i="7"/>
  <c r="F58" i="11"/>
  <c r="D65" i="11"/>
  <c r="D25" i="11"/>
  <c r="F51" i="11"/>
  <c r="D25" i="8"/>
  <c r="C63" i="11"/>
  <c r="D28" i="8"/>
  <c r="D35" i="15"/>
  <c r="F52" i="11"/>
  <c r="D26" i="8"/>
  <c r="E63" i="11"/>
  <c r="N11" i="13" l="1"/>
  <c r="N12" i="13" s="1"/>
  <c r="G27" i="15"/>
  <c r="G10" i="15"/>
  <c r="G14" i="15"/>
  <c r="G18" i="15"/>
  <c r="G22" i="15"/>
  <c r="G26" i="15"/>
  <c r="G30" i="15"/>
  <c r="G15" i="15"/>
  <c r="G23" i="15"/>
  <c r="G11" i="15"/>
  <c r="G31" i="15"/>
  <c r="G12" i="15"/>
  <c r="G16" i="15"/>
  <c r="G20" i="15"/>
  <c r="G24" i="15"/>
  <c r="G28" i="15"/>
  <c r="G9" i="15"/>
  <c r="G13" i="15"/>
  <c r="G17" i="15"/>
  <c r="G21" i="15"/>
  <c r="G25" i="15"/>
  <c r="G29" i="15"/>
  <c r="C32" i="15" l="1"/>
  <c r="C33" i="15" s="1"/>
  <c r="C35" i="15"/>
  <c r="I48" i="11" l="1"/>
  <c r="C39" i="11"/>
  <c r="C34" i="11"/>
  <c r="C33" i="11"/>
  <c r="C32" i="11"/>
  <c r="C31" i="11"/>
  <c r="C30" i="11"/>
  <c r="C29" i="11"/>
  <c r="C28" i="11"/>
  <c r="J29" i="11" l="1"/>
  <c r="J32" i="11"/>
  <c r="D27" i="11" a="1"/>
  <c r="J27" i="11" s="1"/>
  <c r="I41" i="11" s="1"/>
  <c r="I42" i="11" s="1"/>
  <c r="J48" i="11"/>
  <c r="H48" i="11"/>
  <c r="K48" i="11"/>
  <c r="G10" i="11"/>
  <c r="G8" i="11"/>
  <c r="G11" i="11"/>
  <c r="G9" i="11"/>
  <c r="G12" i="11"/>
  <c r="C42" i="8"/>
  <c r="B34" i="8"/>
  <c r="B33" i="8"/>
  <c r="B32" i="8"/>
  <c r="B24" i="8"/>
  <c r="J15" i="8"/>
  <c r="I15" i="8"/>
  <c r="H15" i="8"/>
  <c r="G15" i="8"/>
  <c r="F15" i="8"/>
  <c r="E15" i="8"/>
  <c r="B81" i="7"/>
  <c r="B70" i="7"/>
  <c r="J61" i="7"/>
  <c r="K81" i="7" s="1"/>
  <c r="I61" i="7"/>
  <c r="J81" i="7" s="1"/>
  <c r="H61" i="7"/>
  <c r="G61" i="7"/>
  <c r="H81" i="7" s="1"/>
  <c r="F61" i="7"/>
  <c r="G81" i="7" s="1"/>
  <c r="E61" i="7"/>
  <c r="F81" i="7" s="1"/>
  <c r="D61" i="7"/>
  <c r="D68" i="7" s="1"/>
  <c r="C61" i="7"/>
  <c r="B51" i="7"/>
  <c r="B50" i="7"/>
  <c r="B49" i="7"/>
  <c r="B48" i="7"/>
  <c r="B47" i="7"/>
  <c r="B46" i="7"/>
  <c r="B45" i="7"/>
  <c r="B44" i="7"/>
  <c r="I43" i="7"/>
  <c r="C43" i="7"/>
  <c r="J38" i="7"/>
  <c r="I38" i="7"/>
  <c r="H38" i="7"/>
  <c r="G38" i="7"/>
  <c r="F38" i="7"/>
  <c r="E38" i="7"/>
  <c r="J37" i="7"/>
  <c r="I37" i="7"/>
  <c r="H37" i="7"/>
  <c r="G37" i="7"/>
  <c r="F37" i="7"/>
  <c r="E37" i="7"/>
  <c r="J36" i="7"/>
  <c r="I36" i="7"/>
  <c r="H36" i="7"/>
  <c r="G36" i="7"/>
  <c r="F36" i="7"/>
  <c r="E36" i="7"/>
  <c r="J35" i="7"/>
  <c r="I35" i="7"/>
  <c r="H35" i="7"/>
  <c r="G35" i="7"/>
  <c r="F35" i="7"/>
  <c r="E35" i="7"/>
  <c r="J34" i="7"/>
  <c r="I34" i="7"/>
  <c r="H34" i="7"/>
  <c r="G34" i="7"/>
  <c r="F34" i="7"/>
  <c r="E34" i="7"/>
  <c r="J33" i="7"/>
  <c r="I33" i="7"/>
  <c r="H33" i="7"/>
  <c r="G33" i="7"/>
  <c r="F33" i="7"/>
  <c r="E33" i="7"/>
  <c r="J32" i="7"/>
  <c r="I32" i="7"/>
  <c r="H32" i="7"/>
  <c r="G32" i="7"/>
  <c r="F32" i="7"/>
  <c r="E32" i="7"/>
  <c r="D55" i="7"/>
  <c r="D54" i="7"/>
  <c r="D72" i="7"/>
  <c r="D74" i="7"/>
  <c r="D56" i="7"/>
  <c r="D73" i="7"/>
  <c r="C68" i="7" l="1"/>
  <c r="C62" i="7"/>
  <c r="J30" i="11"/>
  <c r="J33" i="11"/>
  <c r="G27" i="11"/>
  <c r="J31" i="11"/>
  <c r="J28" i="11"/>
  <c r="C27" i="8"/>
  <c r="C28" i="8" s="1"/>
  <c r="J43" i="7"/>
  <c r="E43" i="7"/>
  <c r="F43" i="7"/>
  <c r="G43" i="7"/>
  <c r="H67" i="7"/>
  <c r="H43" i="7"/>
  <c r="D43" i="7"/>
  <c r="E27" i="11"/>
  <c r="D27" i="11"/>
  <c r="I27" i="11"/>
  <c r="H27" i="11"/>
  <c r="F27" i="11"/>
  <c r="E48" i="11"/>
  <c r="I49" i="11" s="1"/>
  <c r="I50" i="11" s="1"/>
  <c r="D81" i="7"/>
  <c r="H62" i="7"/>
  <c r="H65" i="7"/>
  <c r="H69" i="7"/>
  <c r="C64" i="7"/>
  <c r="C66" i="7"/>
  <c r="C69" i="7"/>
  <c r="D62" i="7"/>
  <c r="D63" i="7"/>
  <c r="D64" i="7"/>
  <c r="D65" i="7"/>
  <c r="D66" i="7"/>
  <c r="D67" i="7"/>
  <c r="D69" i="7"/>
  <c r="E62" i="7"/>
  <c r="E63" i="7"/>
  <c r="E64" i="7"/>
  <c r="E65" i="7"/>
  <c r="E66" i="7"/>
  <c r="E67" i="7"/>
  <c r="E68" i="7"/>
  <c r="E69" i="7"/>
  <c r="E81" i="7"/>
  <c r="H68" i="7"/>
  <c r="B52" i="7"/>
  <c r="F62" i="7"/>
  <c r="F63" i="7"/>
  <c r="F64" i="7"/>
  <c r="F65" i="7"/>
  <c r="F66" i="7"/>
  <c r="F67" i="7"/>
  <c r="F68" i="7"/>
  <c r="F69" i="7"/>
  <c r="H64" i="7"/>
  <c r="C63" i="7"/>
  <c r="C65" i="7"/>
  <c r="C67" i="7"/>
  <c r="G62" i="7"/>
  <c r="G63" i="7"/>
  <c r="G64" i="7"/>
  <c r="G65" i="7"/>
  <c r="G66" i="7"/>
  <c r="G67" i="7"/>
  <c r="G68" i="7"/>
  <c r="G69" i="7"/>
  <c r="I81" i="7"/>
  <c r="I62" i="7"/>
  <c r="I63" i="7"/>
  <c r="I64" i="7"/>
  <c r="I65" i="7"/>
  <c r="I66" i="7"/>
  <c r="I67" i="7"/>
  <c r="I68" i="7"/>
  <c r="I69" i="7"/>
  <c r="J62" i="7"/>
  <c r="J63" i="7"/>
  <c r="J64" i="7"/>
  <c r="J65" i="7"/>
  <c r="J66" i="7"/>
  <c r="J67" i="7"/>
  <c r="J68" i="7"/>
  <c r="J69" i="7"/>
  <c r="H63" i="7"/>
  <c r="H66" i="7"/>
  <c r="F41" i="11" l="1"/>
  <c r="F42" i="11" s="1"/>
  <c r="G29" i="11"/>
  <c r="G33" i="11"/>
  <c r="G32" i="11"/>
  <c r="G34" i="11"/>
  <c r="G30" i="11"/>
  <c r="G28" i="11"/>
  <c r="D30" i="11"/>
  <c r="D29" i="11"/>
  <c r="D31" i="11"/>
  <c r="D32" i="11"/>
  <c r="D34" i="11"/>
  <c r="D33" i="11"/>
  <c r="F34" i="11"/>
  <c r="F32" i="11"/>
  <c r="F28" i="11"/>
  <c r="F29" i="11"/>
  <c r="F33" i="11"/>
  <c r="F31" i="11"/>
  <c r="I31" i="11"/>
  <c r="I29" i="11"/>
  <c r="I32" i="11"/>
  <c r="I34" i="11"/>
  <c r="I28" i="11"/>
  <c r="I30" i="11"/>
  <c r="D41" i="11"/>
  <c r="E30" i="11"/>
  <c r="E33" i="11"/>
  <c r="E31" i="11"/>
  <c r="E32" i="11"/>
  <c r="E34" i="11"/>
  <c r="H28" i="11"/>
  <c r="H29" i="11"/>
  <c r="H33" i="11"/>
  <c r="H30" i="11"/>
  <c r="H34" i="11"/>
  <c r="H31" i="11"/>
  <c r="J70" i="7"/>
  <c r="H52" i="7"/>
  <c r="I52" i="7"/>
  <c r="I70" i="7"/>
  <c r="E52" i="7"/>
  <c r="G52" i="7"/>
  <c r="D52" i="7"/>
  <c r="F52" i="7"/>
  <c r="G41" i="11"/>
  <c r="G42" i="11" s="1"/>
  <c r="H41" i="11"/>
  <c r="H42" i="11" s="1"/>
  <c r="E41" i="11"/>
  <c r="E42" i="11" s="1"/>
  <c r="F50" i="11"/>
  <c r="J49" i="11"/>
  <c r="J50" i="11" s="1"/>
  <c r="K49" i="11"/>
  <c r="K50" i="11" s="1"/>
  <c r="G49" i="11"/>
  <c r="G50" i="11" s="1"/>
  <c r="H49" i="11"/>
  <c r="H50" i="11" s="1"/>
  <c r="H70" i="7"/>
  <c r="F70" i="7"/>
  <c r="C70" i="7"/>
  <c r="G70" i="7"/>
  <c r="E70" i="7"/>
  <c r="D70" i="7"/>
  <c r="D42" i="11" l="1"/>
  <c r="C55" i="7"/>
  <c r="D59" i="11"/>
  <c r="D61" i="11" s="1"/>
  <c r="C72" i="7"/>
  <c r="C73" i="7" s="1"/>
  <c r="C81" i="7" s="1"/>
  <c r="D57" i="11" l="1"/>
  <c r="H57" i="11"/>
  <c r="J57" i="11"/>
  <c r="K57" i="11"/>
  <c r="G57" i="11"/>
  <c r="I57" i="11"/>
  <c r="C57" i="11"/>
  <c r="C61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<sst xmlns="http://schemas.openxmlformats.org/spreadsheetml/2006/main" count="397" uniqueCount="233">
  <si>
    <t>Mean</t>
  </si>
  <si>
    <t>Sum</t>
  </si>
  <si>
    <t>Beta</t>
  </si>
  <si>
    <t>SD of Excess Return</t>
  </si>
  <si>
    <t>BETA</t>
  </si>
  <si>
    <t>SD of Systematic Component</t>
  </si>
  <si>
    <t>Correlation with the Market Index</t>
  </si>
  <si>
    <t>Market Index</t>
  </si>
  <si>
    <t>WMT (Walmart)</t>
  </si>
  <si>
    <t>TGT (Target)</t>
  </si>
  <si>
    <t>VZ (Verizon)</t>
  </si>
  <si>
    <t>T (AT&amp;T)</t>
  </si>
  <si>
    <t>F (Ford)</t>
  </si>
  <si>
    <t>GM (General Motors)</t>
  </si>
  <si>
    <t>WMT</t>
  </si>
  <si>
    <t>TGT</t>
  </si>
  <si>
    <t>VZ</t>
  </si>
  <si>
    <t>T</t>
  </si>
  <si>
    <t>F</t>
  </si>
  <si>
    <t>GM</t>
  </si>
  <si>
    <t xml:space="preserve">market risk premium = </t>
  </si>
  <si>
    <t>Alpha</t>
  </si>
  <si>
    <t>Risk Premium</t>
  </si>
  <si>
    <t>Overall Pf</t>
  </si>
  <si>
    <t>Active Pf A</t>
  </si>
  <si>
    <t>SD</t>
  </si>
  <si>
    <t>Sharpe Ratio</t>
  </si>
  <si>
    <t xml:space="preserve">Efficient Frontier for World Equity Benchmark Securities (WEBS) </t>
  </si>
  <si>
    <t>A. Return (Mean) &amp; Risk (Standard Deviation)</t>
  </si>
  <si>
    <t>WEBS ETFs</t>
  </si>
  <si>
    <t>Country</t>
  </si>
  <si>
    <t>EWD</t>
  </si>
  <si>
    <t>Sweden</t>
  </si>
  <si>
    <t xml:space="preserve">EWH </t>
  </si>
  <si>
    <t>Hong Kong</t>
  </si>
  <si>
    <t xml:space="preserve">EWI </t>
  </si>
  <si>
    <t>Italy</t>
  </si>
  <si>
    <t xml:space="preserve">EWJ </t>
  </si>
  <si>
    <t>Japan</t>
  </si>
  <si>
    <t xml:space="preserve">EWL </t>
  </si>
  <si>
    <t>Switzerland</t>
  </si>
  <si>
    <t xml:space="preserve">EWP </t>
  </si>
  <si>
    <t>Spain</t>
  </si>
  <si>
    <t xml:space="preserve">EWW </t>
  </si>
  <si>
    <t>Mexico</t>
  </si>
  <si>
    <t>S&amp;P 500</t>
  </si>
  <si>
    <t>U.S.</t>
  </si>
  <si>
    <t>B. Correlation Matrix</t>
  </si>
  <si>
    <t>Correlation</t>
  </si>
  <si>
    <t>EWH</t>
  </si>
  <si>
    <t>EWI</t>
  </si>
  <si>
    <t>EWJ</t>
  </si>
  <si>
    <t>EWL</t>
  </si>
  <si>
    <t>EWP</t>
  </si>
  <si>
    <t>EWW</t>
  </si>
  <si>
    <t>C. Covariance Matrix</t>
  </si>
  <si>
    <t>Covariance</t>
  </si>
  <si>
    <t>D. Bordered Covariance Matrix: Equally Weighted Portfolio</t>
  </si>
  <si>
    <t>Equal</t>
  </si>
  <si>
    <t>Weights</t>
  </si>
  <si>
    <t>Portfolio Characteristics</t>
  </si>
  <si>
    <t>Pf Var.</t>
  </si>
  <si>
    <t>Pf SD</t>
  </si>
  <si>
    <t>Pf Mean</t>
  </si>
  <si>
    <t>E. Bordered Covariance Matrix for Target Return Portfolio</t>
  </si>
  <si>
    <t>Under Target</t>
  </si>
  <si>
    <t>F. Pf Weights Matrix under the Target Rate (Mean)</t>
  </si>
  <si>
    <t>St. Dev</t>
  </si>
  <si>
    <t>Panel A. Expected excess returns (risk premiums) of each country index</t>
  </si>
  <si>
    <t>Excess return</t>
  </si>
  <si>
    <t>U.K.</t>
  </si>
  <si>
    <t>France</t>
  </si>
  <si>
    <t>Germany</t>
  </si>
  <si>
    <t>Australia</t>
  </si>
  <si>
    <t>Canada</t>
  </si>
  <si>
    <t>Panel B. Bordered Covariance Matrix &amp; Pf Risk Prem, SD, Sharpe ratio</t>
  </si>
  <si>
    <t>Portfolio</t>
  </si>
  <si>
    <t>Pf variance</t>
  </si>
  <si>
    <t>Pf Risk Prem</t>
  </si>
  <si>
    <t>Pf Std Dev</t>
  </si>
  <si>
    <t>Pf Sharpe</t>
  </si>
  <si>
    <t>Panel C. Various points along the efficient frontier. Minimum Variance Portfolio, Optimal Portfolio, Capital Allocation Line (CAL)</t>
  </si>
  <si>
    <t>Minimum variance portfolio</t>
  </si>
  <si>
    <t>Optimal (tangency) portfolio</t>
  </si>
  <si>
    <r>
      <rPr>
        <i/>
        <sz val="12"/>
        <rFont val="Times New Roman"/>
        <family val="1"/>
      </rPr>
      <t>w</t>
    </r>
    <r>
      <rPr>
        <i/>
        <vertAlign val="subscript"/>
        <sz val="12"/>
        <rFont val="Times New Roman"/>
        <family val="1"/>
      </rPr>
      <t>A</t>
    </r>
    <r>
      <rPr>
        <sz val="12"/>
        <rFont val="Times New Roman"/>
        <family val="1"/>
      </rPr>
      <t>(0)</t>
    </r>
  </si>
  <si>
    <t>Risk Parameters of the Investable Universe (annualized)</t>
  </si>
  <si>
    <t>Correlation of Residuals</t>
  </si>
  <si>
    <t>The Index Model Covariance Matrix</t>
  </si>
  <si>
    <t>Macro Forecast and Forecasts of Alpha Values</t>
  </si>
  <si>
    <t>Optimal Risky Portfolio</t>
  </si>
  <si>
    <t>Panel E.</t>
  </si>
  <si>
    <t>Panel D.</t>
  </si>
  <si>
    <t>Panel C.</t>
  </si>
  <si>
    <t>Panel B.</t>
  </si>
  <si>
    <t>Panel A.</t>
  </si>
  <si>
    <r>
      <t>s</t>
    </r>
    <r>
      <rPr>
        <vertAlign val="superscript"/>
        <sz val="12"/>
        <rFont val="Verdana"/>
        <family val="2"/>
      </rPr>
      <t>2</t>
    </r>
    <r>
      <rPr>
        <sz val="12"/>
        <rFont val="Verdana"/>
        <family val="2"/>
      </rPr>
      <t>(</t>
    </r>
    <r>
      <rPr>
        <i/>
        <sz val="12"/>
        <rFont val="Calibri"/>
        <family val="2"/>
        <scheme val="minor"/>
      </rPr>
      <t>e</t>
    </r>
    <r>
      <rPr>
        <sz val="12"/>
        <rFont val="Verdana"/>
        <family val="2"/>
      </rPr>
      <t>)</t>
    </r>
  </si>
  <si>
    <r>
      <rPr>
        <i/>
        <sz val="12"/>
        <rFont val="Calibri"/>
        <family val="2"/>
        <scheme val="minor"/>
      </rPr>
      <t>w</t>
    </r>
    <r>
      <rPr>
        <i/>
        <vertAlign val="subscript"/>
        <sz val="12"/>
        <rFont val="Calibri"/>
        <family val="2"/>
        <scheme val="minor"/>
      </rPr>
      <t>i</t>
    </r>
    <r>
      <rPr>
        <sz val="12"/>
        <rFont val="Symbol"/>
        <family val="1"/>
        <charset val="2"/>
      </rPr>
      <t>(</t>
    </r>
    <r>
      <rPr>
        <sz val="12"/>
        <rFont val="Calibri"/>
        <family val="2"/>
        <scheme val="minor"/>
      </rPr>
      <t>0</t>
    </r>
    <r>
      <rPr>
        <sz val="12"/>
        <rFont val="Symbol"/>
        <family val="1"/>
        <charset val="2"/>
      </rPr>
      <t>) = a</t>
    </r>
    <r>
      <rPr>
        <i/>
        <vertAlign val="subscript"/>
        <sz val="12"/>
        <rFont val="Calibri"/>
        <family val="2"/>
        <scheme val="minor"/>
      </rPr>
      <t>i</t>
    </r>
    <r>
      <rPr>
        <sz val="12"/>
        <rFont val="Symbol"/>
        <family val="1"/>
        <charset val="2"/>
      </rPr>
      <t>/s</t>
    </r>
    <r>
      <rPr>
        <vertAlign val="superscript"/>
        <sz val="12"/>
        <rFont val="Symbol"/>
        <family val="1"/>
        <charset val="2"/>
      </rPr>
      <t>2</t>
    </r>
    <r>
      <rPr>
        <sz val="12"/>
        <rFont val="Symbol"/>
        <family val="1"/>
        <charset val="2"/>
      </rPr>
      <t>(</t>
    </r>
    <r>
      <rPr>
        <i/>
        <sz val="12"/>
        <rFont val="Calibri"/>
        <family val="2"/>
        <scheme val="minor"/>
      </rPr>
      <t>e</t>
    </r>
    <r>
      <rPr>
        <sz val="12"/>
        <rFont val="Symbol"/>
        <family val="1"/>
        <charset val="2"/>
      </rPr>
      <t>)</t>
    </r>
  </si>
  <si>
    <r>
      <t>w</t>
    </r>
    <r>
      <rPr>
        <i/>
        <vertAlign val="subscript"/>
        <sz val="12"/>
        <rFont val="Calibri"/>
        <family val="2"/>
        <scheme val="minor"/>
      </rPr>
      <t>i</t>
    </r>
  </si>
  <si>
    <r>
      <t>[</t>
    </r>
    <r>
      <rPr>
        <i/>
        <sz val="12"/>
        <rFont val="Calibri"/>
        <family val="2"/>
        <scheme val="minor"/>
      </rPr>
      <t>w</t>
    </r>
    <r>
      <rPr>
        <i/>
        <vertAlign val="subscript"/>
        <sz val="12"/>
        <rFont val="Calibri"/>
        <family val="2"/>
        <scheme val="minor"/>
      </rPr>
      <t>i</t>
    </r>
    <r>
      <rPr>
        <sz val="12"/>
        <rFont val="Calibri"/>
        <family val="2"/>
        <scheme val="minor"/>
      </rPr>
      <t>(0)]</t>
    </r>
    <r>
      <rPr>
        <vertAlign val="superscript"/>
        <sz val="12"/>
        <rFont val="Calibri"/>
        <family val="2"/>
        <scheme val="minor"/>
      </rPr>
      <t>2</t>
    </r>
  </si>
  <si>
    <r>
      <t>s</t>
    </r>
    <r>
      <rPr>
        <vertAlign val="superscript"/>
        <sz val="12"/>
        <rFont val="Symbol"/>
        <family val="1"/>
        <charset val="2"/>
      </rPr>
      <t>2</t>
    </r>
    <r>
      <rPr>
        <sz val="12"/>
        <rFont val="Verdana"/>
        <family val="2"/>
      </rPr>
      <t>(</t>
    </r>
    <r>
      <rPr>
        <i/>
        <sz val="12"/>
        <rFont val="Calibri"/>
        <family val="2"/>
        <scheme val="minor"/>
      </rPr>
      <t>e</t>
    </r>
    <r>
      <rPr>
        <i/>
        <vertAlign val="subscript"/>
        <sz val="12"/>
        <rFont val="Verdana"/>
        <family val="2"/>
      </rPr>
      <t>A</t>
    </r>
    <r>
      <rPr>
        <sz val="12"/>
        <rFont val="Verdana"/>
        <family val="2"/>
      </rPr>
      <t>)</t>
    </r>
  </si>
  <si>
    <r>
      <t>E(R</t>
    </r>
    <r>
      <rPr>
        <i/>
        <vertAlign val="subscript"/>
        <sz val="12"/>
        <color theme="1"/>
        <rFont val="Calibri"/>
        <family val="2"/>
        <scheme val="minor"/>
      </rPr>
      <t>M</t>
    </r>
    <r>
      <rPr>
        <i/>
        <sz val="12"/>
        <color theme="1"/>
        <rFont val="Calibri"/>
        <family val="2"/>
        <scheme val="minor"/>
      </rPr>
      <t>)</t>
    </r>
    <r>
      <rPr>
        <sz val="12"/>
        <color theme="1"/>
        <rFont val="Calibri"/>
        <family val="2"/>
        <scheme val="minor"/>
      </rPr>
      <t>/</t>
    </r>
    <r>
      <rPr>
        <sz val="12"/>
        <color theme="1"/>
        <rFont val="Symbol"/>
        <family val="1"/>
        <charset val="2"/>
      </rPr>
      <t>s</t>
    </r>
    <r>
      <rPr>
        <i/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(</t>
    </r>
    <r>
      <rPr>
        <i/>
        <sz val="12"/>
        <color theme="1"/>
        <rFont val="Calibri"/>
        <family val="2"/>
        <scheme val="minor"/>
      </rPr>
      <t>M</t>
    </r>
    <r>
      <rPr>
        <sz val="12"/>
        <color theme="1"/>
        <rFont val="Calibri"/>
        <family val="2"/>
        <scheme val="minor"/>
      </rPr>
      <t>)</t>
    </r>
  </si>
  <si>
    <r>
      <t>b</t>
    </r>
    <r>
      <rPr>
        <i/>
        <vertAlign val="subscript"/>
        <sz val="12"/>
        <rFont val="Calibri"/>
        <family val="2"/>
        <scheme val="minor"/>
      </rPr>
      <t>A</t>
    </r>
  </si>
  <si>
    <t>Scaled initial position of each security</t>
  </si>
  <si>
    <t>Residual Variance of Active Pf</t>
  </si>
  <si>
    <t>Beta of the Active Pf</t>
  </si>
  <si>
    <r>
      <t>a</t>
    </r>
    <r>
      <rPr>
        <i/>
        <vertAlign val="subscript"/>
        <sz val="12"/>
        <rFont val="Calibri"/>
        <family val="2"/>
        <scheme val="minor"/>
      </rPr>
      <t>A</t>
    </r>
    <r>
      <rPr>
        <sz val="12"/>
        <rFont val="Symbol"/>
        <family val="1"/>
        <charset val="2"/>
      </rPr>
      <t xml:space="preserve"> </t>
    </r>
  </si>
  <si>
    <r>
      <t>a</t>
    </r>
    <r>
      <rPr>
        <sz val="9"/>
        <rFont val="Symbol"/>
        <family val="1"/>
        <charset val="2"/>
      </rPr>
      <t>A</t>
    </r>
    <r>
      <rPr>
        <sz val="12"/>
        <rFont val="Symbol"/>
        <family val="1"/>
        <charset val="2"/>
      </rPr>
      <t xml:space="preserve">  / s</t>
    </r>
    <r>
      <rPr>
        <vertAlign val="superscript"/>
        <sz val="12"/>
        <rFont val="Symbol"/>
        <family val="1"/>
        <charset val="2"/>
      </rPr>
      <t>2</t>
    </r>
    <r>
      <rPr>
        <sz val="12"/>
        <rFont val="Verdana"/>
        <family val="2"/>
      </rPr>
      <t>(</t>
    </r>
    <r>
      <rPr>
        <i/>
        <sz val="12"/>
        <rFont val="Calibri"/>
        <family val="2"/>
        <scheme val="minor"/>
      </rPr>
      <t>e</t>
    </r>
    <r>
      <rPr>
        <i/>
        <vertAlign val="subscript"/>
        <sz val="12"/>
        <rFont val="Verdana"/>
        <family val="2"/>
      </rPr>
      <t>A</t>
    </r>
    <r>
      <rPr>
        <sz val="12"/>
        <rFont val="Verdana"/>
        <family val="2"/>
      </rPr>
      <t>)</t>
    </r>
  </si>
  <si>
    <t>Index Model. S&amp;P500 + Active Portfolio</t>
  </si>
  <si>
    <t>Part I. Collecting price information and calcuating rate of return</t>
  </si>
  <si>
    <t>60 months</t>
  </si>
  <si>
    <t>S&amp;P500 (SPY ETF)</t>
  </si>
  <si>
    <t>Apple, Inc.</t>
  </si>
  <si>
    <t>Dates</t>
  </si>
  <si>
    <t>Prices</t>
  </si>
  <si>
    <t>Monthly rate</t>
  </si>
  <si>
    <t>Excess Return</t>
  </si>
  <si>
    <t>a. Input variables I. CAPM of Apple Inc.</t>
  </si>
  <si>
    <t>Market Risk Premium (MRP, %)**</t>
  </si>
  <si>
    <t>Beta (Apple Inc.)**</t>
  </si>
  <si>
    <t>Equity Risk Premium (ERP, %)**</t>
  </si>
  <si>
    <t>How to collect monthly price information.</t>
  </si>
  <si>
    <t>Step 1. Historical data from Yahoo Finance Website or any other data</t>
  </si>
  <si>
    <t xml:space="preserve">Step 2.  Histoical Data &lt; setup Time period: at least 5 years &lt; Frequency: monthly &lt; Apply.  </t>
  </si>
  <si>
    <t>Step 3. download to Excel for Date and the Historical Prices (Adj. Close)</t>
  </si>
  <si>
    <t>Step 4. Calculate monthly rate of return</t>
  </si>
  <si>
    <t>Step 5. for the monthly rate of return on the Market (SPY), reiterate the same process</t>
  </si>
  <si>
    <t>Step 6. Use the slope function to get Beta of the firm</t>
  </si>
  <si>
    <t>Capital Asset Pricing Model (CAPM) &amp; Security Market Line (SML)</t>
  </si>
  <si>
    <t>Q1. Calculate Required rate of return (CAPM) on each stock and Create the Security Market Line (SML).</t>
  </si>
  <si>
    <t>Q1-1. Create the Security Market Line (SML).</t>
  </si>
  <si>
    <t xml:space="preserve">Step 1. Drag Area &lt; Insert at the top &lt; Choose Scatter Chart </t>
  </si>
  <si>
    <t>Stock</t>
  </si>
  <si>
    <t>Expected Rate of Return on each stock (%)</t>
  </si>
  <si>
    <t>Required rate of return
 on SML (%)</t>
  </si>
  <si>
    <t>U.S. Steel</t>
  </si>
  <si>
    <t xml:space="preserve"> =$C$27+($C$26-$C$27)*D6</t>
  </si>
  <si>
    <t>Disney</t>
  </si>
  <si>
    <t>and drag down</t>
  </si>
  <si>
    <t>Ford</t>
  </si>
  <si>
    <t>General Electric</t>
  </si>
  <si>
    <t>Monsanto</t>
  </si>
  <si>
    <t>Boeing</t>
  </si>
  <si>
    <t>Union Pacific</t>
  </si>
  <si>
    <t>Alphabet</t>
  </si>
  <si>
    <t>ExxonMobil</t>
  </si>
  <si>
    <t>Amazon</t>
  </si>
  <si>
    <t>Intel</t>
  </si>
  <si>
    <t>Pfizer</t>
  </si>
  <si>
    <t>Starbucks</t>
  </si>
  <si>
    <t>IBM</t>
  </si>
  <si>
    <t>McDonald's</t>
  </si>
  <si>
    <t>Coca-Cola</t>
  </si>
  <si>
    <t>Cambell Soup</t>
  </si>
  <si>
    <t xml:space="preserve">CAPM. Required rate of return = (Rm - Rf) x Beta + Rf </t>
  </si>
  <si>
    <t>Walmart</t>
  </si>
  <si>
    <t>Y = ax + b</t>
  </si>
  <si>
    <t>Newmont Mining</t>
  </si>
  <si>
    <t>Y axix = Required(Expected) Rate of Return of each stock</t>
  </si>
  <si>
    <t>PG&amp;E</t>
  </si>
  <si>
    <t xml:space="preserve">X axis = Beta </t>
  </si>
  <si>
    <t>Step 2. Click on any dot with the right mouse &lt; Add Trendline</t>
  </si>
  <si>
    <t>S&amp;P500 (Market rate)</t>
  </si>
  <si>
    <t xml:space="preserve"> =$C$27+($C$26-$C$27)*D26</t>
  </si>
  <si>
    <t>Slope = Market Premium = (Rm - Rf) = 7.8%</t>
  </si>
  <si>
    <t>Step 3. Click on the line and Click Display Equation at the bottom.</t>
  </si>
  <si>
    <t>T-bill (Risk free rate)</t>
  </si>
  <si>
    <t xml:space="preserve"> =$C$27+($C$26-$C$27)*D27</t>
  </si>
  <si>
    <t xml:space="preserve">b(y-intercept) = Rf </t>
  </si>
  <si>
    <t>Q2. Why should all the stocks be on the SML?</t>
  </si>
  <si>
    <t xml:space="preserve">All the stocks are sharing the same slope of the Market Premium and the same y-intercept of </t>
  </si>
  <si>
    <t>the Risk free rate.</t>
  </si>
  <si>
    <t>a. Calculate the expected rate of return using DDM. Should you buy it considering CAPM?</t>
  </si>
  <si>
    <t>Expected rate of return (%)</t>
  </si>
  <si>
    <t xml:space="preserve"> r = (D1/P) + g</t>
  </si>
  <si>
    <t>Required rate of return (%)</t>
  </si>
  <si>
    <t xml:space="preserve"> E18</t>
  </si>
  <si>
    <t>Should buy or not</t>
  </si>
  <si>
    <t xml:space="preserve">Not Buy. </t>
  </si>
  <si>
    <t>Why?</t>
  </si>
  <si>
    <t xml:space="preserve">Expected rate of return &lt; Required rate of return </t>
  </si>
  <si>
    <t>b. Calculate the stock price using DDM. Should you buy it considering CAPM?</t>
  </si>
  <si>
    <t>Current stock price ($)</t>
  </si>
  <si>
    <t>Intrinsic value of stock by DDM ($)</t>
  </si>
  <si>
    <t>P = D1 / (r-g)</t>
  </si>
  <si>
    <t>Current stock price &gt; Intrinsic value of stock</t>
  </si>
  <si>
    <t>Measuring Required rate of return on Portfolio</t>
  </si>
  <si>
    <t>Rosa Rugonis, a portfolio manager, receives a bequest of $1 million and decides to invest it as follows:</t>
  </si>
  <si>
    <t>$200,000 each in Ford, Starbucks, Union Pacific and IBM and $100,000 each in Newmont Mining and Walmart.</t>
  </si>
  <si>
    <t xml:space="preserve">Analyze her investment portfolio with expected return and required return. </t>
  </si>
  <si>
    <t>Investment ($)</t>
  </si>
  <si>
    <t>Investment portion (%)</t>
  </si>
  <si>
    <t xml:space="preserve"> =E9/$E$31 and drag down</t>
  </si>
  <si>
    <t xml:space="preserve"> =E10/$E$31</t>
  </si>
  <si>
    <t xml:space="preserve"> =E11/$E$31</t>
  </si>
  <si>
    <t>S&amp;P500</t>
  </si>
  <si>
    <t>T-bill</t>
  </si>
  <si>
    <t>Total Investment</t>
  </si>
  <si>
    <t xml:space="preserve"> =E31/$E$31</t>
  </si>
  <si>
    <t>Portfolio Beta</t>
  </si>
  <si>
    <t xml:space="preserve"> =SUMPRODUCT(D9:D30,F9:F30)</t>
  </si>
  <si>
    <t xml:space="preserve"> =SUM(E9:E30)</t>
  </si>
  <si>
    <t>Required rate of return of the Pf, CAPM (%)</t>
  </si>
  <si>
    <t xml:space="preserve"> =C30+(C29-C30)*C32</t>
  </si>
  <si>
    <t>Expected rate of return of the Pf (%)</t>
  </si>
  <si>
    <t xml:space="preserve"> =C30+(C29-C30)*C33</t>
  </si>
  <si>
    <t>Invest / Not invest Pf</t>
  </si>
  <si>
    <t>*Risk premium along the CAL = StdDev of portfolio times the slope of the optimal risky portfolio (Optimal Sharpe ratio)</t>
  </si>
  <si>
    <t>Risk Prem on CAL*</t>
  </si>
  <si>
    <t>U.S. wegiht</t>
  </si>
  <si>
    <t>Canada, weight</t>
  </si>
  <si>
    <t>S&amp;P</t>
  </si>
  <si>
    <t>Var.</t>
  </si>
  <si>
    <t xml:space="preserve">Pf Mean </t>
  </si>
  <si>
    <r>
      <t>w*</t>
    </r>
    <r>
      <rPr>
        <b/>
        <sz val="12"/>
        <rFont val="Times New Roman"/>
        <family val="1"/>
      </rPr>
      <t>(</t>
    </r>
    <r>
      <rPr>
        <b/>
        <i/>
        <sz val="12"/>
        <rFont val="Times New Roman"/>
        <family val="1"/>
      </rPr>
      <t>Optimal Risky Pf</t>
    </r>
    <r>
      <rPr>
        <b/>
        <sz val="12"/>
        <rFont val="Times New Roman"/>
        <family val="1"/>
      </rPr>
      <t>)</t>
    </r>
  </si>
  <si>
    <t xml:space="preserve"> = Active Pf Specifc performance</t>
  </si>
  <si>
    <t xml:space="preserve"> / Alpha of the Active Pf</t>
  </si>
  <si>
    <t xml:space="preserve"> / Market Specific performance</t>
  </si>
  <si>
    <t xml:space="preserve"> = Initial position in Active Pf</t>
  </si>
  <si>
    <t xml:space="preserve"> / Residual Variance of each security</t>
  </si>
  <si>
    <t xml:space="preserve"> = Initial position of each security</t>
  </si>
  <si>
    <r>
      <t xml:space="preserve">Total Risk Premium </t>
    </r>
    <r>
      <rPr>
        <b/>
        <i/>
        <sz val="12"/>
        <color theme="1"/>
        <rFont val="Times New Roman"/>
        <family val="1"/>
      </rPr>
      <t>E(R)</t>
    </r>
  </si>
  <si>
    <t>Part II. CAPM</t>
  </si>
  <si>
    <t>Expected rate of return on Equity by CAPM**</t>
  </si>
  <si>
    <t>rf (3Month T-bill, %)*</t>
  </si>
  <si>
    <t>rm (S&amp;P500, %)*</t>
  </si>
  <si>
    <t>Beta &amp; CAPM</t>
  </si>
  <si>
    <t xml:space="preserve">Q3. Starbucks' stock price is now $58, Expected Dividend is $2 and will grow 3% forever. </t>
  </si>
  <si>
    <t>(Expected Rate of Return vs. Required Rate of Return) Return to the Slide.</t>
  </si>
  <si>
    <t>Rp = Pf Shape x Pf Std Dev</t>
  </si>
  <si>
    <t>SD of Residual (e)</t>
  </si>
  <si>
    <t>Security Allocation. Markowitz Optimal Portfolio with Sharpe Ratio</t>
  </si>
  <si>
    <t>Security Allocation. Markowitz Full Covariance Model</t>
  </si>
  <si>
    <t xml:space="preserve"> = Squared scaled initial position of each security 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</si>
</sst>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0"/>
    <numFmt numFmtId="165" formatCode="0.0000000000000000"/>
    <numFmt numFmtId="166" formatCode="0.000"/>
    <numFmt numFmtId="167" formatCode="0.000000"/>
    <numFmt numFmtId="168" formatCode="0.00000"/>
    <numFmt numFmtId="169" formatCode="_(* #,##0_);_(* \(#,##0\);_(* &quot;-&quot;??_);_(@_)"/>
    <numFmt numFmtId="170" formatCode="0.0"/>
  </numFmts>
  <fonts count="5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b/>
      <sz val="14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name val="Times New Roman"/>
      <family val="1"/>
    </font>
    <font>
      <b/>
      <sz val="11"/>
      <color theme="1"/>
      <name val="Times New Roman"/>
      <family val="1"/>
    </font>
    <font>
      <i/>
      <sz val="12"/>
      <color theme="1"/>
      <name val="Times New Roman"/>
      <family val="1"/>
    </font>
    <font>
      <i/>
      <vertAlign val="subscript"/>
      <sz val="12"/>
      <name val="Times New Roman"/>
      <family val="1"/>
    </font>
    <font>
      <b/>
      <i/>
      <sz val="12"/>
      <name val="Times New Roman"/>
      <family val="1"/>
    </font>
    <font>
      <b/>
      <i/>
      <sz val="12"/>
      <color theme="1"/>
      <name val="Times New Roman"/>
      <family val="1"/>
    </font>
    <font>
      <sz val="12"/>
      <name val="Symbol"/>
      <family val="1"/>
      <charset val="2"/>
    </font>
    <font>
      <vertAlign val="superscript"/>
      <sz val="12"/>
      <name val="Verdana"/>
      <family val="2"/>
    </font>
    <font>
      <sz val="12"/>
      <name val="Verdana"/>
      <family val="2"/>
    </font>
    <font>
      <i/>
      <sz val="12"/>
      <name val="Calibri"/>
      <family val="2"/>
      <scheme val="minor"/>
    </font>
    <font>
      <i/>
      <vertAlign val="subscript"/>
      <sz val="12"/>
      <name val="Calibri"/>
      <family val="2"/>
      <scheme val="minor"/>
    </font>
    <font>
      <sz val="12"/>
      <name val="Calibri"/>
      <family val="2"/>
      <scheme val="minor"/>
    </font>
    <font>
      <vertAlign val="superscript"/>
      <sz val="12"/>
      <name val="Symbol"/>
      <family val="1"/>
      <charset val="2"/>
    </font>
    <font>
      <vertAlign val="superscript"/>
      <sz val="12"/>
      <name val="Calibri"/>
      <family val="2"/>
      <scheme val="minor"/>
    </font>
    <font>
      <i/>
      <vertAlign val="subscript"/>
      <sz val="12"/>
      <name val="Verdana"/>
      <family val="2"/>
    </font>
    <font>
      <i/>
      <sz val="12"/>
      <color theme="1"/>
      <name val="Calibri"/>
      <family val="2"/>
      <scheme val="minor"/>
    </font>
    <font>
      <i/>
      <vertAlign val="subscript"/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i/>
      <vertAlign val="superscript"/>
      <sz val="12"/>
      <color theme="1"/>
      <name val="Calibri"/>
      <family val="2"/>
      <scheme val="minor"/>
    </font>
    <font>
      <sz val="9"/>
      <name val="Symbol"/>
      <family val="1"/>
      <charset val="2"/>
    </font>
    <font>
      <b/>
      <sz val="12"/>
      <color rgb="FFC00000"/>
      <name val="Times New Roman"/>
      <family val="1"/>
    </font>
    <font>
      <sz val="12"/>
      <color rgb="FFC00000"/>
      <name val="Times New Roman"/>
      <family val="1"/>
    </font>
    <font>
      <u/>
      <sz val="12"/>
      <color theme="10"/>
      <name val="Calibri"/>
      <family val="2"/>
      <scheme val="minor"/>
    </font>
    <font>
      <b/>
      <i/>
      <sz val="18"/>
      <name val="Times New Roman"/>
      <family val="1"/>
    </font>
    <font>
      <b/>
      <sz val="24"/>
      <name val="Times New Roman"/>
      <family val="1"/>
    </font>
    <font>
      <b/>
      <i/>
      <sz val="12"/>
      <color rgb="FFC00000"/>
      <name val="Times New Roman"/>
      <family val="1"/>
    </font>
    <font>
      <i/>
      <sz val="12"/>
      <color rgb="FFC00000"/>
      <name val="Times New Roman"/>
      <family val="1"/>
    </font>
    <font>
      <b/>
      <sz val="20"/>
      <color theme="1"/>
      <name val="Times New Roman"/>
      <family val="1"/>
    </font>
    <font>
      <sz val="12"/>
      <color theme="0"/>
      <name val="Times New Roman"/>
      <family val="1"/>
    </font>
    <font>
      <b/>
      <i/>
      <sz val="16"/>
      <color theme="1"/>
      <name val="Times New Roman"/>
      <family val="1"/>
    </font>
    <font>
      <b/>
      <sz val="16"/>
      <color theme="1"/>
      <name val="Times New Roman"/>
      <family val="1"/>
    </font>
    <font>
      <i/>
      <sz val="12"/>
      <color rgb="FF000000"/>
      <name val="Times New Roman"/>
      <family val="1"/>
    </font>
    <font>
      <i/>
      <u/>
      <sz val="12"/>
      <color rgb="FF000000"/>
      <name val="Times New Roman"/>
      <family val="1"/>
    </font>
    <font>
      <b/>
      <i/>
      <sz val="14"/>
      <color theme="1"/>
      <name val="Times New Roman"/>
      <family val="1"/>
    </font>
    <font>
      <sz val="12"/>
      <color rgb="FF000000"/>
      <name val="Times New Roman"/>
      <family val="1"/>
    </font>
    <font>
      <u/>
      <sz val="12"/>
      <color theme="10"/>
      <name val="Times New Roman"/>
      <family val="1"/>
    </font>
    <font>
      <sz val="14"/>
      <color theme="1"/>
      <name val="Times New Roman"/>
      <family val="1"/>
    </font>
    <font>
      <b/>
      <sz val="22"/>
      <color theme="0"/>
      <name val="Times New Roman"/>
      <family val="1"/>
    </font>
    <font>
      <b/>
      <sz val="18"/>
      <color theme="0"/>
      <name val="Times New Roman"/>
      <family val="1"/>
    </font>
    <font>
      <b/>
      <sz val="14"/>
      <color theme="0"/>
      <name val="Times New Roman"/>
      <family val="1"/>
    </font>
    <font>
      <i/>
      <sz val="12"/>
      <color theme="0"/>
      <name val="Times New Roman"/>
      <family val="1"/>
    </font>
    <font>
      <b/>
      <sz val="14"/>
      <color rgb="FFC00000"/>
      <name val="Times New Roman"/>
      <family val="1"/>
    </font>
    <font>
      <b/>
      <i/>
      <sz val="14"/>
      <color rgb="FFC00000"/>
      <name val="Times New Roman"/>
      <family val="1"/>
    </font>
    <font>
      <sz val="18"/>
      <color theme="0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8FFD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3" fillId="0" borderId="0"/>
    <xf numFmtId="0" fontId="4" fillId="0" borderId="0"/>
    <xf numFmtId="0" fontId="2" fillId="0" borderId="0"/>
    <xf numFmtId="43" fontId="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65">
    <xf numFmtId="0" fontId="0" fillId="0" borderId="0" xfId="0"/>
    <xf numFmtId="0" fontId="5" fillId="0" borderId="0" xfId="5" applyFont="1" applyAlignment="1">
      <alignment vertical="center"/>
    </xf>
    <xf numFmtId="0" fontId="6" fillId="0" borderId="0" xfId="5" applyFont="1" applyAlignment="1">
      <alignment vertical="center"/>
    </xf>
    <xf numFmtId="0" fontId="7" fillId="0" borderId="2" xfId="5" applyFont="1" applyBorder="1" applyAlignment="1">
      <alignment vertical="center"/>
    </xf>
    <xf numFmtId="0" fontId="6" fillId="0" borderId="3" xfId="5" applyFont="1" applyBorder="1" applyAlignment="1">
      <alignment horizontal="left" vertical="center"/>
    </xf>
    <xf numFmtId="0" fontId="6" fillId="0" borderId="1" xfId="5" applyFont="1" applyBorder="1" applyAlignment="1">
      <alignment horizontal="right" vertical="center"/>
    </xf>
    <xf numFmtId="0" fontId="6" fillId="0" borderId="3" xfId="5" applyFont="1" applyBorder="1" applyAlignment="1">
      <alignment horizontal="right" vertical="center"/>
    </xf>
    <xf numFmtId="0" fontId="5" fillId="0" borderId="2" xfId="5" applyFont="1" applyBorder="1" applyAlignment="1">
      <alignment horizontal="left" vertical="center"/>
    </xf>
    <xf numFmtId="0" fontId="5" fillId="0" borderId="0" xfId="5" applyFont="1" applyAlignment="1">
      <alignment horizontal="right" vertical="center"/>
    </xf>
    <xf numFmtId="0" fontId="7" fillId="0" borderId="2" xfId="5" applyFont="1" applyBorder="1" applyAlignment="1">
      <alignment horizontal="left" vertical="center"/>
    </xf>
    <xf numFmtId="0" fontId="6" fillId="0" borderId="3" xfId="5" applyFont="1" applyBorder="1" applyAlignment="1">
      <alignment horizontal="left" vertical="center" wrapText="1"/>
    </xf>
    <xf numFmtId="0" fontId="5" fillId="0" borderId="1" xfId="5" applyFont="1" applyBorder="1" applyAlignment="1">
      <alignment horizontal="right" vertical="center"/>
    </xf>
    <xf numFmtId="0" fontId="7" fillId="0" borderId="0" xfId="5" applyFont="1" applyAlignment="1">
      <alignment horizontal="left" vertical="center"/>
    </xf>
    <xf numFmtId="0" fontId="7" fillId="0" borderId="0" xfId="5" applyFont="1" applyAlignment="1">
      <alignment vertical="center"/>
    </xf>
    <xf numFmtId="0" fontId="6" fillId="0" borderId="2" xfId="5" applyFont="1" applyBorder="1" applyAlignment="1">
      <alignment horizontal="left" vertical="center"/>
    </xf>
    <xf numFmtId="0" fontId="5" fillId="6" borderId="1" xfId="5" applyFont="1" applyFill="1" applyBorder="1" applyAlignment="1">
      <alignment horizontal="right" vertical="center"/>
    </xf>
    <xf numFmtId="166" fontId="5" fillId="6" borderId="2" xfId="5" applyNumberFormat="1" applyFont="1" applyFill="1" applyBorder="1" applyAlignment="1">
      <alignment horizontal="left" vertical="center"/>
    </xf>
    <xf numFmtId="164" fontId="5" fillId="7" borderId="0" xfId="5" applyNumberFormat="1" applyFont="1" applyFill="1" applyAlignment="1">
      <alignment horizontal="right" vertical="center"/>
    </xf>
    <xf numFmtId="166" fontId="5" fillId="6" borderId="3" xfId="5" applyNumberFormat="1" applyFont="1" applyFill="1" applyBorder="1" applyAlignment="1">
      <alignment horizontal="left" vertical="center"/>
    </xf>
    <xf numFmtId="164" fontId="5" fillId="7" borderId="1" xfId="5" applyNumberFormat="1" applyFont="1" applyFill="1" applyBorder="1" applyAlignment="1">
      <alignment horizontal="right" vertical="center"/>
    </xf>
    <xf numFmtId="164" fontId="6" fillId="0" borderId="1" xfId="5" applyNumberFormat="1" applyFont="1" applyBorder="1" applyAlignment="1">
      <alignment horizontal="left" vertical="center"/>
    </xf>
    <xf numFmtId="164" fontId="5" fillId="0" borderId="1" xfId="5" applyNumberFormat="1" applyFont="1" applyBorder="1" applyAlignment="1">
      <alignment vertical="center"/>
    </xf>
    <xf numFmtId="164" fontId="5" fillId="0" borderId="0" xfId="5" applyNumberFormat="1" applyFont="1" applyAlignment="1">
      <alignment horizontal="right" vertical="center"/>
    </xf>
    <xf numFmtId="164" fontId="5" fillId="7" borderId="0" xfId="5" applyNumberFormat="1" applyFont="1" applyFill="1" applyAlignment="1">
      <alignment vertical="center"/>
    </xf>
    <xf numFmtId="2" fontId="5" fillId="0" borderId="0" xfId="5" applyNumberFormat="1" applyFont="1" applyAlignment="1">
      <alignment vertical="center"/>
    </xf>
    <xf numFmtId="0" fontId="7" fillId="0" borderId="0" xfId="5" applyFont="1" applyAlignment="1" applyProtection="1">
      <alignment vertical="center"/>
      <protection locked="0"/>
    </xf>
    <xf numFmtId="164" fontId="5" fillId="6" borderId="1" xfId="5" applyNumberFormat="1" applyFont="1" applyFill="1" applyBorder="1" applyAlignment="1">
      <alignment horizontal="right" vertical="center"/>
    </xf>
    <xf numFmtId="164" fontId="5" fillId="7" borderId="1" xfId="5" applyNumberFormat="1" applyFont="1" applyFill="1" applyBorder="1" applyAlignment="1">
      <alignment vertical="center"/>
    </xf>
    <xf numFmtId="164" fontId="5" fillId="0" borderId="0" xfId="5" applyNumberFormat="1" applyFont="1" applyAlignment="1">
      <alignment vertical="center"/>
    </xf>
    <xf numFmtId="0" fontId="5" fillId="0" borderId="1" xfId="5" applyFont="1" applyBorder="1" applyAlignment="1">
      <alignment horizontal="center" vertical="center"/>
    </xf>
    <xf numFmtId="0" fontId="5" fillId="0" borderId="3" xfId="5" applyFont="1" applyBorder="1" applyAlignment="1">
      <alignment horizontal="center" vertical="center"/>
    </xf>
    <xf numFmtId="2" fontId="5" fillId="6" borderId="0" xfId="5" applyNumberFormat="1" applyFont="1" applyFill="1" applyAlignment="1">
      <alignment horizontal="center" vertical="center"/>
    </xf>
    <xf numFmtId="164" fontId="5" fillId="6" borderId="2" xfId="5" applyNumberFormat="1" applyFont="1" applyFill="1" applyBorder="1" applyAlignment="1">
      <alignment horizontal="center" vertical="center"/>
    </xf>
    <xf numFmtId="164" fontId="5" fillId="5" borderId="0" xfId="5" applyNumberFormat="1" applyFont="1" applyFill="1" applyAlignment="1">
      <alignment horizontal="center" vertical="center"/>
    </xf>
    <xf numFmtId="0" fontId="8" fillId="0" borderId="0" xfId="6" applyFont="1" applyAlignment="1">
      <alignment vertical="center"/>
    </xf>
    <xf numFmtId="0" fontId="9" fillId="0" borderId="0" xfId="6" applyFont="1" applyAlignment="1">
      <alignment vertical="center"/>
    </xf>
    <xf numFmtId="0" fontId="10" fillId="0" borderId="1" xfId="6" applyFont="1" applyBorder="1" applyAlignment="1">
      <alignment vertical="center"/>
    </xf>
    <xf numFmtId="0" fontId="11" fillId="0" borderId="1" xfId="6" applyFont="1" applyBorder="1" applyAlignment="1">
      <alignment vertical="center"/>
    </xf>
    <xf numFmtId="0" fontId="5" fillId="4" borderId="0" xfId="5" applyFont="1" applyFill="1" applyAlignment="1">
      <alignment vertical="center"/>
    </xf>
    <xf numFmtId="166" fontId="5" fillId="0" borderId="0" xfId="5" applyNumberFormat="1" applyFont="1" applyAlignment="1">
      <alignment vertical="center"/>
    </xf>
    <xf numFmtId="166" fontId="5" fillId="0" borderId="0" xfId="5" applyNumberFormat="1" applyFont="1" applyAlignment="1">
      <alignment vertical="center" wrapText="1"/>
    </xf>
    <xf numFmtId="0" fontId="7" fillId="0" borderId="1" xfId="5" applyFont="1" applyBorder="1" applyAlignment="1">
      <alignment vertical="center"/>
    </xf>
    <xf numFmtId="0" fontId="11" fillId="0" borderId="0" xfId="6" applyFont="1" applyAlignment="1">
      <alignment vertical="center"/>
    </xf>
    <xf numFmtId="0" fontId="5" fillId="0" borderId="10" xfId="5" applyFont="1" applyBorder="1" applyAlignment="1">
      <alignment vertical="center"/>
    </xf>
    <xf numFmtId="164" fontId="5" fillId="2" borderId="1" xfId="5" applyNumberFormat="1" applyFont="1" applyFill="1" applyBorder="1" applyAlignment="1">
      <alignment horizontal="right" vertical="center"/>
    </xf>
    <xf numFmtId="0" fontId="5" fillId="4" borderId="1" xfId="5" applyFont="1" applyFill="1" applyBorder="1" applyAlignment="1">
      <alignment horizontal="right" vertical="center"/>
    </xf>
    <xf numFmtId="164" fontId="5" fillId="8" borderId="0" xfId="5" applyNumberFormat="1" applyFont="1" applyFill="1" applyAlignment="1">
      <alignment vertical="center"/>
    </xf>
    <xf numFmtId="0" fontId="5" fillId="4" borderId="1" xfId="5" applyFont="1" applyFill="1" applyBorder="1" applyAlignment="1">
      <alignment vertical="center"/>
    </xf>
    <xf numFmtId="164" fontId="5" fillId="8" borderId="1" xfId="5" applyNumberFormat="1" applyFont="1" applyFill="1" applyBorder="1" applyAlignment="1">
      <alignment vertical="center"/>
    </xf>
    <xf numFmtId="164" fontId="6" fillId="0" borderId="10" xfId="5" applyNumberFormat="1" applyFont="1" applyBorder="1" applyAlignment="1">
      <alignment horizontal="left" vertical="center"/>
    </xf>
    <xf numFmtId="164" fontId="6" fillId="2" borderId="0" xfId="5" applyNumberFormat="1" applyFont="1" applyFill="1" applyAlignment="1">
      <alignment vertical="center"/>
    </xf>
    <xf numFmtId="0" fontId="6" fillId="0" borderId="1" xfId="5" applyFont="1" applyBorder="1" applyAlignment="1">
      <alignment vertical="center"/>
    </xf>
    <xf numFmtId="0" fontId="11" fillId="0" borderId="3" xfId="6" applyFont="1" applyBorder="1" applyAlignment="1">
      <alignment vertical="center" wrapText="1"/>
    </xf>
    <xf numFmtId="0" fontId="9" fillId="0" borderId="1" xfId="6" applyFont="1" applyBorder="1" applyAlignment="1">
      <alignment vertical="center" wrapText="1"/>
    </xf>
    <xf numFmtId="0" fontId="11" fillId="2" borderId="1" xfId="6" applyFont="1" applyFill="1" applyBorder="1" applyAlignment="1">
      <alignment horizontal="right" vertical="center" wrapText="1"/>
    </xf>
    <xf numFmtId="0" fontId="9" fillId="0" borderId="0" xfId="6" applyFont="1" applyAlignment="1">
      <alignment vertical="center" wrapText="1"/>
    </xf>
    <xf numFmtId="0" fontId="6" fillId="0" borderId="2" xfId="5" applyFont="1" applyBorder="1" applyAlignment="1">
      <alignment vertical="center"/>
    </xf>
    <xf numFmtId="164" fontId="6" fillId="0" borderId="0" xfId="5" applyNumberFormat="1" applyFont="1" applyAlignment="1">
      <alignment vertical="center"/>
    </xf>
    <xf numFmtId="0" fontId="6" fillId="0" borderId="3" xfId="5" applyFont="1" applyBorder="1" applyAlignment="1">
      <alignment vertical="center"/>
    </xf>
    <xf numFmtId="164" fontId="6" fillId="0" borderId="1" xfId="5" applyNumberFormat="1" applyFont="1" applyBorder="1" applyAlignment="1">
      <alignment vertical="center"/>
    </xf>
    <xf numFmtId="164" fontId="6" fillId="2" borderId="1" xfId="5" applyNumberFormat="1" applyFont="1" applyFill="1" applyBorder="1" applyAlignment="1">
      <alignment vertical="center"/>
    </xf>
    <xf numFmtId="0" fontId="5" fillId="4" borderId="2" xfId="5" applyFont="1" applyFill="1" applyBorder="1" applyAlignment="1">
      <alignment vertical="center"/>
    </xf>
    <xf numFmtId="0" fontId="5" fillId="4" borderId="3" xfId="5" applyFont="1" applyFill="1" applyBorder="1" applyAlignment="1">
      <alignment vertical="center"/>
    </xf>
    <xf numFmtId="0" fontId="13" fillId="0" borderId="1" xfId="2" applyFont="1" applyBorder="1" applyAlignment="1">
      <alignment horizontal="center" vertical="center" wrapText="1"/>
    </xf>
    <xf numFmtId="0" fontId="11" fillId="0" borderId="2" xfId="3" applyFont="1" applyBorder="1" applyAlignment="1">
      <alignment horizontal="left" vertical="center"/>
    </xf>
    <xf numFmtId="0" fontId="11" fillId="0" borderId="3" xfId="3" applyFont="1" applyBorder="1" applyAlignment="1">
      <alignment horizontal="left" vertical="center"/>
    </xf>
    <xf numFmtId="0" fontId="9" fillId="0" borderId="0" xfId="2" applyFont="1" applyAlignment="1">
      <alignment vertical="center"/>
    </xf>
    <xf numFmtId="0" fontId="11" fillId="0" borderId="1" xfId="2" applyFont="1" applyBorder="1" applyAlignment="1">
      <alignment horizontal="left" vertical="center"/>
    </xf>
    <xf numFmtId="0" fontId="9" fillId="0" borderId="9" xfId="2" applyFont="1" applyBorder="1" applyAlignment="1">
      <alignment vertical="center"/>
    </xf>
    <xf numFmtId="0" fontId="11" fillId="0" borderId="1" xfId="2" applyFont="1" applyBorder="1" applyAlignment="1">
      <alignment horizontal="center" vertical="center" wrapText="1"/>
    </xf>
    <xf numFmtId="164" fontId="9" fillId="0" borderId="0" xfId="2" applyNumberFormat="1" applyFont="1" applyAlignment="1">
      <alignment horizontal="center" vertical="center"/>
    </xf>
    <xf numFmtId="164" fontId="9" fillId="3" borderId="0" xfId="2" applyNumberFormat="1" applyFont="1" applyFill="1" applyAlignment="1">
      <alignment horizontal="center" vertical="center"/>
    </xf>
    <xf numFmtId="168" fontId="9" fillId="0" borderId="0" xfId="2" applyNumberFormat="1" applyFont="1" applyAlignment="1">
      <alignment vertical="center"/>
    </xf>
    <xf numFmtId="165" fontId="9" fillId="0" borderId="0" xfId="2" applyNumberFormat="1" applyFont="1" applyAlignment="1">
      <alignment vertical="center"/>
    </xf>
    <xf numFmtId="164" fontId="9" fillId="0" borderId="1" xfId="2" applyNumberFormat="1" applyFont="1" applyBorder="1" applyAlignment="1">
      <alignment horizontal="center" vertical="center"/>
    </xf>
    <xf numFmtId="164" fontId="9" fillId="3" borderId="1" xfId="2" applyNumberFormat="1" applyFont="1" applyFill="1" applyBorder="1" applyAlignment="1">
      <alignment horizontal="center" vertical="center"/>
    </xf>
    <xf numFmtId="0" fontId="9" fillId="0" borderId="1" xfId="2" applyFont="1" applyBorder="1" applyAlignment="1">
      <alignment vertical="center"/>
    </xf>
    <xf numFmtId="0" fontId="11" fillId="0" borderId="10" xfId="2" applyFont="1" applyBorder="1" applyAlignment="1">
      <alignment horizontal="right" vertical="center"/>
    </xf>
    <xf numFmtId="0" fontId="14" fillId="0" borderId="0" xfId="2" applyFont="1" applyAlignment="1">
      <alignment horizontal="center" vertical="center"/>
    </xf>
    <xf numFmtId="166" fontId="9" fillId="0" borderId="0" xfId="2" applyNumberFormat="1" applyFont="1" applyAlignment="1">
      <alignment vertical="center"/>
    </xf>
    <xf numFmtId="166" fontId="9" fillId="0" borderId="1" xfId="2" applyNumberFormat="1" applyFont="1" applyBorder="1" applyAlignment="1">
      <alignment vertical="center"/>
    </xf>
    <xf numFmtId="0" fontId="11" fillId="0" borderId="1" xfId="2" applyFont="1" applyBorder="1" applyAlignment="1">
      <alignment horizontal="right" vertical="center"/>
    </xf>
    <xf numFmtId="0" fontId="11" fillId="0" borderId="1" xfId="2" applyFont="1" applyBorder="1" applyAlignment="1">
      <alignment horizontal="center" vertical="center"/>
    </xf>
    <xf numFmtId="0" fontId="11" fillId="0" borderId="3" xfId="2" applyFont="1" applyBorder="1" applyAlignment="1">
      <alignment horizontal="right" vertical="center"/>
    </xf>
    <xf numFmtId="164" fontId="11" fillId="0" borderId="1" xfId="2" applyNumberFormat="1" applyFont="1" applyBorder="1" applyAlignment="1">
      <alignment vertical="center"/>
    </xf>
    <xf numFmtId="164" fontId="11" fillId="0" borderId="2" xfId="2" applyNumberFormat="1" applyFont="1" applyBorder="1" applyAlignment="1">
      <alignment vertical="center"/>
    </xf>
    <xf numFmtId="164" fontId="9" fillId="2" borderId="0" xfId="2" applyNumberFormat="1" applyFont="1" applyFill="1" applyAlignment="1">
      <alignment vertical="center"/>
    </xf>
    <xf numFmtId="164" fontId="9" fillId="0" borderId="0" xfId="2" applyNumberFormat="1" applyFont="1" applyAlignment="1">
      <alignment vertical="center"/>
    </xf>
    <xf numFmtId="164" fontId="11" fillId="0" borderId="3" xfId="2" applyNumberFormat="1" applyFont="1" applyBorder="1" applyAlignment="1">
      <alignment vertical="center"/>
    </xf>
    <xf numFmtId="164" fontId="9" fillId="2" borderId="1" xfId="2" applyNumberFormat="1" applyFont="1" applyFill="1" applyBorder="1" applyAlignment="1">
      <alignment vertical="center"/>
    </xf>
    <xf numFmtId="0" fontId="11" fillId="0" borderId="2" xfId="2" applyFont="1" applyBorder="1" applyAlignment="1">
      <alignment vertical="center"/>
    </xf>
    <xf numFmtId="0" fontId="11" fillId="0" borderId="3" xfId="2" applyFont="1" applyBorder="1" applyAlignment="1">
      <alignment vertical="center"/>
    </xf>
    <xf numFmtId="167" fontId="9" fillId="0" borderId="0" xfId="2" applyNumberFormat="1" applyFont="1" applyAlignment="1">
      <alignment vertical="center"/>
    </xf>
    <xf numFmtId="0" fontId="11" fillId="0" borderId="9" xfId="2" applyFont="1" applyBorder="1" applyAlignment="1">
      <alignment horizontal="left" vertical="center"/>
    </xf>
    <xf numFmtId="0" fontId="16" fillId="0" borderId="3" xfId="3" applyFont="1" applyBorder="1" applyAlignment="1">
      <alignment vertical="center"/>
    </xf>
    <xf numFmtId="0" fontId="11" fillId="0" borderId="9" xfId="2" applyFont="1" applyBorder="1" applyAlignment="1">
      <alignment horizontal="right" vertical="center"/>
    </xf>
    <xf numFmtId="0" fontId="5" fillId="0" borderId="2" xfId="3" applyFont="1" applyBorder="1" applyAlignment="1">
      <alignment vertical="center"/>
    </xf>
    <xf numFmtId="0" fontId="11" fillId="0" borderId="9" xfId="2" applyFont="1" applyBorder="1" applyAlignment="1">
      <alignment vertical="center" wrapText="1"/>
    </xf>
    <xf numFmtId="0" fontId="11" fillId="0" borderId="1" xfId="2" applyFont="1" applyBorder="1" applyAlignment="1">
      <alignment vertical="center"/>
    </xf>
    <xf numFmtId="164" fontId="9" fillId="3" borderId="1" xfId="2" applyNumberFormat="1" applyFont="1" applyFill="1" applyBorder="1" applyAlignment="1">
      <alignment vertical="center"/>
    </xf>
    <xf numFmtId="164" fontId="9" fillId="0" borderId="4" xfId="2" applyNumberFormat="1" applyFont="1" applyBorder="1" applyAlignment="1">
      <alignment horizontal="center" vertical="center"/>
    </xf>
    <xf numFmtId="164" fontId="9" fillId="0" borderId="0" xfId="2" applyNumberFormat="1" applyFont="1" applyAlignment="1">
      <alignment horizontal="right" vertical="center"/>
    </xf>
    <xf numFmtId="0" fontId="18" fillId="0" borderId="2" xfId="3" applyFont="1" applyBorder="1" applyAlignment="1">
      <alignment vertical="center"/>
    </xf>
    <xf numFmtId="0" fontId="21" fillId="0" borderId="2" xfId="3" applyFont="1" applyBorder="1" applyAlignment="1">
      <alignment vertical="center"/>
    </xf>
    <xf numFmtId="0" fontId="27" fillId="0" borderId="2" xfId="3" applyFont="1" applyBorder="1" applyAlignment="1">
      <alignment vertical="center"/>
    </xf>
    <xf numFmtId="0" fontId="18" fillId="0" borderId="3" xfId="3" applyFont="1" applyBorder="1" applyAlignment="1">
      <alignment vertical="center"/>
    </xf>
    <xf numFmtId="166" fontId="9" fillId="9" borderId="0" xfId="2" applyNumberFormat="1" applyFont="1" applyFill="1" applyAlignment="1">
      <alignment vertical="center"/>
    </xf>
    <xf numFmtId="166" fontId="9" fillId="9" borderId="1" xfId="2" applyNumberFormat="1" applyFont="1" applyFill="1" applyBorder="1" applyAlignment="1">
      <alignment vertical="center"/>
    </xf>
    <xf numFmtId="0" fontId="11" fillId="9" borderId="1" xfId="2" applyFont="1" applyFill="1" applyBorder="1" applyAlignment="1">
      <alignment horizontal="right" vertical="center"/>
    </xf>
    <xf numFmtId="0" fontId="32" fillId="0" borderId="2" xfId="2" applyFont="1" applyBorder="1" applyAlignment="1">
      <alignment vertical="center"/>
    </xf>
    <xf numFmtId="0" fontId="33" fillId="0" borderId="0" xfId="2" applyFont="1" applyAlignment="1">
      <alignment vertical="center"/>
    </xf>
    <xf numFmtId="0" fontId="35" fillId="0" borderId="0" xfId="5" applyFont="1" applyAlignment="1">
      <alignment vertical="center"/>
    </xf>
    <xf numFmtId="0" fontId="36" fillId="0" borderId="0" xfId="5" applyFont="1" applyAlignment="1">
      <alignment vertical="center"/>
    </xf>
    <xf numFmtId="0" fontId="17" fillId="0" borderId="0" xfId="5" applyFont="1" applyAlignment="1">
      <alignment vertical="center"/>
    </xf>
    <xf numFmtId="164" fontId="17" fillId="2" borderId="11" xfId="5" applyNumberFormat="1" applyFont="1" applyFill="1" applyBorder="1" applyAlignment="1">
      <alignment vertical="center"/>
    </xf>
    <xf numFmtId="0" fontId="16" fillId="8" borderId="10" xfId="5" applyFont="1" applyFill="1" applyBorder="1" applyAlignment="1">
      <alignment vertical="center" wrapText="1"/>
    </xf>
    <xf numFmtId="0" fontId="16" fillId="0" borderId="1" xfId="5" applyFont="1" applyBorder="1" applyAlignment="1">
      <alignment vertical="center"/>
    </xf>
    <xf numFmtId="164" fontId="17" fillId="2" borderId="0" xfId="5" applyNumberFormat="1" applyFont="1" applyFill="1" applyAlignment="1">
      <alignment horizontal="left" vertical="center"/>
    </xf>
    <xf numFmtId="164" fontId="17" fillId="2" borderId="1" xfId="5" applyNumberFormat="1" applyFont="1" applyFill="1" applyBorder="1" applyAlignment="1">
      <alignment horizontal="left" vertical="center"/>
    </xf>
    <xf numFmtId="164" fontId="17" fillId="2" borderId="10" xfId="5" applyNumberFormat="1" applyFont="1" applyFill="1" applyBorder="1" applyAlignment="1">
      <alignment horizontal="left" vertical="center"/>
    </xf>
    <xf numFmtId="0" fontId="6" fillId="8" borderId="1" xfId="5" applyFont="1" applyFill="1" applyBorder="1" applyAlignment="1">
      <alignment horizontal="left" vertical="center"/>
    </xf>
    <xf numFmtId="0" fontId="6" fillId="8" borderId="10" xfId="5" applyFont="1" applyFill="1" applyBorder="1" applyAlignment="1">
      <alignment vertical="center"/>
    </xf>
    <xf numFmtId="0" fontId="37" fillId="8" borderId="0" xfId="5" applyFont="1" applyFill="1" applyAlignment="1">
      <alignment vertical="center"/>
    </xf>
    <xf numFmtId="0" fontId="39" fillId="0" borderId="0" xfId="6" applyFont="1" applyAlignment="1">
      <alignment vertical="center"/>
    </xf>
    <xf numFmtId="164" fontId="5" fillId="0" borderId="2" xfId="5" applyNumberFormat="1" applyFont="1" applyBorder="1" applyAlignment="1">
      <alignment horizontal="right" vertical="center"/>
    </xf>
    <xf numFmtId="0" fontId="5" fillId="0" borderId="0" xfId="5" applyFont="1" applyAlignment="1">
      <alignment horizontal="left" vertical="center"/>
    </xf>
    <xf numFmtId="164" fontId="6" fillId="7" borderId="0" xfId="5" applyNumberFormat="1" applyFont="1" applyFill="1" applyAlignment="1">
      <alignment vertical="center"/>
    </xf>
    <xf numFmtId="164" fontId="6" fillId="6" borderId="2" xfId="5" applyNumberFormat="1" applyFont="1" applyFill="1" applyBorder="1" applyAlignment="1">
      <alignment horizontal="left" vertical="center"/>
    </xf>
    <xf numFmtId="164" fontId="6" fillId="6" borderId="3" xfId="5" applyNumberFormat="1" applyFont="1" applyFill="1" applyBorder="1" applyAlignment="1">
      <alignment horizontal="left" vertical="center"/>
    </xf>
    <xf numFmtId="164" fontId="5" fillId="7" borderId="4" xfId="5" applyNumberFormat="1" applyFont="1" applyFill="1" applyBorder="1" applyAlignment="1">
      <alignment horizontal="right" vertical="center"/>
    </xf>
    <xf numFmtId="164" fontId="5" fillId="0" borderId="0" xfId="5" applyNumberFormat="1" applyFont="1" applyAlignment="1">
      <alignment horizontal="left" vertical="center"/>
    </xf>
    <xf numFmtId="164" fontId="9" fillId="3" borderId="0" xfId="2" applyNumberFormat="1" applyFont="1" applyFill="1" applyAlignment="1">
      <alignment vertical="center"/>
    </xf>
    <xf numFmtId="164" fontId="9" fillId="3" borderId="2" xfId="2" applyNumberFormat="1" applyFont="1" applyFill="1" applyBorder="1" applyAlignment="1">
      <alignment vertical="center"/>
    </xf>
    <xf numFmtId="164" fontId="11" fillId="3" borderId="2" xfId="2" applyNumberFormat="1" applyFont="1" applyFill="1" applyBorder="1" applyAlignment="1">
      <alignment vertical="center"/>
    </xf>
    <xf numFmtId="164" fontId="11" fillId="3" borderId="0" xfId="2" applyNumberFormat="1" applyFont="1" applyFill="1" applyAlignment="1">
      <alignment vertical="center"/>
    </xf>
    <xf numFmtId="167" fontId="9" fillId="0" borderId="1" xfId="2" applyNumberFormat="1" applyFont="1" applyBorder="1" applyAlignment="1">
      <alignment vertical="center"/>
    </xf>
    <xf numFmtId="164" fontId="32" fillId="0" borderId="0" xfId="2" applyNumberFormat="1" applyFont="1" applyAlignment="1">
      <alignment vertical="center"/>
    </xf>
    <xf numFmtId="0" fontId="9" fillId="0" borderId="4" xfId="2" applyFont="1" applyBorder="1" applyAlignment="1">
      <alignment vertical="center"/>
    </xf>
    <xf numFmtId="0" fontId="11" fillId="0" borderId="2" xfId="2" applyFont="1" applyBorder="1" applyAlignment="1">
      <alignment horizontal="right" vertical="center"/>
    </xf>
    <xf numFmtId="0" fontId="9" fillId="0" borderId="0" xfId="2" applyFont="1" applyAlignment="1">
      <alignment horizontal="right" vertical="center"/>
    </xf>
    <xf numFmtId="164" fontId="11" fillId="3" borderId="3" xfId="2" applyNumberFormat="1" applyFont="1" applyFill="1" applyBorder="1" applyAlignment="1">
      <alignment vertical="center"/>
    </xf>
    <xf numFmtId="164" fontId="11" fillId="3" borderId="1" xfId="2" applyNumberFormat="1" applyFont="1" applyFill="1" applyBorder="1" applyAlignment="1">
      <alignment vertical="center"/>
    </xf>
    <xf numFmtId="164" fontId="17" fillId="0" borderId="0" xfId="2" applyNumberFormat="1" applyFont="1" applyAlignment="1">
      <alignment horizontal="left" vertical="center"/>
    </xf>
    <xf numFmtId="164" fontId="37" fillId="3" borderId="3" xfId="2" applyNumberFormat="1" applyFont="1" applyFill="1" applyBorder="1" applyAlignment="1">
      <alignment vertical="center"/>
    </xf>
    <xf numFmtId="164" fontId="37" fillId="3" borderId="2" xfId="2" applyNumberFormat="1" applyFont="1" applyFill="1" applyBorder="1" applyAlignment="1">
      <alignment vertical="center"/>
    </xf>
    <xf numFmtId="0" fontId="17" fillId="0" borderId="2" xfId="2" applyFont="1" applyBorder="1" applyAlignment="1">
      <alignment vertical="center"/>
    </xf>
    <xf numFmtId="0" fontId="23" fillId="0" borderId="3" xfId="3" applyFont="1" applyBorder="1" applyAlignment="1">
      <alignment vertical="center"/>
    </xf>
    <xf numFmtId="164" fontId="9" fillId="0" borderId="3" xfId="2" applyNumberFormat="1" applyFont="1" applyBorder="1" applyAlignment="1">
      <alignment vertical="center"/>
    </xf>
    <xf numFmtId="164" fontId="11" fillId="3" borderId="0" xfId="2" applyNumberFormat="1" applyFont="1" applyFill="1" applyAlignment="1">
      <alignment horizontal="right" vertical="center"/>
    </xf>
    <xf numFmtId="0" fontId="9" fillId="10" borderId="0" xfId="9" applyFont="1" applyFill="1" applyAlignment="1">
      <alignment vertical="center"/>
    </xf>
    <xf numFmtId="0" fontId="40" fillId="10" borderId="0" xfId="9" applyFont="1" applyFill="1" applyAlignment="1">
      <alignment vertical="center"/>
    </xf>
    <xf numFmtId="0" fontId="9" fillId="0" borderId="0" xfId="9" applyFont="1" applyAlignment="1">
      <alignment vertical="center"/>
    </xf>
    <xf numFmtId="0" fontId="41" fillId="0" borderId="1" xfId="0" applyFont="1" applyBorder="1" applyAlignment="1">
      <alignment vertical="center"/>
    </xf>
    <xf numFmtId="0" fontId="42" fillId="0" borderId="0" xfId="0" applyFont="1" applyAlignment="1">
      <alignment vertical="center"/>
    </xf>
    <xf numFmtId="0" fontId="9" fillId="0" borderId="1" xfId="9" applyFont="1" applyBorder="1" applyAlignment="1">
      <alignment vertical="center"/>
    </xf>
    <xf numFmtId="0" fontId="42" fillId="0" borderId="1" xfId="0" applyFont="1" applyBorder="1" applyAlignment="1">
      <alignment vertical="center"/>
    </xf>
    <xf numFmtId="0" fontId="43" fillId="0" borderId="1" xfId="0" applyFont="1" applyBorder="1" applyAlignment="1">
      <alignment horizontal="right" vertical="center"/>
    </xf>
    <xf numFmtId="0" fontId="14" fillId="0" borderId="0" xfId="9" applyFont="1" applyAlignment="1">
      <alignment horizontal="right" vertical="center"/>
    </xf>
    <xf numFmtId="0" fontId="14" fillId="0" borderId="1" xfId="9" applyFont="1" applyBorder="1" applyAlignment="1">
      <alignment horizontal="right" vertical="center"/>
    </xf>
    <xf numFmtId="0" fontId="43" fillId="0" borderId="4" xfId="9" applyFont="1" applyBorder="1" applyAlignment="1">
      <alignment horizontal="right" vertical="center"/>
    </xf>
    <xf numFmtId="0" fontId="43" fillId="0" borderId="1" xfId="9" applyFont="1" applyBorder="1" applyAlignment="1">
      <alignment horizontal="right" vertical="center"/>
    </xf>
    <xf numFmtId="0" fontId="43" fillId="0" borderId="3" xfId="9" applyFont="1" applyBorder="1" applyAlignment="1">
      <alignment horizontal="right" vertical="center"/>
    </xf>
    <xf numFmtId="0" fontId="45" fillId="0" borderId="1" xfId="9" applyFont="1" applyBorder="1" applyAlignment="1">
      <alignment vertical="center"/>
    </xf>
    <xf numFmtId="0" fontId="14" fillId="0" borderId="1" xfId="9" applyFont="1" applyBorder="1" applyAlignment="1">
      <alignment vertical="center"/>
    </xf>
    <xf numFmtId="14" fontId="9" fillId="11" borderId="0" xfId="0" applyNumberFormat="1" applyFont="1" applyFill="1"/>
    <xf numFmtId="0" fontId="9" fillId="11" borderId="5" xfId="0" applyFont="1" applyFill="1" applyBorder="1"/>
    <xf numFmtId="0" fontId="46" fillId="11" borderId="0" xfId="9" applyFont="1" applyFill="1" applyAlignment="1">
      <alignment vertical="center"/>
    </xf>
    <xf numFmtId="0" fontId="46" fillId="11" borderId="2" xfId="9" applyFont="1" applyFill="1" applyBorder="1" applyAlignment="1">
      <alignment vertical="center"/>
    </xf>
    <xf numFmtId="2" fontId="9" fillId="11" borderId="0" xfId="0" applyNumberFormat="1" applyFont="1" applyFill="1"/>
    <xf numFmtId="0" fontId="9" fillId="11" borderId="0" xfId="9" applyFont="1" applyFill="1" applyAlignment="1">
      <alignment vertical="center"/>
    </xf>
    <xf numFmtId="0" fontId="38" fillId="0" borderId="0" xfId="9" applyFont="1" applyAlignment="1">
      <alignment vertical="center"/>
    </xf>
    <xf numFmtId="10" fontId="9" fillId="11" borderId="0" xfId="9" applyNumberFormat="1" applyFont="1" applyFill="1" applyAlignment="1">
      <alignment vertical="center"/>
    </xf>
    <xf numFmtId="10" fontId="46" fillId="11" borderId="0" xfId="10" applyNumberFormat="1" applyFont="1" applyFill="1" applyBorder="1" applyAlignment="1">
      <alignment vertical="center"/>
    </xf>
    <xf numFmtId="10" fontId="46" fillId="11" borderId="2" xfId="10" applyNumberFormat="1" applyFont="1" applyFill="1" applyBorder="1" applyAlignment="1">
      <alignment vertical="center"/>
    </xf>
    <xf numFmtId="43" fontId="9" fillId="11" borderId="0" xfId="11" applyFont="1" applyFill="1" applyBorder="1" applyAlignment="1">
      <alignment vertical="center"/>
    </xf>
    <xf numFmtId="0" fontId="38" fillId="0" borderId="1" xfId="9" applyFont="1" applyBorder="1" applyAlignment="1">
      <alignment vertical="center"/>
    </xf>
    <xf numFmtId="10" fontId="9" fillId="11" borderId="1" xfId="12" applyNumberFormat="1" applyFont="1" applyFill="1" applyBorder="1" applyAlignment="1">
      <alignment vertical="center"/>
    </xf>
    <xf numFmtId="0" fontId="47" fillId="0" borderId="0" xfId="8" applyFont="1" applyAlignment="1">
      <alignment vertical="center"/>
    </xf>
    <xf numFmtId="0" fontId="45" fillId="0" borderId="0" xfId="9" applyFont="1" applyAlignment="1">
      <alignment vertical="center"/>
    </xf>
    <xf numFmtId="0" fontId="48" fillId="0" borderId="0" xfId="9" applyFont="1" applyAlignment="1">
      <alignment vertical="center"/>
    </xf>
    <xf numFmtId="10" fontId="45" fillId="11" borderId="0" xfId="10" applyNumberFormat="1" applyFont="1" applyFill="1" applyAlignment="1">
      <alignment vertical="center"/>
    </xf>
    <xf numFmtId="0" fontId="11" fillId="0" borderId="1" xfId="9" applyFont="1" applyBorder="1" applyAlignment="1">
      <alignment vertical="center"/>
    </xf>
    <xf numFmtId="0" fontId="14" fillId="0" borderId="0" xfId="9" applyFont="1" applyAlignment="1">
      <alignment vertical="center"/>
    </xf>
    <xf numFmtId="0" fontId="9" fillId="0" borderId="0" xfId="0" applyFont="1" applyAlignment="1">
      <alignment vertical="center"/>
    </xf>
    <xf numFmtId="169" fontId="9" fillId="0" borderId="0" xfId="7" applyNumberFormat="1" applyFont="1" applyFill="1" applyBorder="1" applyAlignment="1">
      <alignment vertical="center"/>
    </xf>
    <xf numFmtId="10" fontId="9" fillId="0" borderId="0" xfId="0" applyNumberFormat="1" applyFont="1" applyAlignment="1">
      <alignment vertical="center"/>
    </xf>
    <xf numFmtId="0" fontId="45" fillId="0" borderId="0" xfId="0" applyFont="1" applyAlignment="1">
      <alignment vertical="center"/>
    </xf>
    <xf numFmtId="10" fontId="45" fillId="0" borderId="0" xfId="1" applyNumberFormat="1" applyFont="1" applyFill="1" applyBorder="1" applyAlignment="1">
      <alignment vertical="center"/>
    </xf>
    <xf numFmtId="0" fontId="49" fillId="10" borderId="0" xfId="9" applyFont="1" applyFill="1" applyAlignment="1">
      <alignment vertical="center"/>
    </xf>
    <xf numFmtId="0" fontId="50" fillId="12" borderId="0" xfId="0" applyFont="1" applyFill="1" applyAlignment="1">
      <alignment vertical="center"/>
    </xf>
    <xf numFmtId="0" fontId="51" fillId="12" borderId="0" xfId="0" applyFont="1" applyFill="1" applyAlignment="1">
      <alignment horizontal="center" vertical="center"/>
    </xf>
    <xf numFmtId="0" fontId="40" fillId="12" borderId="0" xfId="0" applyFont="1" applyFill="1" applyAlignment="1">
      <alignment vertical="center"/>
    </xf>
    <xf numFmtId="0" fontId="51" fillId="12" borderId="0" xfId="0" applyFont="1" applyFill="1" applyAlignment="1">
      <alignment vertical="center"/>
    </xf>
    <xf numFmtId="0" fontId="52" fillId="12" borderId="0" xfId="0" applyFont="1" applyFill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11" fillId="0" borderId="1" xfId="0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16" fontId="5" fillId="0" borderId="0" xfId="0" applyNumberFormat="1" applyFont="1" applyAlignment="1">
      <alignment horizontal="right" vertical="center"/>
    </xf>
    <xf numFmtId="170" fontId="5" fillId="0" borderId="0" xfId="0" applyNumberFormat="1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2" fontId="5" fillId="3" borderId="0" xfId="0" applyNumberFormat="1" applyFont="1" applyFill="1" applyAlignment="1">
      <alignment horizontal="center" vertical="center"/>
    </xf>
    <xf numFmtId="0" fontId="5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2" fontId="5" fillId="0" borderId="0" xfId="0" applyNumberFormat="1" applyFont="1" applyAlignment="1">
      <alignment horizontal="center" vertical="center"/>
    </xf>
    <xf numFmtId="0" fontId="54" fillId="0" borderId="0" xfId="0" applyFont="1" applyAlignment="1">
      <alignment vertical="center"/>
    </xf>
    <xf numFmtId="16" fontId="5" fillId="0" borderId="1" xfId="0" applyNumberFormat="1" applyFont="1" applyBorder="1" applyAlignment="1">
      <alignment horizontal="right" vertical="center"/>
    </xf>
    <xf numFmtId="170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3" borderId="1" xfId="0" applyNumberFormat="1" applyFont="1" applyFill="1" applyBorder="1" applyAlignment="1">
      <alignment horizontal="center" vertical="center"/>
    </xf>
    <xf numFmtId="16" fontId="12" fillId="0" borderId="0" xfId="0" applyNumberFormat="1" applyFont="1" applyAlignment="1">
      <alignment horizontal="right" vertical="center"/>
    </xf>
    <xf numFmtId="170" fontId="12" fillId="0" borderId="0" xfId="0" applyNumberFormat="1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2" fontId="12" fillId="3" borderId="0" xfId="0" applyNumberFormat="1" applyFont="1" applyFill="1" applyAlignment="1">
      <alignment horizontal="center" vertical="center"/>
    </xf>
    <xf numFmtId="16" fontId="12" fillId="0" borderId="1" xfId="0" applyNumberFormat="1" applyFont="1" applyBorder="1" applyAlignment="1">
      <alignment horizontal="right" vertical="center"/>
    </xf>
    <xf numFmtId="170" fontId="12" fillId="0" borderId="1" xfId="0" applyNumberFormat="1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2" fontId="12" fillId="3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left" vertical="center"/>
    </xf>
    <xf numFmtId="0" fontId="32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9" fillId="0" borderId="0" xfId="0" applyFont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1" xfId="7" applyNumberFormat="1" applyFont="1" applyFill="1" applyBorder="1" applyAlignment="1">
      <alignment vertical="center"/>
    </xf>
    <xf numFmtId="10" fontId="9" fillId="0" borderId="0" xfId="1" applyNumberFormat="1" applyFont="1" applyFill="1" applyAlignment="1">
      <alignment vertical="center"/>
    </xf>
    <xf numFmtId="10" fontId="9" fillId="3" borderId="0" xfId="0" applyNumberFormat="1" applyFont="1" applyFill="1" applyAlignment="1">
      <alignment vertical="center"/>
    </xf>
    <xf numFmtId="10" fontId="9" fillId="3" borderId="0" xfId="7" applyNumberFormat="1" applyFont="1" applyFill="1" applyAlignment="1">
      <alignment vertical="center"/>
    </xf>
    <xf numFmtId="0" fontId="9" fillId="3" borderId="0" xfId="0" applyFont="1" applyFill="1" applyAlignment="1">
      <alignment horizontal="right" vertical="center"/>
    </xf>
    <xf numFmtId="10" fontId="9" fillId="0" borderId="1" xfId="1" applyNumberFormat="1" applyFont="1" applyFill="1" applyBorder="1" applyAlignment="1">
      <alignment vertical="center"/>
    </xf>
    <xf numFmtId="43" fontId="9" fillId="3" borderId="0" xfId="7" applyFont="1" applyFill="1" applyAlignment="1">
      <alignment vertical="center"/>
    </xf>
    <xf numFmtId="0" fontId="9" fillId="0" borderId="0" xfId="0" applyFont="1" applyAlignment="1">
      <alignment horizontal="center" vertical="center"/>
    </xf>
    <xf numFmtId="0" fontId="50" fillId="10" borderId="0" xfId="0" applyFont="1" applyFill="1" applyAlignment="1">
      <alignment vertical="center"/>
    </xf>
    <xf numFmtId="0" fontId="50" fillId="10" borderId="0" xfId="0" applyFont="1" applyFill="1" applyAlignment="1">
      <alignment horizontal="center" vertical="center"/>
    </xf>
    <xf numFmtId="0" fontId="55" fillId="10" borderId="0" xfId="0" applyFont="1" applyFill="1" applyAlignment="1">
      <alignment vertical="center"/>
    </xf>
    <xf numFmtId="0" fontId="55" fillId="10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11" borderId="0" xfId="0" applyFont="1" applyFill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 wrapText="1"/>
    </xf>
    <xf numFmtId="169" fontId="5" fillId="11" borderId="7" xfId="7" applyNumberFormat="1" applyFont="1" applyFill="1" applyBorder="1" applyAlignment="1">
      <alignment horizontal="center" vertical="center"/>
    </xf>
    <xf numFmtId="9" fontId="5" fillId="11" borderId="0" xfId="1" applyFont="1" applyFill="1" applyBorder="1" applyAlignment="1">
      <alignment horizontal="center" vertical="center"/>
    </xf>
    <xf numFmtId="169" fontId="5" fillId="11" borderId="0" xfId="7" applyNumberFormat="1" applyFont="1" applyFill="1" applyBorder="1" applyAlignment="1">
      <alignment horizontal="center" vertical="center"/>
    </xf>
    <xf numFmtId="169" fontId="5" fillId="11" borderId="1" xfId="7" applyNumberFormat="1" applyFont="1" applyFill="1" applyBorder="1" applyAlignment="1">
      <alignment horizontal="center" vertical="center"/>
    </xf>
    <xf numFmtId="9" fontId="5" fillId="11" borderId="1" xfId="1" applyFont="1" applyFill="1" applyBorder="1" applyAlignment="1">
      <alignment horizontal="center" vertical="center"/>
    </xf>
    <xf numFmtId="16" fontId="12" fillId="0" borderId="10" xfId="0" applyNumberFormat="1" applyFont="1" applyBorder="1" applyAlignment="1">
      <alignment horizontal="right" vertical="center"/>
    </xf>
    <xf numFmtId="170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69" fontId="5" fillId="11" borderId="10" xfId="7" applyNumberFormat="1" applyFont="1" applyFill="1" applyBorder="1" applyAlignment="1">
      <alignment horizontal="center" vertical="center"/>
    </xf>
    <xf numFmtId="9" fontId="5" fillId="11" borderId="10" xfId="1" applyFont="1" applyFill="1" applyBorder="1" applyAlignment="1">
      <alignment horizontal="center" vertical="center"/>
    </xf>
    <xf numFmtId="2" fontId="16" fillId="11" borderId="0" xfId="0" applyNumberFormat="1" applyFont="1" applyFill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0" fontId="16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right" vertical="center"/>
    </xf>
    <xf numFmtId="164" fontId="6" fillId="2" borderId="10" xfId="5" applyNumberFormat="1" applyFont="1" applyFill="1" applyBorder="1" applyAlignment="1">
      <alignment vertical="center"/>
    </xf>
    <xf numFmtId="0" fontId="11" fillId="0" borderId="1" xfId="2" applyFont="1" applyBorder="1" applyAlignment="1">
      <alignment horizontal="left" vertical="center"/>
    </xf>
    <xf numFmtId="0" fontId="11" fillId="0" borderId="0" xfId="2" applyFont="1" applyAlignment="1">
      <alignment horizontal="left" vertical="center"/>
    </xf>
    <xf numFmtId="0" fontId="44" fillId="0" borderId="6" xfId="9" applyFont="1" applyBorder="1" applyAlignment="1">
      <alignment horizontal="center" vertical="center"/>
    </xf>
    <xf numFmtId="0" fontId="44" fillId="0" borderId="7" xfId="9" applyFont="1" applyBorder="1" applyAlignment="1">
      <alignment horizontal="center" vertical="center"/>
    </xf>
    <xf numFmtId="0" fontId="44" fillId="0" borderId="8" xfId="9" applyFont="1" applyBorder="1" applyAlignment="1">
      <alignment horizontal="center" vertical="center"/>
    </xf>
  </cellXfs>
  <cellStyles count="13">
    <cellStyle name="Comma" xfId="7" builtinId="3"/>
    <cellStyle name="Comma 2" xfId="11" xr:uid="{DB746255-54AB-0548-B7E1-54B27B1F0138}"/>
    <cellStyle name="Hyperlink" xfId="8" builtinId="8"/>
    <cellStyle name="Normal" xfId="0" builtinId="0"/>
    <cellStyle name="Normal 2" xfId="3" xr:uid="{94D6C8F5-7619-6E4E-B40C-5204A3B19686}"/>
    <cellStyle name="Normal 2 2" xfId="2" xr:uid="{20A626EE-4660-2D4B-B330-A917508C0764}"/>
    <cellStyle name="Normal 2 3" xfId="5" xr:uid="{95EBE158-109B-1C4E-A8B8-0DB031C00676}"/>
    <cellStyle name="Normal 3" xfId="4" xr:uid="{670DCC29-DFA8-4C40-B336-7BDB517BF964}"/>
    <cellStyle name="Normal 3 2" xfId="6" xr:uid="{80D8597B-384B-484F-9916-8B5C8F609C2C}"/>
    <cellStyle name="Normal 3 3" xfId="9" xr:uid="{FB425A1F-2C02-BF4A-AEC0-6E322510DDE5}"/>
    <cellStyle name="Percent" xfId="1" builtinId="5"/>
    <cellStyle name="Percent 2" xfId="12" xr:uid="{A0CA3345-535B-7A46-BDA7-C76D38841DDB}"/>
    <cellStyle name="Percent 2 2" xfId="10" xr:uid="{3A50735C-AB68-4848-BE6C-A5D891ACEB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Portfolio Efficient Frontier</a:t>
            </a:r>
          </a:p>
        </c:rich>
      </c:tx>
      <c:layout>
        <c:manualLayout>
          <c:xMode val="edge"/>
          <c:yMode val="edge"/>
          <c:x val="0.30935251798561153"/>
          <c:y val="3.8938053097345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100719424460431"/>
          <c:y val="0.13982312968674787"/>
          <c:w val="0.76115107913669067"/>
          <c:h val="0.52389425806680212"/>
        </c:manualLayout>
      </c:layout>
      <c:scatterChart>
        <c:scatterStyle val="smoothMarker"/>
        <c:varyColors val="0"/>
        <c:ser>
          <c:idx val="0"/>
          <c:order val="0"/>
          <c:tx>
            <c:v>porfolio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'MW Efficient Pf'!$C$79:$C$86</c:f>
              <c:numCache>
                <c:formatCode>0.0000</c:formatCode>
                <c:ptCount val="8"/>
                <c:pt idx="0">
                  <c:v>21.888275523564104</c:v>
                </c:pt>
                <c:pt idx="1">
                  <c:v>19.664361009307132</c:v>
                </c:pt>
                <c:pt idx="2">
                  <c:v>17.926459978701207</c:v>
                </c:pt>
                <c:pt idx="3">
                  <c:v>16.814724722868036</c:v>
                </c:pt>
                <c:pt idx="4">
                  <c:v>16.46140498117509</c:v>
                </c:pt>
                <c:pt idx="5">
                  <c:v>17.368526712187641</c:v>
                </c:pt>
                <c:pt idx="6">
                  <c:v>21.187828238967803</c:v>
                </c:pt>
                <c:pt idx="7">
                  <c:v>26.051404734230072</c:v>
                </c:pt>
              </c:numCache>
            </c:numRef>
          </c:xVal>
          <c:yVal>
            <c:numRef>
              <c:f>'MW Efficient Pf'!$B$79:$B$86</c:f>
              <c:numCache>
                <c:formatCode>0.00</c:formatCode>
                <c:ptCount val="8"/>
                <c:pt idx="0">
                  <c:v>6</c:v>
                </c:pt>
                <c:pt idx="1">
                  <c:v>9</c:v>
                </c:pt>
                <c:pt idx="2">
                  <c:v>12.000000158351311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57-E740-A344-A951EC2FEB3B}"/>
            </c:ext>
          </c:extLst>
        </c:ser>
        <c:ser>
          <c:idx val="1"/>
          <c:order val="1"/>
          <c:tx>
            <c:v>EWD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'MW Efficient Pf'!$D$7</c:f>
              <c:numCache>
                <c:formatCode>0.0000</c:formatCode>
                <c:ptCount val="1"/>
                <c:pt idx="0">
                  <c:v>26.466608991266092</c:v>
                </c:pt>
              </c:numCache>
            </c:numRef>
          </c:xVal>
          <c:yVal>
            <c:numRef>
              <c:f>'MW Efficient Pf'!$C$7</c:f>
              <c:numCache>
                <c:formatCode>0.0000</c:formatCode>
                <c:ptCount val="1"/>
                <c:pt idx="0">
                  <c:v>15.539276488899523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57-E740-A344-A951EC2FEB3B}"/>
            </c:ext>
          </c:extLst>
        </c:ser>
        <c:ser>
          <c:idx val="2"/>
          <c:order val="2"/>
          <c:tx>
            <c:v>EWH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'MW Efficient Pf'!$D$8</c:f>
              <c:numCache>
                <c:formatCode>0.0000</c:formatCode>
                <c:ptCount val="1"/>
                <c:pt idx="0">
                  <c:v>41.147491759544074</c:v>
                </c:pt>
              </c:numCache>
            </c:numRef>
          </c:xVal>
          <c:yVal>
            <c:numRef>
              <c:f>'MW Efficient Pf'!$C$8</c:f>
              <c:numCache>
                <c:formatCode>0.0000</c:formatCode>
                <c:ptCount val="1"/>
                <c:pt idx="0">
                  <c:v>6.3852171257331003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57-E740-A344-A951EC2FEB3B}"/>
            </c:ext>
          </c:extLst>
        </c:ser>
        <c:ser>
          <c:idx val="3"/>
          <c:order val="3"/>
          <c:tx>
            <c:v>EWI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'MW Efficient Pf'!$D$9</c:f>
              <c:numCache>
                <c:formatCode>0.0000</c:formatCode>
                <c:ptCount val="1"/>
                <c:pt idx="0">
                  <c:v>26.051404734230072</c:v>
                </c:pt>
              </c:numCache>
            </c:numRef>
          </c:xVal>
          <c:yVal>
            <c:numRef>
              <c:f>'MW Efficient Pf'!$C$9</c:f>
              <c:numCache>
                <c:formatCode>0.0000</c:formatCode>
                <c:ptCount val="1"/>
                <c:pt idx="0">
                  <c:v>26.59986218962187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57-E740-A344-A951EC2FEB3B}"/>
            </c:ext>
          </c:extLst>
        </c:ser>
        <c:ser>
          <c:idx val="4"/>
          <c:order val="4"/>
          <c:tx>
            <c:v>EWJ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'MW Efficient Pf'!$D$10</c:f>
              <c:numCache>
                <c:formatCode>0.0000</c:formatCode>
                <c:ptCount val="1"/>
                <c:pt idx="0">
                  <c:v>26.070928017759709</c:v>
                </c:pt>
              </c:numCache>
            </c:numRef>
          </c:xVal>
          <c:yVal>
            <c:numRef>
              <c:f>'MW Efficient Pf'!$C$10</c:f>
              <c:numCache>
                <c:formatCode>0.0000</c:formatCode>
                <c:ptCount val="1"/>
                <c:pt idx="0">
                  <c:v>1.4132525880647284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57-E740-A344-A951EC2FEB3B}"/>
            </c:ext>
          </c:extLst>
        </c:ser>
        <c:ser>
          <c:idx val="5"/>
          <c:order val="5"/>
          <c:tx>
            <c:v>EWL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'MW Efficient Pf'!$D$11</c:f>
              <c:numCache>
                <c:formatCode>0.0000</c:formatCode>
                <c:ptCount val="1"/>
                <c:pt idx="0">
                  <c:v>21.69178960855788</c:v>
                </c:pt>
              </c:numCache>
            </c:numRef>
          </c:xVal>
          <c:yVal>
            <c:numRef>
              <c:f>'MW Efficient Pf'!$C$11</c:f>
              <c:numCache>
                <c:formatCode>0.0000</c:formatCode>
                <c:ptCount val="1"/>
                <c:pt idx="0">
                  <c:v>18.074498346334877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57-E740-A344-A951EC2FEB3B}"/>
            </c:ext>
          </c:extLst>
        </c:ser>
        <c:ser>
          <c:idx val="6"/>
          <c:order val="6"/>
          <c:tx>
            <c:v>EWP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'MW Efficient Pf'!$D$12</c:f>
              <c:numCache>
                <c:formatCode>0.0000</c:formatCode>
                <c:ptCount val="1"/>
                <c:pt idx="0">
                  <c:v>25.077949901862816</c:v>
                </c:pt>
              </c:numCache>
            </c:numRef>
          </c:xVal>
          <c:yVal>
            <c:numRef>
              <c:f>'MW Efficient Pf'!$C$12</c:f>
              <c:numCache>
                <c:formatCode>0.0000</c:formatCode>
                <c:ptCount val="1"/>
                <c:pt idx="0">
                  <c:v>16.634740425929206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57-E740-A344-A951EC2FEB3B}"/>
            </c:ext>
          </c:extLst>
        </c:ser>
        <c:ser>
          <c:idx val="7"/>
          <c:order val="7"/>
          <c:tx>
            <c:v>EWW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'MW Efficient Pf'!$D$13</c:f>
              <c:numCache>
                <c:formatCode>0.0000</c:formatCode>
                <c:ptCount val="1"/>
                <c:pt idx="0">
                  <c:v>38.768621300032876</c:v>
                </c:pt>
              </c:numCache>
            </c:numRef>
          </c:xVal>
          <c:yVal>
            <c:numRef>
              <c:f>'MW Efficient Pf'!$C$13</c:f>
              <c:numCache>
                <c:formatCode>0.0000</c:formatCode>
                <c:ptCount val="1"/>
                <c:pt idx="0">
                  <c:v>16.22434104748114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57-E740-A344-A951EC2FEB3B}"/>
            </c:ext>
          </c:extLst>
        </c:ser>
        <c:ser>
          <c:idx val="8"/>
          <c:order val="8"/>
          <c:tx>
            <c:v>SP 500</c:v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'MW Efficient Pf'!$D$14</c:f>
              <c:numCache>
                <c:formatCode>0.0000</c:formatCode>
                <c:ptCount val="1"/>
                <c:pt idx="0">
                  <c:v>17.194402021984949</c:v>
                </c:pt>
              </c:numCache>
            </c:numRef>
          </c:xVal>
          <c:yVal>
            <c:numRef>
              <c:f>'MW Efficient Pf'!$C$14</c:f>
              <c:numCache>
                <c:formatCode>0.0000</c:formatCode>
                <c:ptCount val="1"/>
                <c:pt idx="0">
                  <c:v>17.230554843125766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57-E740-A344-A951EC2FEB3B}"/>
            </c:ext>
          </c:extLst>
        </c:ser>
        <c:ser>
          <c:idx val="9"/>
          <c:order val="9"/>
          <c:tx>
            <c:v>Eq. Wtd.</c:v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'MW Efficient Pf'!$C$55</c:f>
              <c:numCache>
                <c:formatCode>0.0000</c:formatCode>
                <c:ptCount val="1"/>
                <c:pt idx="0">
                  <c:v>21.80374527794196</c:v>
                </c:pt>
              </c:numCache>
            </c:numRef>
          </c:xVal>
          <c:yVal>
            <c:numRef>
              <c:f>'MW Efficient Pf'!$C$56</c:f>
              <c:numCache>
                <c:formatCode>0.0000</c:formatCode>
                <c:ptCount val="1"/>
                <c:pt idx="0">
                  <c:v>14.762717881898777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57-E740-A344-A951EC2FE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8656"/>
        <c:axId val="208840960"/>
      </c:scatterChart>
      <c:valAx>
        <c:axId val="20883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Portfolio Risk %</a:t>
                </a:r>
              </a:p>
            </c:rich>
          </c:tx>
          <c:layout>
            <c:manualLayout>
              <c:xMode val="edge"/>
              <c:yMode val="edge"/>
              <c:x val="0.4287769784172662"/>
              <c:y val="0.7185846282489025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840960"/>
        <c:crosses val="autoZero"/>
        <c:crossBetween val="midCat"/>
        <c:majorUnit val="5"/>
      </c:valAx>
      <c:valAx>
        <c:axId val="20884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Portfolio Return %</a:t>
                </a:r>
              </a:p>
            </c:rich>
          </c:tx>
          <c:layout>
            <c:manualLayout>
              <c:xMode val="edge"/>
              <c:yMode val="edge"/>
              <c:x val="3.5971223021582732E-2"/>
              <c:y val="0.2725665574988966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8386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51798561151079"/>
          <c:y val="0.81062021229647174"/>
          <c:w val="0.76690647482014396"/>
          <c:h val="0.1079647875873922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'MW Optimal Pf'!$B$33</c:f>
              <c:strCache>
                <c:ptCount val="1"/>
                <c:pt idx="0">
                  <c:v>Pf Std Dev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'MW Optimal Pf'!$C$33:$M$33</c:f>
              <c:numCache>
                <c:formatCode>0.0000</c:formatCode>
                <c:ptCount val="11"/>
                <c:pt idx="0">
                  <c:v>0.11414514935593496</c:v>
                </c:pt>
                <c:pt idx="1">
                  <c:v>0.11323740105860984</c:v>
                </c:pt>
                <c:pt idx="2">
                  <c:v>0.11346231070572906</c:v>
                </c:pt>
                <c:pt idx="3">
                  <c:v>0.11680395156261608</c:v>
                </c:pt>
                <c:pt idx="4">
                  <c:v>0.12384422882265476</c:v>
                </c:pt>
                <c:pt idx="5">
                  <c:v>0.13400143912201753</c:v>
                </c:pt>
                <c:pt idx="6">
                  <c:v>0.13737030465585298</c:v>
                </c:pt>
                <c:pt idx="7">
                  <c:v>0.14007692340531527</c:v>
                </c:pt>
                <c:pt idx="8">
                  <c:v>0.14662926442111893</c:v>
                </c:pt>
                <c:pt idx="9">
                  <c:v>0.17708972092598163</c:v>
                </c:pt>
                <c:pt idx="10">
                  <c:v>0.21194997381209665</c:v>
                </c:pt>
              </c:numCache>
            </c:numRef>
          </c:xVal>
          <c:yVal>
            <c:numRef>
              <c:f>'MW Optimal Pf'!$C$32:$M$32</c:f>
              <c:numCache>
                <c:formatCode>0.0000</c:formatCode>
                <c:ptCount val="11"/>
                <c:pt idx="0">
                  <c:v>3.4999000038548805E-2</c:v>
                </c:pt>
                <c:pt idx="1">
                  <c:v>3.833965556576354E-2</c:v>
                </c:pt>
                <c:pt idx="2">
                  <c:v>4.0000000077156393E-2</c:v>
                </c:pt>
                <c:pt idx="3">
                  <c:v>4.500000007715782E-2</c:v>
                </c:pt>
                <c:pt idx="4">
                  <c:v>5.0000000077158761E-2</c:v>
                </c:pt>
                <c:pt idx="5">
                  <c:v>5.5000000077158648E-2</c:v>
                </c:pt>
                <c:pt idx="6">
                  <c:v>5.6422707479908095E-2</c:v>
                </c:pt>
                <c:pt idx="7">
                  <c:v>5.7512520004351128E-2</c:v>
                </c:pt>
                <c:pt idx="8">
                  <c:v>6.0000000154245191E-2</c:v>
                </c:pt>
                <c:pt idx="9">
                  <c:v>6.9999000154218935E-2</c:v>
                </c:pt>
                <c:pt idx="10">
                  <c:v>8.0000000668251872E-2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1-3D4A-9AA6-512B42512BAD}"/>
            </c:ext>
          </c:extLst>
        </c:ser>
        <c:ser>
          <c:idx val="1"/>
          <c:order val="1"/>
          <c:tx>
            <c:v>CAL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'MW Optimal Pf'!$C$33:$M$33</c:f>
              <c:numCache>
                <c:formatCode>0.0000</c:formatCode>
                <c:ptCount val="11"/>
                <c:pt idx="0">
                  <c:v>0.11414514935593496</c:v>
                </c:pt>
                <c:pt idx="1">
                  <c:v>0.11323740105860984</c:v>
                </c:pt>
                <c:pt idx="2">
                  <c:v>0.11346231070572906</c:v>
                </c:pt>
                <c:pt idx="3">
                  <c:v>0.11680395156261608</c:v>
                </c:pt>
                <c:pt idx="4">
                  <c:v>0.12384422882265476</c:v>
                </c:pt>
                <c:pt idx="5">
                  <c:v>0.13400143912201753</c:v>
                </c:pt>
                <c:pt idx="6">
                  <c:v>0.13737030465585298</c:v>
                </c:pt>
                <c:pt idx="7">
                  <c:v>0.14007692340531527</c:v>
                </c:pt>
                <c:pt idx="8">
                  <c:v>0.14662926442111893</c:v>
                </c:pt>
                <c:pt idx="9">
                  <c:v>0.17708972092598163</c:v>
                </c:pt>
                <c:pt idx="10">
                  <c:v>0.21194997381209665</c:v>
                </c:pt>
              </c:numCache>
            </c:numRef>
          </c:xVal>
          <c:yVal>
            <c:numRef>
              <c:f>'MW Optimal Pf'!$C$42:$M$42</c:f>
              <c:numCache>
                <c:formatCode>0.0000</c:formatCode>
                <c:ptCount val="11"/>
                <c:pt idx="0">
                  <c:v>4.6883337621584954E-2</c:v>
                </c:pt>
                <c:pt idx="1">
                  <c:v>4.6510494183742451E-2</c:v>
                </c:pt>
                <c:pt idx="2">
                  <c:v>4.6602872309135769E-2</c:v>
                </c:pt>
                <c:pt idx="3">
                  <c:v>4.7975399108456752E-2</c:v>
                </c:pt>
                <c:pt idx="4">
                  <c:v>5.0867083052929148E-2</c:v>
                </c:pt>
                <c:pt idx="5">
                  <c:v>5.5038998569667701E-2</c:v>
                </c:pt>
                <c:pt idx="6">
                  <c:v>5.6422707479908095E-2</c:v>
                </c:pt>
                <c:pt idx="7">
                  <c:v>5.7534408865030119E-2</c:v>
                </c:pt>
                <c:pt idx="8">
                  <c:v>6.0225680616734292E-2</c:v>
                </c:pt>
                <c:pt idx="9">
                  <c:v>7.2736837459430465E-2</c:v>
                </c:pt>
                <c:pt idx="10">
                  <c:v>8.7055141959056434E-2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21-3D4A-9AA6-512B42512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78751"/>
        <c:axId val="2086424031"/>
      </c:scatterChart>
      <c:valAx>
        <c:axId val="208617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424031"/>
        <c:crosses val="autoZero"/>
        <c:crossBetween val="midCat"/>
      </c:valAx>
      <c:valAx>
        <c:axId val="20864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78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4549431321084863E-3"/>
                  <c:y val="-0.217845217264508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'Beta &amp; CAPM'!$D$8:$D$66</c:f>
              <c:numCache>
                <c:formatCode>0.00%</c:formatCode>
                <c:ptCount val="59"/>
                <c:pt idx="0">
                  <c:v>1.4293534926572482E-2</c:v>
                </c:pt>
                <c:pt idx="1">
                  <c:v>2.3894298916315782E-2</c:v>
                </c:pt>
                <c:pt idx="2">
                  <c:v>3.9291470065048628E-2</c:v>
                </c:pt>
                <c:pt idx="3">
                  <c:v>-3.0871512618616537E-3</c:v>
                </c:pt>
                <c:pt idx="4">
                  <c:v>1.4319755200162154E-2</c:v>
                </c:pt>
                <c:pt idx="5">
                  <c:v>1.4113073170568313E-2</c:v>
                </c:pt>
                <c:pt idx="6">
                  <c:v>1.4909700365230982E-3</c:v>
                </c:pt>
                <c:pt idx="7">
                  <c:v>2.5531139178579298E-2</c:v>
                </c:pt>
                <c:pt idx="8">
                  <c:v>2.917582395819851E-3</c:v>
                </c:pt>
                <c:pt idx="9">
                  <c:v>1.5111763026378622E-2</c:v>
                </c:pt>
                <c:pt idx="10">
                  <c:v>2.86437070478478E-2</c:v>
                </c:pt>
                <c:pt idx="11">
                  <c:v>3.0565836755637177E-2</c:v>
                </c:pt>
                <c:pt idx="12">
                  <c:v>6.980930443550637E-3</c:v>
                </c:pt>
                <c:pt idx="13">
                  <c:v>6.1758582206580037E-2</c:v>
                </c:pt>
                <c:pt idx="14">
                  <c:v>-3.6360289864166395E-2</c:v>
                </c:pt>
                <c:pt idx="15">
                  <c:v>-3.1290380512535187E-2</c:v>
                </c:pt>
                <c:pt idx="16">
                  <c:v>9.1937711243204046E-3</c:v>
                </c:pt>
                <c:pt idx="17">
                  <c:v>2.4309326465687064E-2</c:v>
                </c:pt>
                <c:pt idx="18">
                  <c:v>1.254854492807489E-3</c:v>
                </c:pt>
                <c:pt idx="19">
                  <c:v>4.1703141313340852E-2</c:v>
                </c:pt>
                <c:pt idx="20">
                  <c:v>3.1919940504160582E-2</c:v>
                </c:pt>
                <c:pt idx="21">
                  <c:v>1.4124776920927395E-3</c:v>
                </c:pt>
                <c:pt idx="22">
                  <c:v>-6.4890561533743285E-2</c:v>
                </c:pt>
                <c:pt idx="23">
                  <c:v>1.8549265682311633E-2</c:v>
                </c:pt>
                <c:pt idx="24">
                  <c:v>-9.3342932405620638E-2</c:v>
                </c:pt>
                <c:pt idx="25">
                  <c:v>8.6372890229527766E-2</c:v>
                </c:pt>
                <c:pt idx="26">
                  <c:v>3.2415686701296353E-2</c:v>
                </c:pt>
                <c:pt idx="27">
                  <c:v>1.3635838394385091E-2</c:v>
                </c:pt>
                <c:pt idx="28">
                  <c:v>4.5437060970802801E-2</c:v>
                </c:pt>
                <c:pt idx="29">
                  <c:v>-6.3771209474819734E-2</c:v>
                </c:pt>
                <c:pt idx="30">
                  <c:v>6.440946149901583E-2</c:v>
                </c:pt>
                <c:pt idx="31">
                  <c:v>2.0056846706857367E-2</c:v>
                </c:pt>
                <c:pt idx="32">
                  <c:v>-1.6743714817044508E-2</c:v>
                </c:pt>
                <c:pt idx="33">
                  <c:v>1.4771902322011865E-2</c:v>
                </c:pt>
                <c:pt idx="34">
                  <c:v>2.6824726265240129E-2</c:v>
                </c:pt>
                <c:pt idx="35">
                  <c:v>3.6198417142006667E-2</c:v>
                </c:pt>
                <c:pt idx="36">
                  <c:v>2.4020611187457463E-2</c:v>
                </c:pt>
                <c:pt idx="37">
                  <c:v>4.510774746205426E-3</c:v>
                </c:pt>
                <c:pt idx="38">
                  <c:v>-7.9165876794949575E-2</c:v>
                </c:pt>
                <c:pt idx="39">
                  <c:v>-0.12998707058186243</c:v>
                </c:pt>
                <c:pt idx="40">
                  <c:v>0.13361059100012174</c:v>
                </c:pt>
                <c:pt idx="41">
                  <c:v>4.7645282667511557E-2</c:v>
                </c:pt>
                <c:pt idx="42">
                  <c:v>1.3275326445922664E-2</c:v>
                </c:pt>
                <c:pt idx="43">
                  <c:v>6.3552006695078989E-2</c:v>
                </c:pt>
                <c:pt idx="44">
                  <c:v>6.9796628251936665E-2</c:v>
                </c:pt>
                <c:pt idx="45">
                  <c:v>-4.1281193504064007E-2</c:v>
                </c:pt>
                <c:pt idx="46">
                  <c:v>-2.1030517806441162E-2</c:v>
                </c:pt>
                <c:pt idx="47">
                  <c:v>0.10877691680492907</c:v>
                </c:pt>
                <c:pt idx="48">
                  <c:v>3.2646469805967637E-2</c:v>
                </c:pt>
                <c:pt idx="49">
                  <c:v>-5.9712195640430066E-3</c:v>
                </c:pt>
                <c:pt idx="50">
                  <c:v>2.780544201558488E-2</c:v>
                </c:pt>
                <c:pt idx="51">
                  <c:v>4.1986585251250208E-2</c:v>
                </c:pt>
                <c:pt idx="52">
                  <c:v>5.6358961694289889E-2</c:v>
                </c:pt>
                <c:pt idx="53">
                  <c:v>6.5660376908875939E-3</c:v>
                </c:pt>
                <c:pt idx="54">
                  <c:v>1.909342806740244E-2</c:v>
                </c:pt>
                <c:pt idx="55">
                  <c:v>2.776393237453223E-2</c:v>
                </c:pt>
                <c:pt idx="56">
                  <c:v>2.9759880615767731E-2</c:v>
                </c:pt>
                <c:pt idx="57">
                  <c:v>-4.9650069411468323E-2</c:v>
                </c:pt>
                <c:pt idx="58">
                  <c:v>7.3591972381243931E-2</c:v>
                </c:pt>
              </c:numCache>
            </c:numRef>
          </c:xVal>
          <c:yVal>
            <c:numRef>
              <c:f>'Beta &amp; CAPM'!$G$8:$G$66</c:f>
              <c:numCache>
                <c:formatCode>0.00%</c:formatCode>
                <c:ptCount val="59"/>
                <c:pt idx="0">
                  <c:v>5.3335461003718887E-2</c:v>
                </c:pt>
                <c:pt idx="1">
                  <c:v>4.7746418045010453E-2</c:v>
                </c:pt>
                <c:pt idx="2">
                  <c:v>0.12888360581164759</c:v>
                </c:pt>
                <c:pt idx="3">
                  <c:v>5.3236503983446593E-2</c:v>
                </c:pt>
                <c:pt idx="4">
                  <c:v>-6.9995335016836968E-5</c:v>
                </c:pt>
                <c:pt idx="5">
                  <c:v>6.3418418520579722E-2</c:v>
                </c:pt>
                <c:pt idx="6">
                  <c:v>-5.3322668467745582E-2</c:v>
                </c:pt>
                <c:pt idx="7">
                  <c:v>3.2703593663288899E-2</c:v>
                </c:pt>
                <c:pt idx="8">
                  <c:v>0.1026695231400625</c:v>
                </c:pt>
                <c:pt idx="9">
                  <c:v>-5.6553453200780535E-2</c:v>
                </c:pt>
                <c:pt idx="10">
                  <c:v>9.6807632898586959E-2</c:v>
                </c:pt>
                <c:pt idx="11">
                  <c:v>1.6623124586977456E-2</c:v>
                </c:pt>
                <c:pt idx="12">
                  <c:v>-1.1705693408411655E-2</c:v>
                </c:pt>
                <c:pt idx="13">
                  <c:v>-1.0636573072121513E-2</c:v>
                </c:pt>
                <c:pt idx="14">
                  <c:v>6.3847739691016869E-2</c:v>
                </c:pt>
                <c:pt idx="15">
                  <c:v>-5.4210295287801746E-2</c:v>
                </c:pt>
                <c:pt idx="16">
                  <c:v>-1.5019710914845552E-2</c:v>
                </c:pt>
                <c:pt idx="17">
                  <c:v>0.13076375969460474</c:v>
                </c:pt>
                <c:pt idx="18">
                  <c:v>-5.5986167015815713E-3</c:v>
                </c:pt>
                <c:pt idx="19">
                  <c:v>2.7983266690307262E-2</c:v>
                </c:pt>
                <c:pt idx="20">
                  <c:v>0.19622704479450759</c:v>
                </c:pt>
                <c:pt idx="21">
                  <c:v>-4.8249640908903935E-3</c:v>
                </c:pt>
                <c:pt idx="22">
                  <c:v>-3.0477504770277664E-2</c:v>
                </c:pt>
                <c:pt idx="23">
                  <c:v>-0.18404471526310728</c:v>
                </c:pt>
                <c:pt idx="24">
                  <c:v>-0.11361639378153865</c:v>
                </c:pt>
                <c:pt idx="25">
                  <c:v>5.5154119576682259E-2</c:v>
                </c:pt>
                <c:pt idx="26">
                  <c:v>4.0314806789498281E-2</c:v>
                </c:pt>
                <c:pt idx="27">
                  <c:v>0.10173050198962286</c:v>
                </c:pt>
                <c:pt idx="28">
                  <c:v>5.6436127455431473E-2</c:v>
                </c:pt>
                <c:pt idx="29">
                  <c:v>-0.1275726349832238</c:v>
                </c:pt>
                <c:pt idx="30">
                  <c:v>0.13487267897793087</c:v>
                </c:pt>
                <c:pt idx="31">
                  <c:v>7.6394510855737341E-2</c:v>
                </c:pt>
                <c:pt idx="32">
                  <c:v>-2.0183888210330903E-2</c:v>
                </c:pt>
                <c:pt idx="33">
                  <c:v>7.7038111657749431E-2</c:v>
                </c:pt>
                <c:pt idx="34">
                  <c:v>0.11068448934578212</c:v>
                </c:pt>
                <c:pt idx="35">
                  <c:v>7.4328673306607529E-2</c:v>
                </c:pt>
                <c:pt idx="36">
                  <c:v>0.10208271536923075</c:v>
                </c:pt>
                <c:pt idx="37">
                  <c:v>5.4009854126711998E-2</c:v>
                </c:pt>
                <c:pt idx="38">
                  <c:v>-0.11679745975914146</c:v>
                </c:pt>
                <c:pt idx="39">
                  <c:v>-6.7553801371751598E-2</c:v>
                </c:pt>
                <c:pt idx="40">
                  <c:v>0.15537377542879027</c:v>
                </c:pt>
                <c:pt idx="41">
                  <c:v>8.216477652961518E-2</c:v>
                </c:pt>
                <c:pt idx="42">
                  <c:v>0.15049231155381904</c:v>
                </c:pt>
                <c:pt idx="43">
                  <c:v>0.1651316133570937</c:v>
                </c:pt>
                <c:pt idx="44">
                  <c:v>0.21437980413243807</c:v>
                </c:pt>
                <c:pt idx="45">
                  <c:v>-0.10090827419854431</c:v>
                </c:pt>
                <c:pt idx="46">
                  <c:v>-6.0012035294899291E-2</c:v>
                </c:pt>
                <c:pt idx="47">
                  <c:v>9.3606461140642416E-2</c:v>
                </c:pt>
                <c:pt idx="48">
                  <c:v>0.11649660110516424</c:v>
                </c:pt>
                <c:pt idx="49">
                  <c:v>-5.5015968754564826E-3</c:v>
                </c:pt>
                <c:pt idx="50">
                  <c:v>-8.1085141425252805E-2</c:v>
                </c:pt>
                <c:pt idx="51">
                  <c:v>8.8449344387413475E-3</c:v>
                </c:pt>
                <c:pt idx="52">
                  <c:v>7.6217781562805342E-2</c:v>
                </c:pt>
                <c:pt idx="53">
                  <c:v>-5.2107170382930224E-2</c:v>
                </c:pt>
                <c:pt idx="54">
                  <c:v>0.10097622710444498</c:v>
                </c:pt>
                <c:pt idx="55">
                  <c:v>6.4982382523294691E-2</c:v>
                </c:pt>
                <c:pt idx="56">
                  <c:v>4.0929696103353841E-2</c:v>
                </c:pt>
                <c:pt idx="57">
                  <c:v>-6.6640293373359083E-2</c:v>
                </c:pt>
                <c:pt idx="58">
                  <c:v>5.865726501766777E-2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73-E64F-A5BB-9B0D86938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1136"/>
        <c:axId val="182338880"/>
      </c:scatterChart>
      <c:valAx>
        <c:axId val="65047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38880"/>
        <c:crosses val="autoZero"/>
        <c:crossBetween val="midCat"/>
      </c:valAx>
      <c:valAx>
        <c:axId val="1823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SML!$E$5</c:f>
              <c:strCache>
                <c:ptCount val="1"/>
                <c:pt idx="0">
                  <c:v>Required rate of return
 on SML (%)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2248800722440721E-2"/>
                  <c:y val="3.0660443613277095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 baseline="0"/>
                      <a:t>y = 7.8x + 3.5 </a:t>
                    </a:r>
                  </a:p>
                  <a:p>
                    <a:pPr>
                      <a:defRPr sz="1800" b="1"/>
                    </a:pPr>
                    <a:r>
                      <a:rPr lang="en-US" sz="1800" b="1" baseline="0"/>
                      <a:t>Security Market Line</a:t>
                    </a:r>
                    <a:endParaRPr lang="en-US" sz="18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SML!$D$6:$D$27</c:f>
              <c:numCache>
                <c:formatCode>General</c:formatCode>
                <c:ptCount val="22"/>
                <c:pt idx="0">
                  <c:v>1.85</c:v>
                </c:pt>
                <c:pt idx="1">
                  <c:v>1.42</c:v>
                </c:pt>
                <c:pt idx="2">
                  <c:v>1.31</c:v>
                </c:pt>
                <c:pt idx="3">
                  <c:v>1.2</c:v>
                </c:pt>
                <c:pt idx="4">
                  <c:v>1.19</c:v>
                </c:pt>
                <c:pt idx="5">
                  <c:v>1.01</c:v>
                </c:pt>
                <c:pt idx="6">
                  <c:v>1</c:v>
                </c:pt>
                <c:pt idx="7">
                  <c:v>0.96</c:v>
                </c:pt>
                <c:pt idx="8">
                  <c:v>0.94</c:v>
                </c:pt>
                <c:pt idx="9">
                  <c:v>0.93</c:v>
                </c:pt>
                <c:pt idx="10" formatCode="0.00">
                  <c:v>0.91</c:v>
                </c:pt>
                <c:pt idx="11">
                  <c:v>0.9</c:v>
                </c:pt>
                <c:pt idx="12">
                  <c:v>0.79</c:v>
                </c:pt>
                <c:pt idx="13">
                  <c:v>0.59</c:v>
                </c:pt>
                <c:pt idx="14">
                  <c:v>0.51</c:v>
                </c:pt>
                <c:pt idx="15">
                  <c:v>0.49</c:v>
                </c:pt>
                <c:pt idx="16">
                  <c:v>0.47</c:v>
                </c:pt>
                <c:pt idx="17">
                  <c:v>0.26</c:v>
                </c:pt>
                <c:pt idx="18">
                  <c:v>0.24</c:v>
                </c:pt>
                <c:pt idx="19">
                  <c:v>0.23</c:v>
                </c:pt>
                <c:pt idx="20">
                  <c:v>1</c:v>
                </c:pt>
                <c:pt idx="21">
                  <c:v>0</c:v>
                </c:pt>
              </c:numCache>
            </c:numRef>
          </c:xVal>
          <c:yVal>
            <c:numRef>
              <c:f>SML!$E$6:$E$27</c:f>
              <c:numCache>
                <c:formatCode>0.00</c:formatCode>
                <c:ptCount val="22"/>
                <c:pt idx="0">
                  <c:v>17.93</c:v>
                </c:pt>
                <c:pt idx="1">
                  <c:v>14.576000000000001</c:v>
                </c:pt>
                <c:pt idx="2">
                  <c:v>13.718000000000002</c:v>
                </c:pt>
                <c:pt idx="3">
                  <c:v>12.860000000000001</c:v>
                </c:pt>
                <c:pt idx="4">
                  <c:v>12.782</c:v>
                </c:pt>
                <c:pt idx="5">
                  <c:v>11.378</c:v>
                </c:pt>
                <c:pt idx="6">
                  <c:v>11.3</c:v>
                </c:pt>
                <c:pt idx="7">
                  <c:v>10.988</c:v>
                </c:pt>
                <c:pt idx="8">
                  <c:v>10.832000000000001</c:v>
                </c:pt>
                <c:pt idx="9">
                  <c:v>10.754000000000001</c:v>
                </c:pt>
                <c:pt idx="10">
                  <c:v>10.598000000000001</c:v>
                </c:pt>
                <c:pt idx="11">
                  <c:v>10.52</c:v>
                </c:pt>
                <c:pt idx="12">
                  <c:v>9.6620000000000008</c:v>
                </c:pt>
                <c:pt idx="13">
                  <c:v>8.1020000000000003</c:v>
                </c:pt>
                <c:pt idx="14">
                  <c:v>7.4780000000000006</c:v>
                </c:pt>
                <c:pt idx="15">
                  <c:v>7.3220000000000001</c:v>
                </c:pt>
                <c:pt idx="16">
                  <c:v>7.1660000000000004</c:v>
                </c:pt>
                <c:pt idx="17">
                  <c:v>5.5280000000000005</c:v>
                </c:pt>
                <c:pt idx="18">
                  <c:v>5.3719999999999999</c:v>
                </c:pt>
                <c:pt idx="19">
                  <c:v>5.2940000000000005</c:v>
                </c:pt>
                <c:pt idx="20">
                  <c:v>11.3</c:v>
                </c:pt>
                <c:pt idx="21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2B-C14E-83B9-84280D759DC6}"/>
            </c:ext>
          </c:extLst>
        </c:ser>
        <c:ser>
          <c:idx val="1"/>
          <c:order val="1"/>
          <c:tx>
            <c:v>Expected Rate of Return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SML!$D$6:$D$27</c:f>
              <c:numCache>
                <c:formatCode>General</c:formatCode>
                <c:ptCount val="22"/>
                <c:pt idx="0">
                  <c:v>1.85</c:v>
                </c:pt>
                <c:pt idx="1">
                  <c:v>1.42</c:v>
                </c:pt>
                <c:pt idx="2">
                  <c:v>1.31</c:v>
                </c:pt>
                <c:pt idx="3">
                  <c:v>1.2</c:v>
                </c:pt>
                <c:pt idx="4">
                  <c:v>1.19</c:v>
                </c:pt>
                <c:pt idx="5">
                  <c:v>1.01</c:v>
                </c:pt>
                <c:pt idx="6">
                  <c:v>1</c:v>
                </c:pt>
                <c:pt idx="7">
                  <c:v>0.96</c:v>
                </c:pt>
                <c:pt idx="8">
                  <c:v>0.94</c:v>
                </c:pt>
                <c:pt idx="9">
                  <c:v>0.93</c:v>
                </c:pt>
                <c:pt idx="10" formatCode="0.00">
                  <c:v>0.91</c:v>
                </c:pt>
                <c:pt idx="11">
                  <c:v>0.9</c:v>
                </c:pt>
                <c:pt idx="12">
                  <c:v>0.79</c:v>
                </c:pt>
                <c:pt idx="13">
                  <c:v>0.59</c:v>
                </c:pt>
                <c:pt idx="14">
                  <c:v>0.51</c:v>
                </c:pt>
                <c:pt idx="15">
                  <c:v>0.49</c:v>
                </c:pt>
                <c:pt idx="16">
                  <c:v>0.47</c:v>
                </c:pt>
                <c:pt idx="17">
                  <c:v>0.26</c:v>
                </c:pt>
                <c:pt idx="18">
                  <c:v>0.24</c:v>
                </c:pt>
                <c:pt idx="19">
                  <c:v>0.23</c:v>
                </c:pt>
                <c:pt idx="20">
                  <c:v>1</c:v>
                </c:pt>
                <c:pt idx="21">
                  <c:v>0</c:v>
                </c:pt>
              </c:numCache>
            </c:numRef>
          </c:xVal>
          <c:yVal>
            <c:numRef>
              <c:f>SML!$C$6:$C$27</c:f>
              <c:numCache>
                <c:formatCode>0.0</c:formatCode>
                <c:ptCount val="22"/>
                <c:pt idx="0">
                  <c:v>18</c:v>
                </c:pt>
                <c:pt idx="1">
                  <c:v>16</c:v>
                </c:pt>
                <c:pt idx="2">
                  <c:v>12.5</c:v>
                </c:pt>
                <c:pt idx="3">
                  <c:v>11.4</c:v>
                </c:pt>
                <c:pt idx="4">
                  <c:v>13</c:v>
                </c:pt>
                <c:pt idx="5">
                  <c:v>12.5</c:v>
                </c:pt>
                <c:pt idx="6">
                  <c:v>11</c:v>
                </c:pt>
                <c:pt idx="7">
                  <c:v>10</c:v>
                </c:pt>
                <c:pt idx="8">
                  <c:v>11.5</c:v>
                </c:pt>
                <c:pt idx="9">
                  <c:v>11</c:v>
                </c:pt>
                <c:pt idx="10">
                  <c:v>9.4</c:v>
                </c:pt>
                <c:pt idx="11">
                  <c:v>9.3000000000000007</c:v>
                </c:pt>
                <c:pt idx="12">
                  <c:v>9</c:v>
                </c:pt>
                <c:pt idx="13">
                  <c:v>7.5</c:v>
                </c:pt>
                <c:pt idx="14">
                  <c:v>8.5</c:v>
                </c:pt>
                <c:pt idx="15">
                  <c:v>8.4</c:v>
                </c:pt>
                <c:pt idx="16">
                  <c:v>7.9</c:v>
                </c:pt>
                <c:pt idx="17">
                  <c:v>4.8</c:v>
                </c:pt>
                <c:pt idx="18">
                  <c:v>4.7</c:v>
                </c:pt>
                <c:pt idx="19">
                  <c:v>4.5999999999999996</c:v>
                </c:pt>
                <c:pt idx="20">
                  <c:v>11.3</c:v>
                </c:pt>
                <c:pt idx="21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2B-C14E-83B9-84280D759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789215"/>
        <c:axId val="1633612063"/>
      </c:scatterChart>
      <c:valAx>
        <c:axId val="168178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612063"/>
        <c:crosses val="autoZero"/>
        <c:crossBetween val="midCat"/>
      </c:valAx>
      <c:valAx>
        <c:axId val="163361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78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wmf"/><Relationship Id="rId2" Type="http://schemas.openxmlformats.org/officeDocument/2006/relationships/image" Target="../media/image5.wmf"/><Relationship Id="rId1" Type="http://schemas.openxmlformats.org/officeDocument/2006/relationships/image" Target="../media/image4.png"/><Relationship Id="rId5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emf"/><Relationship Id="rId3" Type="http://schemas.openxmlformats.org/officeDocument/2006/relationships/image" Target="../media/image9.emf"/><Relationship Id="rId7" Type="http://schemas.openxmlformats.org/officeDocument/2006/relationships/image" Target="../media/image13.emf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emf"/><Relationship Id="rId11" Type="http://schemas.openxmlformats.org/officeDocument/2006/relationships/image" Target="../media/image17.emf"/><Relationship Id="rId5" Type="http://schemas.openxmlformats.org/officeDocument/2006/relationships/image" Target="../media/image11.emf"/><Relationship Id="rId10" Type="http://schemas.openxmlformats.org/officeDocument/2006/relationships/image" Target="../media/image16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tiff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292239</xdr:colOff>
      <xdr:row>87</xdr:row>
      <xdr:rowOff>111264</xdr:rowOff>
    </xdr:from>
    <xdr:to>
      <xdr:col>8</xdr:col>
      <xdr:colOff>96865</xdr:colOff>
      <xdr:row>108</xdr:row>
      <xdr:rowOff>43052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32081DDF-51B6-ED47-9A37-8D99DE30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84666</xdr:colOff>
      <xdr:row>41</xdr:row>
      <xdr:rowOff>194518</xdr:rowOff>
    </xdr:from>
    <xdr:to>
      <xdr:col>17</xdr:col>
      <xdr:colOff>271481</xdr:colOff>
      <xdr:row>52</xdr:row>
      <xdr:rowOff>22062</xdr:rowOff>
    </xdr:to>
    <xdr:pic>
      <xdr:nvPicPr>
        <xdr:cNvPr id="3" name="Picture 2" descr="Extended computations for portfolio variance from the covariance matrix.">
          <a:extLst>
            <a:ext uri="{FF2B5EF4-FFF2-40B4-BE49-F238E27FC236}">
              <a16:creationId xmlns:a16="http://schemas.microsoft.com/office/drawing/2014/main" id="{11816E4F-0B19-D344-8BD6-90A35B674E8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266" y="8949051"/>
          <a:ext cx="5029749" cy="206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89662</xdr:colOff>
      <xdr:row>60</xdr:row>
      <xdr:rowOff>10762</xdr:rowOff>
    </xdr:from>
    <xdr:to>
      <xdr:col>16</xdr:col>
      <xdr:colOff>642103</xdr:colOff>
      <xdr:row>86</xdr:row>
      <xdr:rowOff>27981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301694-75E9-2AEC-C37C-06AD6D2AB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9662" y="12656948"/>
          <a:ext cx="3985746" cy="5355525"/>
        </a:xfrm>
        <a:prstGeom prst="rect">
          <a:avLst/>
        </a:prstGeom>
      </xdr:spPr>
    </xdr:pic>
    <xdr:clientData/>
  </xdr:twoCellAnchor>
  <xdr:twoCellAnchor editAs="oneCell">
    <xdr:from>
      <xdr:col>8</xdr:col>
      <xdr:colOff>462796</xdr:colOff>
      <xdr:row>87</xdr:row>
      <xdr:rowOff>86101</xdr:rowOff>
    </xdr:from>
    <xdr:to>
      <xdr:col>17</xdr:col>
      <xdr:colOff>368681</xdr:colOff>
      <xdr:row>108</xdr:row>
      <xdr:rowOff>86102</xdr:rowOff>
    </xdr:to>
    <xdr:pic>
      <xdr:nvPicPr>
        <xdr:cNvPr id="6" name="Picture 5" descr="Graph shows a collection of assets bounded by a minimum variance frontier">
          <a:extLst>
            <a:ext uri="{FF2B5EF4-FFF2-40B4-BE49-F238E27FC236}">
              <a16:creationId xmlns:a16="http://schemas.microsoft.com/office/drawing/2014/main" id="{ACE85A62-0F42-4650-A804-9730B103C92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4237" y="18275084"/>
          <a:ext cx="6395800" cy="429432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187920</xdr:colOff>
      <xdr:row>4</xdr:row>
      <xdr:rowOff>65690</xdr:rowOff>
    </xdr:from>
    <xdr:to>
      <xdr:col>15</xdr:col>
      <xdr:colOff>41943</xdr:colOff>
      <xdr:row>27</xdr:row>
      <xdr:rowOff>184911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D8E492-B894-574F-9185-7C0B969F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0937" y="1029138"/>
          <a:ext cx="3806351" cy="5243014"/>
        </a:xfrm>
        <a:prstGeom prst="rect">
          <a:avLst/>
        </a:prstGeom>
      </xdr:spPr>
    </xdr:pic>
    <xdr:clientData/>
  </xdr:twoCellAnchor>
  <xdr:twoCellAnchor editAs="oneCell">
    <xdr:from>
      <xdr:col>7</xdr:col>
      <xdr:colOff>48173</xdr:colOff>
      <xdr:row>25</xdr:row>
      <xdr:rowOff>109482</xdr:rowOff>
    </xdr:from>
    <xdr:to>
      <xdr:col>9</xdr:col>
      <xdr:colOff>87585</xdr:colOff>
      <xdr:row>26</xdr:row>
      <xdr:rowOff>131378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CEEC53-C0F3-F55D-E4F2-840431C20EE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7828" y="5594568"/>
          <a:ext cx="1681654" cy="229913"/>
        </a:xfrm>
        <a:prstGeom prst="rect">
          <a:avLst/>
        </a:prstGeom>
      </xdr:spPr>
    </xdr:pic>
    <xdr:clientData/>
  </xdr:twoCellAnchor>
  <xdr:twoCellAnchor editAs="oneCell">
    <xdr:from>
      <xdr:col>7</xdr:col>
      <xdr:colOff>43793</xdr:colOff>
      <xdr:row>25</xdr:row>
      <xdr:rowOff>119264</xdr:rowOff>
    </xdr:from>
    <xdr:to>
      <xdr:col>8</xdr:col>
      <xdr:colOff>59763</xdr:colOff>
      <xdr:row>26</xdr:row>
      <xdr:rowOff>156487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760300-BE51-FABA-35BC-7111492DEA6E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3448" y="5604350"/>
          <a:ext cx="837091" cy="245240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13</xdr:col>
      <xdr:colOff>177363</xdr:colOff>
      <xdr:row>29</xdr:row>
      <xdr:rowOff>40727</xdr:rowOff>
    </xdr:from>
    <xdr:to>
      <xdr:col>18</xdr:col>
      <xdr:colOff>540426</xdr:colOff>
      <xdr:row>42</xdr:row>
      <xdr:rowOff>54044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5F840B-84A7-B040-73C4-C7A859EBC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547413</xdr:colOff>
      <xdr:row>4</xdr:row>
      <xdr:rowOff>33030</xdr:rowOff>
    </xdr:from>
    <xdr:to>
      <xdr:col>9</xdr:col>
      <xdr:colOff>733534</xdr:colOff>
      <xdr:row>12</xdr:row>
      <xdr:rowOff>202175</xdr:rowOff>
    </xdr:to>
    <xdr:pic>
      <xdr:nvPicPr>
        <xdr:cNvPr id="6" name="Picture 5" descr="Extended computations for portfolio variance from the covariance matrix.">
          <a:extLst>
            <a:ext uri="{FF2B5EF4-FFF2-40B4-BE49-F238E27FC236}">
              <a16:creationId xmlns:a16="http://schemas.microsoft.com/office/drawing/2014/main" id="{C342E373-3582-9D85-3F75-96D638DE6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2585" y="996478"/>
          <a:ext cx="5112846" cy="1833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843280</xdr:colOff>
      <xdr:row>1</xdr:row>
      <xdr:rowOff>5632</xdr:rowOff>
    </xdr:from>
    <xdr:to>
      <xdr:col>10</xdr:col>
      <xdr:colOff>892946</xdr:colOff>
      <xdr:row>3</xdr:row>
      <xdr:rowOff>132079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9B6EDF-DDDD-34C2-B992-B22647B59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9520" y="208832"/>
          <a:ext cx="5840866" cy="624287"/>
        </a:xfrm>
        <a:prstGeom prst="rect">
          <a:avLst/>
        </a:prstGeom>
      </xdr:spPr>
    </xdr:pic>
    <xdr:clientData/>
  </xdr:twoCellAnchor>
  <xdr:twoCellAnchor editAs="oneCell">
    <xdr:from>
      <xdr:col>5</xdr:col>
      <xdr:colOff>515074</xdr:colOff>
      <xdr:row>22</xdr:row>
      <xdr:rowOff>162560</xdr:rowOff>
    </xdr:from>
    <xdr:to>
      <xdr:col>10</xdr:col>
      <xdr:colOff>103838</xdr:colOff>
      <xdr:row>24</xdr:row>
      <xdr:rowOff>190303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695779-163C-BEA0-D002-6F6CFCF6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6514" y="5171440"/>
          <a:ext cx="4414764" cy="434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345440</xdr:colOff>
      <xdr:row>36</xdr:row>
      <xdr:rowOff>33914</xdr:rowOff>
    </xdr:from>
    <xdr:to>
      <xdr:col>5</xdr:col>
      <xdr:colOff>160150</xdr:colOff>
      <xdr:row>37</xdr:row>
      <xdr:rowOff>106680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554549-F7F6-4B3F-031D-6444848F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4720" y="7887594"/>
          <a:ext cx="1899920" cy="275966"/>
        </a:xfrm>
        <a:prstGeom prst="rect">
          <a:avLst/>
        </a:prstGeom>
      </xdr:spPr>
    </xdr:pic>
    <xdr:clientData/>
  </xdr:twoCellAnchor>
  <xdr:twoCellAnchor editAs="oneCell">
    <xdr:from>
      <xdr:col>6</xdr:col>
      <xdr:colOff>441272</xdr:colOff>
      <xdr:row>57</xdr:row>
      <xdr:rowOff>139915</xdr:rowOff>
    </xdr:from>
    <xdr:to>
      <xdr:col>8</xdr:col>
      <xdr:colOff>550800</xdr:colOff>
      <xdr:row>60</xdr:row>
      <xdr:rowOff>182966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9093F9-D703-00E0-097D-A1A0345BB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3645" y="12786101"/>
          <a:ext cx="2046816" cy="656526"/>
        </a:xfrm>
        <a:prstGeom prst="rect">
          <a:avLst/>
        </a:prstGeom>
      </xdr:spPr>
    </xdr:pic>
    <xdr:clientData/>
  </xdr:twoCellAnchor>
  <xdr:twoCellAnchor editAs="oneCell">
    <xdr:from>
      <xdr:col>1</xdr:col>
      <xdr:colOff>129152</xdr:colOff>
      <xdr:row>65</xdr:row>
      <xdr:rowOff>118390</xdr:rowOff>
    </xdr:from>
    <xdr:to>
      <xdr:col>3</xdr:col>
      <xdr:colOff>315376</xdr:colOff>
      <xdr:row>67</xdr:row>
      <xdr:rowOff>21525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6C892B-95D4-D481-30E6-C943F5F75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118" y="14400509"/>
          <a:ext cx="3253597" cy="312118"/>
        </a:xfrm>
        <a:prstGeom prst="rect">
          <a:avLst/>
        </a:prstGeom>
      </xdr:spPr>
    </xdr:pic>
    <xdr:clientData/>
  </xdr:twoCellAnchor>
  <xdr:twoCellAnchor editAs="oneCell">
    <xdr:from>
      <xdr:col>7</xdr:col>
      <xdr:colOff>531635</xdr:colOff>
      <xdr:row>53</xdr:row>
      <xdr:rowOff>197900</xdr:rowOff>
    </xdr:from>
    <xdr:to>
      <xdr:col>8</xdr:col>
      <xdr:colOff>484322</xdr:colOff>
      <xdr:row>55</xdr:row>
      <xdr:rowOff>200617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D0E76A-443C-A1FE-1F7F-E4CE9F856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7228" y="11950781"/>
          <a:ext cx="921331" cy="465514"/>
        </a:xfrm>
        <a:prstGeom prst="rect">
          <a:avLst/>
        </a:prstGeom>
      </xdr:spPr>
    </xdr:pic>
    <xdr:clientData/>
  </xdr:twoCellAnchor>
  <xdr:twoCellAnchor editAs="oneCell">
    <xdr:from>
      <xdr:col>5</xdr:col>
      <xdr:colOff>965057</xdr:colOff>
      <xdr:row>52</xdr:row>
      <xdr:rowOff>53812</xdr:rowOff>
    </xdr:from>
    <xdr:to>
      <xdr:col>7</xdr:col>
      <xdr:colOff>276171</xdr:colOff>
      <xdr:row>54</xdr:row>
      <xdr:rowOff>83086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3472E-6C47-07B3-9E1A-8F773F9BE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03362" y="11580676"/>
          <a:ext cx="1248402" cy="492071"/>
        </a:xfrm>
        <a:prstGeom prst="rect">
          <a:avLst/>
        </a:prstGeom>
      </xdr:spPr>
    </xdr:pic>
    <xdr:clientData/>
  </xdr:twoCellAnchor>
  <xdr:twoCellAnchor editAs="oneCell">
    <xdr:from>
      <xdr:col>7</xdr:col>
      <xdr:colOff>678051</xdr:colOff>
      <xdr:row>50</xdr:row>
      <xdr:rowOff>21526</xdr:rowOff>
    </xdr:from>
    <xdr:to>
      <xdr:col>9</xdr:col>
      <xdr:colOff>221892</xdr:colOff>
      <xdr:row>52</xdr:row>
      <xdr:rowOff>21526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BE4BEE-13A1-DF77-8124-69A7ECEA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644" y="11096357"/>
          <a:ext cx="1481129" cy="452033"/>
        </a:xfrm>
        <a:prstGeom prst="rect">
          <a:avLst/>
        </a:prstGeom>
      </xdr:spPr>
    </xdr:pic>
    <xdr:clientData/>
  </xdr:twoCellAnchor>
  <xdr:twoCellAnchor editAs="oneCell">
    <xdr:from>
      <xdr:col>9</xdr:col>
      <xdr:colOff>548898</xdr:colOff>
      <xdr:row>50</xdr:row>
      <xdr:rowOff>1709</xdr:rowOff>
    </xdr:from>
    <xdr:to>
      <xdr:col>10</xdr:col>
      <xdr:colOff>573221</xdr:colOff>
      <xdr:row>52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DD6467-839A-ACDB-C862-C097B8954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1779" y="11076540"/>
          <a:ext cx="992967" cy="501124"/>
        </a:xfrm>
        <a:prstGeom prst="rect">
          <a:avLst/>
        </a:prstGeom>
      </xdr:spPr>
    </xdr:pic>
    <xdr:clientData/>
  </xdr:twoCellAnchor>
  <xdr:twoCellAnchor editAs="oneCell">
    <xdr:from>
      <xdr:col>8</xdr:col>
      <xdr:colOff>63436</xdr:colOff>
      <xdr:row>42</xdr:row>
      <xdr:rowOff>64577</xdr:rowOff>
    </xdr:from>
    <xdr:to>
      <xdr:col>8</xdr:col>
      <xdr:colOff>893305</xdr:colOff>
      <xdr:row>44</xdr:row>
      <xdr:rowOff>110426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9C78A-7DC4-9C47-487E-06AA4E1F2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07673" y="9406611"/>
          <a:ext cx="829869" cy="454832"/>
        </a:xfrm>
        <a:prstGeom prst="rect">
          <a:avLst/>
        </a:prstGeom>
      </xdr:spPr>
    </xdr:pic>
    <xdr:clientData/>
  </xdr:twoCellAnchor>
  <xdr:twoCellAnchor editAs="oneCell">
    <xdr:from>
      <xdr:col>9</xdr:col>
      <xdr:colOff>215913</xdr:colOff>
      <xdr:row>41</xdr:row>
      <xdr:rowOff>129153</xdr:rowOff>
    </xdr:from>
    <xdr:to>
      <xdr:col>9</xdr:col>
      <xdr:colOff>927410</xdr:colOff>
      <xdr:row>44</xdr:row>
      <xdr:rowOff>156807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13CBC2-E3F9-B135-DF6D-66E76B975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8794" y="9266695"/>
          <a:ext cx="711497" cy="641129"/>
        </a:xfrm>
        <a:prstGeom prst="rect">
          <a:avLst/>
        </a:prstGeom>
      </xdr:spPr>
    </xdr:pic>
    <xdr:clientData/>
  </xdr:twoCellAnchor>
  <xdr:twoCellAnchor editAs="oneCell">
    <xdr:from>
      <xdr:col>6</xdr:col>
      <xdr:colOff>169333</xdr:colOff>
      <xdr:row>62</xdr:row>
      <xdr:rowOff>159926</xdr:rowOff>
    </xdr:from>
    <xdr:to>
      <xdr:col>8</xdr:col>
      <xdr:colOff>860307</xdr:colOff>
      <xdr:row>65</xdr:row>
      <xdr:rowOff>123237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31E5E7-F273-783F-7BFB-C619C0C7C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2296" y="13970000"/>
          <a:ext cx="2628900" cy="584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488950</xdr:colOff>
      <xdr:row>21</xdr:row>
      <xdr:rowOff>127000</xdr:rowOff>
    </xdr:from>
    <xdr:to>
      <xdr:col>13</xdr:col>
      <xdr:colOff>895350</xdr:colOff>
      <xdr:row>34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340B86-F249-9648-862A-8B2035B17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4</xdr:row>
      <xdr:rowOff>83083</xdr:rowOff>
    </xdr:from>
    <xdr:to>
      <xdr:col>10</xdr:col>
      <xdr:colOff>783365</xdr:colOff>
      <xdr:row>20</xdr:row>
      <xdr:rowOff>94951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81014-A500-DF46-8479-CC10B5FCC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2023094</xdr:colOff>
      <xdr:row>27</xdr:row>
      <xdr:rowOff>169748</xdr:rowOff>
    </xdr:from>
    <xdr:to>
      <xdr:col>11</xdr:col>
      <xdr:colOff>5197</xdr:colOff>
      <xdr:row>45</xdr:row>
      <xdr:rowOff>153939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44A750-2072-6A4E-A428-F3DBCB89F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2639" y="6423536"/>
          <a:ext cx="4189337" cy="37941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ulahn/Desktop/Accounting%20TA/Performance%20Management/C:/Users/John/Accounting%20HULT%20My%20Files/accounting%20hult%20team%20files/Managerial%20Accounting/Chapter%202/C-V-P%20Graph%20for%20Class%2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C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1957-CFD8-5B4E-A797-6A1275CABBD0}">
  <sheetPr>
    <pageSetUpPr fitToPage="1"/>
  </sheetPr>
  <dimension ref="A2:K86"/>
  <sheetViews>
    <sheetView showGridLines="0" tabSelected="1" zoomScale="95" zoomScaleNormal="95" workbookViewId="0">
      <selection activeCell="I11" sqref="I11"/>
    </sheetView>
  </sheetViews>
  <sheetFormatPr defaultColWidth="8.8125" defaultRowHeight="15.4" x14ac:dyDescent="0.5"/>
  <cols>
    <col min="1" max="1" width="5.5" style="1" customWidth="1"/>
    <col min="2" max="2" width="14.6875" style="1" customWidth="1"/>
    <col min="3" max="10" width="10.8125" style="1" customWidth="1"/>
    <col min="11" max="12" width="9.5" style="1" customWidth="1"/>
    <col min="13" max="16384" width="8.8125" style="1"/>
  </cols>
  <sheetData>
    <row r="2" spans="2:5" ht="30.4" x14ac:dyDescent="0.5">
      <c r="B2" s="112" t="s">
        <v>231</v>
      </c>
    </row>
    <row r="3" spans="2:5" ht="22.5" x14ac:dyDescent="0.5">
      <c r="B3" s="111" t="s">
        <v>27</v>
      </c>
    </row>
    <row r="4" spans="2:5" x14ac:dyDescent="0.5">
      <c r="B4" s="2"/>
    </row>
    <row r="5" spans="2:5" ht="17.25" x14ac:dyDescent="0.5">
      <c r="B5" s="3" t="s">
        <v>28</v>
      </c>
    </row>
    <row r="6" spans="2:5" x14ac:dyDescent="0.5">
      <c r="B6" s="4" t="s">
        <v>29</v>
      </c>
      <c r="C6" s="5" t="s">
        <v>0</v>
      </c>
      <c r="D6" s="6" t="s">
        <v>25</v>
      </c>
      <c r="E6" s="5" t="s">
        <v>30</v>
      </c>
    </row>
    <row r="7" spans="2:5" x14ac:dyDescent="0.5">
      <c r="B7" s="7" t="s">
        <v>31</v>
      </c>
      <c r="C7" s="22">
        <v>15.539276488899523</v>
      </c>
      <c r="D7" s="124">
        <v>26.466608991266092</v>
      </c>
      <c r="E7" s="8" t="s">
        <v>32</v>
      </c>
    </row>
    <row r="8" spans="2:5" x14ac:dyDescent="0.5">
      <c r="B8" s="7" t="s">
        <v>33</v>
      </c>
      <c r="C8" s="22">
        <v>6.3852171257331003</v>
      </c>
      <c r="D8" s="124">
        <v>41.147491759544074</v>
      </c>
      <c r="E8" s="8" t="s">
        <v>34</v>
      </c>
    </row>
    <row r="9" spans="2:5" x14ac:dyDescent="0.5">
      <c r="B9" s="7" t="s">
        <v>35</v>
      </c>
      <c r="C9" s="22">
        <v>26.59986218962187</v>
      </c>
      <c r="D9" s="124">
        <v>26.051404734230072</v>
      </c>
      <c r="E9" s="8" t="s">
        <v>36</v>
      </c>
    </row>
    <row r="10" spans="2:5" x14ac:dyDescent="0.5">
      <c r="B10" s="7" t="s">
        <v>37</v>
      </c>
      <c r="C10" s="22">
        <v>1.4132525880647284</v>
      </c>
      <c r="D10" s="124">
        <v>26.070928017759709</v>
      </c>
      <c r="E10" s="8" t="s">
        <v>38</v>
      </c>
    </row>
    <row r="11" spans="2:5" x14ac:dyDescent="0.5">
      <c r="B11" s="7" t="s">
        <v>39</v>
      </c>
      <c r="C11" s="22">
        <v>18.074498346334877</v>
      </c>
      <c r="D11" s="124">
        <v>21.69178960855788</v>
      </c>
      <c r="E11" s="8" t="s">
        <v>40</v>
      </c>
    </row>
    <row r="12" spans="2:5" x14ac:dyDescent="0.5">
      <c r="B12" s="7" t="s">
        <v>41</v>
      </c>
      <c r="C12" s="22">
        <v>16.634740425929206</v>
      </c>
      <c r="D12" s="124">
        <v>25.077949901862816</v>
      </c>
      <c r="E12" s="8" t="s">
        <v>42</v>
      </c>
    </row>
    <row r="13" spans="2:5" x14ac:dyDescent="0.5">
      <c r="B13" s="7" t="s">
        <v>43</v>
      </c>
      <c r="C13" s="22">
        <v>16.22434104748114</v>
      </c>
      <c r="D13" s="124">
        <v>38.768621300032876</v>
      </c>
      <c r="E13" s="8" t="s">
        <v>44</v>
      </c>
    </row>
    <row r="14" spans="2:5" x14ac:dyDescent="0.5">
      <c r="B14" s="7" t="s">
        <v>45</v>
      </c>
      <c r="C14" s="22">
        <v>17.230554843125766</v>
      </c>
      <c r="D14" s="124">
        <v>17.194402021984949</v>
      </c>
      <c r="E14" s="8" t="s">
        <v>46</v>
      </c>
    </row>
    <row r="17" spans="2:10" ht="17.25" x14ac:dyDescent="0.5">
      <c r="B17" s="9" t="s">
        <v>47</v>
      </c>
    </row>
    <row r="18" spans="2:10" x14ac:dyDescent="0.5">
      <c r="B18" s="10" t="s">
        <v>48</v>
      </c>
      <c r="C18" s="11" t="s">
        <v>31</v>
      </c>
      <c r="D18" s="11" t="s">
        <v>49</v>
      </c>
      <c r="E18" s="11" t="s">
        <v>50</v>
      </c>
      <c r="F18" s="11" t="s">
        <v>51</v>
      </c>
      <c r="G18" s="11" t="s">
        <v>52</v>
      </c>
      <c r="H18" s="11" t="s">
        <v>53</v>
      </c>
      <c r="I18" s="11" t="s">
        <v>54</v>
      </c>
      <c r="J18" s="11" t="s">
        <v>45</v>
      </c>
    </row>
    <row r="19" spans="2:10" x14ac:dyDescent="0.5">
      <c r="B19" s="7" t="s">
        <v>31</v>
      </c>
      <c r="C19" s="22">
        <v>1</v>
      </c>
      <c r="D19" s="22">
        <v>0.44955266948035938</v>
      </c>
      <c r="E19" s="22">
        <v>0.60616200213100102</v>
      </c>
      <c r="F19" s="22">
        <v>0.45385512187252242</v>
      </c>
      <c r="G19" s="22">
        <v>0.58984394682521446</v>
      </c>
      <c r="H19" s="22">
        <v>0.69774774667851958</v>
      </c>
      <c r="I19" s="22">
        <v>0.5427173718606203</v>
      </c>
      <c r="J19" s="22">
        <v>0.56654677575068269</v>
      </c>
    </row>
    <row r="20" spans="2:10" x14ac:dyDescent="0.5">
      <c r="B20" s="7" t="s">
        <v>49</v>
      </c>
      <c r="C20" s="22">
        <v>0.44955266948035938</v>
      </c>
      <c r="D20" s="22">
        <v>1</v>
      </c>
      <c r="E20" s="22">
        <v>0.33991635159347533</v>
      </c>
      <c r="F20" s="22">
        <v>0.62949830335491486</v>
      </c>
      <c r="G20" s="22">
        <v>0.50390562225133217</v>
      </c>
      <c r="H20" s="22">
        <v>0.57527386802101899</v>
      </c>
      <c r="I20" s="22">
        <v>0.77517130356141506</v>
      </c>
      <c r="J20" s="22">
        <v>0.66719305343490531</v>
      </c>
    </row>
    <row r="21" spans="2:10" x14ac:dyDescent="0.5">
      <c r="B21" s="7" t="s">
        <v>50</v>
      </c>
      <c r="C21" s="22">
        <v>0.60616200213100102</v>
      </c>
      <c r="D21" s="22">
        <v>0.33991635159347533</v>
      </c>
      <c r="E21" s="22">
        <v>1</v>
      </c>
      <c r="F21" s="22">
        <v>0.15031008365125065</v>
      </c>
      <c r="G21" s="22">
        <v>0.68666344301992133</v>
      </c>
      <c r="H21" s="22">
        <v>0.71249019656000778</v>
      </c>
      <c r="I21" s="22">
        <v>0.47108226609009396</v>
      </c>
      <c r="J21" s="22">
        <v>0.40016082177919515</v>
      </c>
    </row>
    <row r="22" spans="2:10" x14ac:dyDescent="0.5">
      <c r="B22" s="7" t="s">
        <v>51</v>
      </c>
      <c r="C22" s="22">
        <v>0.45</v>
      </c>
      <c r="D22" s="22">
        <v>0.62949830335491486</v>
      </c>
      <c r="E22" s="22">
        <v>0.15031008365125065</v>
      </c>
      <c r="F22" s="22">
        <v>1</v>
      </c>
      <c r="G22" s="22">
        <v>0.4951392670050539</v>
      </c>
      <c r="H22" s="22">
        <v>0.4287452632719197</v>
      </c>
      <c r="I22" s="22">
        <v>0.48519432108533422</v>
      </c>
      <c r="J22" s="22">
        <v>0.60664920267962952</v>
      </c>
    </row>
    <row r="23" spans="2:10" x14ac:dyDescent="0.5">
      <c r="B23" s="7" t="s">
        <v>52</v>
      </c>
      <c r="C23" s="22">
        <v>0.58984394682521446</v>
      </c>
      <c r="D23" s="22">
        <v>0.50390562225133217</v>
      </c>
      <c r="E23" s="22">
        <v>0.68666344301992133</v>
      </c>
      <c r="F23" s="22">
        <v>0.4951392670050539</v>
      </c>
      <c r="G23" s="22">
        <v>1</v>
      </c>
      <c r="H23" s="22">
        <v>0.770841130476415</v>
      </c>
      <c r="I23" s="22">
        <v>0.46331697161245583</v>
      </c>
      <c r="J23" s="22">
        <v>0.62938429498864212</v>
      </c>
    </row>
    <row r="24" spans="2:10" x14ac:dyDescent="0.5">
      <c r="B24" s="7" t="s">
        <v>53</v>
      </c>
      <c r="C24" s="22">
        <v>0.69774774667851958</v>
      </c>
      <c r="D24" s="22">
        <v>0.57527386802101899</v>
      </c>
      <c r="E24" s="22">
        <v>0.71249019656000778</v>
      </c>
      <c r="F24" s="22">
        <v>0.4287452632719197</v>
      </c>
      <c r="G24" s="22">
        <v>0.770841130476415</v>
      </c>
      <c r="H24" s="22">
        <v>1</v>
      </c>
      <c r="I24" s="22">
        <v>0.54055786739544065</v>
      </c>
      <c r="J24" s="22">
        <v>0.63776065924516212</v>
      </c>
    </row>
    <row r="25" spans="2:10" x14ac:dyDescent="0.5">
      <c r="B25" s="7" t="s">
        <v>54</v>
      </c>
      <c r="C25" s="22">
        <v>0.5427173718606203</v>
      </c>
      <c r="D25" s="22">
        <v>0.77517130356141506</v>
      </c>
      <c r="E25" s="22">
        <v>0.47108226609009396</v>
      </c>
      <c r="F25" s="22">
        <v>0.48519432108533422</v>
      </c>
      <c r="G25" s="22">
        <v>0.46331697161245583</v>
      </c>
      <c r="H25" s="22">
        <v>0.54055786739544065</v>
      </c>
      <c r="I25" s="22">
        <v>1</v>
      </c>
      <c r="J25" s="22">
        <v>0.72431759084592484</v>
      </c>
    </row>
    <row r="26" spans="2:10" x14ac:dyDescent="0.5">
      <c r="B26" s="7" t="s">
        <v>45</v>
      </c>
      <c r="C26" s="22">
        <v>0.56654677575068269</v>
      </c>
      <c r="D26" s="22">
        <v>0.66719305343490531</v>
      </c>
      <c r="E26" s="22">
        <v>0.40016082177919515</v>
      </c>
      <c r="F26" s="22">
        <v>0.60664920267962952</v>
      </c>
      <c r="G26" s="22">
        <v>0.62938429498864212</v>
      </c>
      <c r="H26" s="22">
        <v>0.63776065924516212</v>
      </c>
      <c r="I26" s="22">
        <v>0.72431759084592484</v>
      </c>
      <c r="J26" s="22">
        <v>1</v>
      </c>
    </row>
    <row r="29" spans="2:10" ht="17.25" x14ac:dyDescent="0.5">
      <c r="B29" s="12" t="s">
        <v>55</v>
      </c>
    </row>
    <row r="30" spans="2:10" x14ac:dyDescent="0.5">
      <c r="B30" s="4" t="s">
        <v>56</v>
      </c>
      <c r="C30" s="11" t="s">
        <v>31</v>
      </c>
      <c r="D30" s="11" t="s">
        <v>49</v>
      </c>
      <c r="E30" s="11" t="s">
        <v>50</v>
      </c>
      <c r="F30" s="11" t="s">
        <v>51</v>
      </c>
      <c r="G30" s="11" t="s">
        <v>52</v>
      </c>
      <c r="H30" s="11" t="s">
        <v>53</v>
      </c>
      <c r="I30" s="11" t="s">
        <v>54</v>
      </c>
      <c r="J30" s="11" t="s">
        <v>45</v>
      </c>
    </row>
    <row r="31" spans="2:10" x14ac:dyDescent="0.5">
      <c r="B31" s="7" t="s">
        <v>31</v>
      </c>
      <c r="C31" s="22">
        <f>C19*D7*D7</f>
        <v>700.4813914965672</v>
      </c>
      <c r="D31" s="22">
        <f>D19*D7*D8</f>
        <v>489.5784005145311</v>
      </c>
      <c r="E31" s="22">
        <f>E19*D7*D9</f>
        <v>417.94405894993417</v>
      </c>
      <c r="F31" s="22">
        <f>F19*D7*D10</f>
        <v>313.16414505976348</v>
      </c>
      <c r="G31" s="22">
        <f>G19*D7*D11</f>
        <v>338.63419580155835</v>
      </c>
      <c r="H31" s="22">
        <f>H19*D7*D12</f>
        <v>463.11492179309215</v>
      </c>
      <c r="I31" s="22">
        <f>I19*D7*D13</f>
        <v>556.8681526367601</v>
      </c>
      <c r="J31" s="22">
        <f>J19*D7*D14</f>
        <v>257.8226989274205</v>
      </c>
    </row>
    <row r="32" spans="2:10" x14ac:dyDescent="0.5">
      <c r="B32" s="7" t="s">
        <v>49</v>
      </c>
      <c r="C32" s="22">
        <f>C20*D8*D7</f>
        <v>489.57840051453104</v>
      </c>
      <c r="D32" s="22">
        <f>D20*D8*D8</f>
        <v>1693.1160781017475</v>
      </c>
      <c r="E32" s="22">
        <f>E20*D8*D9</f>
        <v>364.3733200467708</v>
      </c>
      <c r="F32" s="22">
        <f>F20*D8*D10</f>
        <v>675.29637960839955</v>
      </c>
      <c r="G32" s="22">
        <f>G20*D8*D11</f>
        <v>449.76737995922565</v>
      </c>
      <c r="H32" s="22">
        <f>H20*D8*D12</f>
        <v>593.6220767060704</v>
      </c>
      <c r="I32" s="22">
        <f>I20*D8*D13</f>
        <v>1236.5777010823854</v>
      </c>
      <c r="J32" s="22">
        <f>J20*D8*D14</f>
        <v>472.0434324081495</v>
      </c>
    </row>
    <row r="33" spans="1:10" x14ac:dyDescent="0.5">
      <c r="B33" s="7" t="s">
        <v>50</v>
      </c>
      <c r="C33" s="22">
        <f>C21*D9*D7</f>
        <v>417.94405894993417</v>
      </c>
      <c r="D33" s="22">
        <f>D21*D9*D8</f>
        <v>364.3733200467708</v>
      </c>
      <c r="E33" s="22">
        <f>E21*D9*D9</f>
        <v>678.67568862666496</v>
      </c>
      <c r="F33" s="22">
        <f>F21*D9*D10</f>
        <v>102.08824858501359</v>
      </c>
      <c r="G33" s="22">
        <f>G21*D9*D11</f>
        <v>388.03460379034811</v>
      </c>
      <c r="H33" s="22">
        <f>H21*D9*D12</f>
        <v>465.48111900123388</v>
      </c>
      <c r="I33" s="22">
        <f>I21*D9*D13</f>
        <v>475.78227481037607</v>
      </c>
      <c r="J33" s="22">
        <f>J21*D9*D14</f>
        <v>179.24736873371279</v>
      </c>
    </row>
    <row r="34" spans="1:10" x14ac:dyDescent="0.5">
      <c r="B34" s="7" t="s">
        <v>51</v>
      </c>
      <c r="C34" s="22">
        <f>C22*D10*D7</f>
        <v>310.50407604847061</v>
      </c>
      <c r="D34" s="22">
        <f>D22*D10*D8</f>
        <v>675.29637960839966</v>
      </c>
      <c r="E34" s="22">
        <f>E22*D10*D9</f>
        <v>102.08824858501359</v>
      </c>
      <c r="F34" s="22">
        <f>F22*D10*D10</f>
        <v>679.69328770720813</v>
      </c>
      <c r="G34" s="22">
        <f>G22*D10*D11</f>
        <v>280.01367628817979</v>
      </c>
      <c r="H34" s="22">
        <f>H22*D10*D12</f>
        <v>280.31597980958395</v>
      </c>
      <c r="I34" s="22">
        <f>I22*D10*D13</f>
        <v>490.40236551684137</v>
      </c>
      <c r="J34" s="22">
        <f>J22*D10*D14</f>
        <v>271.94507525201618</v>
      </c>
    </row>
    <row r="35" spans="1:10" x14ac:dyDescent="0.5">
      <c r="B35" s="7" t="s">
        <v>52</v>
      </c>
      <c r="C35" s="22">
        <f>C23*D11*D7</f>
        <v>338.63419580155835</v>
      </c>
      <c r="D35" s="22">
        <f>D23*D11*D8</f>
        <v>449.76737995922559</v>
      </c>
      <c r="E35" s="22">
        <f>E23*D11*D9</f>
        <v>388.03460379034806</v>
      </c>
      <c r="F35" s="22">
        <f>F23*D11*D10</f>
        <v>280.01367628817979</v>
      </c>
      <c r="G35" s="22">
        <f>G23*D11*D11</f>
        <v>470.53373642193964</v>
      </c>
      <c r="H35" s="22">
        <f>H23*D11*D12</f>
        <v>419.32648495347269</v>
      </c>
      <c r="I35" s="22">
        <f>I23*D11*D13</f>
        <v>389.63140028426835</v>
      </c>
      <c r="J35" s="22">
        <f>J23*D11*D14</f>
        <v>234.74608717249276</v>
      </c>
    </row>
    <row r="36" spans="1:10" x14ac:dyDescent="0.5">
      <c r="B36" s="7" t="s">
        <v>53</v>
      </c>
      <c r="C36" s="22">
        <f>C24*D12*D7</f>
        <v>463.11492179309215</v>
      </c>
      <c r="D36" s="22">
        <f>D24*D12*D8</f>
        <v>593.6220767060704</v>
      </c>
      <c r="E36" s="22">
        <f>E24*D12*D9</f>
        <v>465.48111900123388</v>
      </c>
      <c r="F36" s="22">
        <f>F24*D12*D10</f>
        <v>280.31597980958395</v>
      </c>
      <c r="G36" s="22">
        <f>G24*D12*D11</f>
        <v>419.32648495347269</v>
      </c>
      <c r="H36" s="22">
        <f>H24*D12*D12</f>
        <v>628.90357128034123</v>
      </c>
      <c r="I36" s="22">
        <f>I24*D12*D13</f>
        <v>525.55065269802924</v>
      </c>
      <c r="J36" s="22">
        <f>J24*D12*D14</f>
        <v>275.00262107703611</v>
      </c>
    </row>
    <row r="37" spans="1:10" x14ac:dyDescent="0.5">
      <c r="B37" s="7" t="s">
        <v>54</v>
      </c>
      <c r="C37" s="22">
        <f>C25*D13*D7</f>
        <v>556.8681526367601</v>
      </c>
      <c r="D37" s="22">
        <f>D25*D13*D8</f>
        <v>1236.5777010823854</v>
      </c>
      <c r="E37" s="22">
        <f>E25*D13*D9</f>
        <v>475.78227481037607</v>
      </c>
      <c r="F37" s="22">
        <f>F25*D13*D10</f>
        <v>490.40236551684143</v>
      </c>
      <c r="G37" s="22">
        <f>G25*D13*D11</f>
        <v>389.63140028426835</v>
      </c>
      <c r="H37" s="22">
        <f>H25*D13*D12</f>
        <v>525.55065269802913</v>
      </c>
      <c r="I37" s="22">
        <f>I25*D13*D13</f>
        <v>1503.0059975053628</v>
      </c>
      <c r="J37" s="22">
        <f>J25*D13*D14</f>
        <v>482.83246767428756</v>
      </c>
    </row>
    <row r="38" spans="1:10" x14ac:dyDescent="0.5">
      <c r="B38" s="7" t="s">
        <v>45</v>
      </c>
      <c r="C38" s="22">
        <f>C26*D14*D7</f>
        <v>257.8226989274205</v>
      </c>
      <c r="D38" s="22">
        <f>D26*D14*D8</f>
        <v>472.0434324081495</v>
      </c>
      <c r="E38" s="22">
        <f>E26*D14*D9</f>
        <v>179.24736873371279</v>
      </c>
      <c r="F38" s="22">
        <f>F26*D14*D10</f>
        <v>271.94507525201618</v>
      </c>
      <c r="G38" s="22">
        <f>G26*D14*D11</f>
        <v>234.74608717249274</v>
      </c>
      <c r="H38" s="22">
        <f>H26*D14*D12</f>
        <v>275.00262107703611</v>
      </c>
      <c r="I38" s="22">
        <f>I26*D14*D13</f>
        <v>482.8324676742875</v>
      </c>
      <c r="J38" s="22">
        <f>J26*D14*D14</f>
        <v>295.64746089364013</v>
      </c>
    </row>
    <row r="41" spans="1:10" ht="17.25" x14ac:dyDescent="0.5">
      <c r="B41" s="13" t="s">
        <v>57</v>
      </c>
      <c r="J41" s="125" t="str">
        <f ca="1">_xlfn.FORMULATEXT(J44)</f>
        <v>=$B44*J$43*J31</v>
      </c>
    </row>
    <row r="42" spans="1:10" x14ac:dyDescent="0.5">
      <c r="B42" s="14" t="s">
        <v>58</v>
      </c>
      <c r="C42" s="8" t="s">
        <v>31</v>
      </c>
      <c r="D42" s="8" t="s">
        <v>49</v>
      </c>
      <c r="E42" s="8" t="s">
        <v>50</v>
      </c>
      <c r="F42" s="8" t="s">
        <v>51</v>
      </c>
      <c r="G42" s="8" t="s">
        <v>52</v>
      </c>
      <c r="H42" s="8" t="s">
        <v>53</v>
      </c>
      <c r="I42" s="8" t="s">
        <v>54</v>
      </c>
      <c r="J42" s="8" t="s">
        <v>45</v>
      </c>
    </row>
    <row r="43" spans="1:10" x14ac:dyDescent="0.5">
      <c r="B43" s="4" t="s">
        <v>59</v>
      </c>
      <c r="C43" s="15">
        <f>B44</f>
        <v>0.125</v>
      </c>
      <c r="D43" s="15">
        <f>B45</f>
        <v>0.125</v>
      </c>
      <c r="E43" s="15">
        <f>B46</f>
        <v>0.125</v>
      </c>
      <c r="F43" s="15">
        <f>B47</f>
        <v>0.125</v>
      </c>
      <c r="G43" s="15">
        <f>B48</f>
        <v>0.125</v>
      </c>
      <c r="H43" s="15">
        <f>B49</f>
        <v>0.125</v>
      </c>
      <c r="I43" s="15">
        <f>B50</f>
        <v>0.125</v>
      </c>
      <c r="J43" s="15">
        <f>B51</f>
        <v>0.125</v>
      </c>
    </row>
    <row r="44" spans="1:10" x14ac:dyDescent="0.5">
      <c r="A44" s="125" t="s">
        <v>31</v>
      </c>
      <c r="B44" s="16">
        <f>1/8</f>
        <v>0.125</v>
      </c>
      <c r="C44" s="17">
        <f>$B44*C$43*C31</f>
        <v>10.945021742133862</v>
      </c>
      <c r="D44" s="17">
        <f>$B44*D$43*D31</f>
        <v>7.6496625080395484</v>
      </c>
      <c r="E44" s="17">
        <f t="shared" ref="E44:I44" si="0">$B44*E$43*E31</f>
        <v>6.5303759210927215</v>
      </c>
      <c r="F44" s="17">
        <f t="shared" si="0"/>
        <v>4.8931897665588044</v>
      </c>
      <c r="G44" s="17">
        <f t="shared" si="0"/>
        <v>5.2911593093993492</v>
      </c>
      <c r="H44" s="17">
        <f t="shared" si="0"/>
        <v>7.2361706530170649</v>
      </c>
      <c r="I44" s="17">
        <f t="shared" si="0"/>
        <v>8.7010648849493766</v>
      </c>
      <c r="J44" s="17">
        <f>$B44*J$43*J31</f>
        <v>4.0284796707409454</v>
      </c>
    </row>
    <row r="45" spans="1:10" x14ac:dyDescent="0.5">
      <c r="A45" s="125" t="s">
        <v>49</v>
      </c>
      <c r="B45" s="16">
        <f t="shared" ref="B45:B51" si="1">1/8</f>
        <v>0.125</v>
      </c>
      <c r="C45" s="17">
        <f t="shared" ref="C45:D51" si="2">$B45*C$43*C32</f>
        <v>7.6496625080395475</v>
      </c>
      <c r="D45" s="17">
        <f t="shared" si="2"/>
        <v>26.454938720339804</v>
      </c>
      <c r="E45" s="17">
        <f t="shared" ref="E45:J45" si="3">$B45*E$43*E32</f>
        <v>5.6933331257307938</v>
      </c>
      <c r="F45" s="17">
        <f t="shared" si="3"/>
        <v>10.551505931381243</v>
      </c>
      <c r="G45" s="17">
        <f t="shared" si="3"/>
        <v>7.0276153118629008</v>
      </c>
      <c r="H45" s="17">
        <f t="shared" si="3"/>
        <v>9.27534494853235</v>
      </c>
      <c r="I45" s="17">
        <f t="shared" si="3"/>
        <v>19.321526579412271</v>
      </c>
      <c r="J45" s="17">
        <f t="shared" si="3"/>
        <v>7.3756786313773359</v>
      </c>
    </row>
    <row r="46" spans="1:10" x14ac:dyDescent="0.5">
      <c r="A46" s="125" t="s">
        <v>50</v>
      </c>
      <c r="B46" s="16">
        <f t="shared" si="1"/>
        <v>0.125</v>
      </c>
      <c r="C46" s="17">
        <f t="shared" si="2"/>
        <v>6.5303759210927215</v>
      </c>
      <c r="D46" s="17">
        <f t="shared" si="2"/>
        <v>5.6933331257307938</v>
      </c>
      <c r="E46" s="17">
        <f t="shared" ref="E46:J46" si="4">$B46*E$43*E33</f>
        <v>10.60430763479164</v>
      </c>
      <c r="F46" s="17">
        <f t="shared" si="4"/>
        <v>1.5951288841408373</v>
      </c>
      <c r="G46" s="17">
        <f t="shared" si="4"/>
        <v>6.0630406842241893</v>
      </c>
      <c r="H46" s="17">
        <f t="shared" si="4"/>
        <v>7.2731424843942794</v>
      </c>
      <c r="I46" s="17">
        <f t="shared" si="4"/>
        <v>7.434098043912126</v>
      </c>
      <c r="J46" s="17">
        <f t="shared" si="4"/>
        <v>2.8007401364642623</v>
      </c>
    </row>
    <row r="47" spans="1:10" x14ac:dyDescent="0.5">
      <c r="A47" s="125" t="s">
        <v>51</v>
      </c>
      <c r="B47" s="16">
        <f t="shared" si="1"/>
        <v>0.125</v>
      </c>
      <c r="C47" s="17">
        <f t="shared" si="2"/>
        <v>4.8516261882573533</v>
      </c>
      <c r="D47" s="17">
        <f t="shared" si="2"/>
        <v>10.551505931381245</v>
      </c>
      <c r="E47" s="17">
        <f t="shared" ref="E47:J47" si="5">$B47*E$43*E34</f>
        <v>1.5951288841408373</v>
      </c>
      <c r="F47" s="17">
        <f t="shared" si="5"/>
        <v>10.620207620425127</v>
      </c>
      <c r="G47" s="17">
        <f t="shared" si="5"/>
        <v>4.3752136920028093</v>
      </c>
      <c r="H47" s="17">
        <f t="shared" si="5"/>
        <v>4.3799371845247492</v>
      </c>
      <c r="I47" s="17">
        <f t="shared" si="5"/>
        <v>7.6625369612006464</v>
      </c>
      <c r="J47" s="17">
        <f t="shared" si="5"/>
        <v>4.2491418008127528</v>
      </c>
    </row>
    <row r="48" spans="1:10" x14ac:dyDescent="0.5">
      <c r="A48" s="125" t="s">
        <v>52</v>
      </c>
      <c r="B48" s="16">
        <f t="shared" si="1"/>
        <v>0.125</v>
      </c>
      <c r="C48" s="17">
        <f t="shared" si="2"/>
        <v>5.2911593093993492</v>
      </c>
      <c r="D48" s="17">
        <f t="shared" si="2"/>
        <v>7.0276153118628999</v>
      </c>
      <c r="E48" s="17">
        <f t="shared" ref="E48:J48" si="6">$B48*E$43*E35</f>
        <v>6.0630406842241884</v>
      </c>
      <c r="F48" s="17">
        <f t="shared" si="6"/>
        <v>4.3752136920028093</v>
      </c>
      <c r="G48" s="17">
        <f t="shared" si="6"/>
        <v>7.3520896315928068</v>
      </c>
      <c r="H48" s="17">
        <f t="shared" si="6"/>
        <v>6.5519763273980107</v>
      </c>
      <c r="I48" s="17">
        <f t="shared" si="6"/>
        <v>6.087990629441693</v>
      </c>
      <c r="J48" s="17">
        <f t="shared" si="6"/>
        <v>3.6679076120701994</v>
      </c>
    </row>
    <row r="49" spans="1:10" x14ac:dyDescent="0.5">
      <c r="A49" s="125" t="s">
        <v>53</v>
      </c>
      <c r="B49" s="16">
        <f t="shared" si="1"/>
        <v>0.125</v>
      </c>
      <c r="C49" s="17">
        <f t="shared" si="2"/>
        <v>7.2361706530170649</v>
      </c>
      <c r="D49" s="17">
        <f t="shared" si="2"/>
        <v>9.27534494853235</v>
      </c>
      <c r="E49" s="17">
        <f t="shared" ref="E49:J49" si="7">$B49*E$43*E36</f>
        <v>7.2731424843942794</v>
      </c>
      <c r="F49" s="17">
        <f t="shared" si="7"/>
        <v>4.3799371845247492</v>
      </c>
      <c r="G49" s="17">
        <f t="shared" si="7"/>
        <v>6.5519763273980107</v>
      </c>
      <c r="H49" s="17">
        <f t="shared" si="7"/>
        <v>9.8266183012553316</v>
      </c>
      <c r="I49" s="17">
        <f t="shared" si="7"/>
        <v>8.2117289484067069</v>
      </c>
      <c r="J49" s="17">
        <f t="shared" si="7"/>
        <v>4.2969159543286892</v>
      </c>
    </row>
    <row r="50" spans="1:10" x14ac:dyDescent="0.5">
      <c r="A50" s="125" t="s">
        <v>54</v>
      </c>
      <c r="B50" s="16">
        <f t="shared" si="1"/>
        <v>0.125</v>
      </c>
      <c r="C50" s="17">
        <f t="shared" si="2"/>
        <v>8.7010648849493766</v>
      </c>
      <c r="D50" s="17">
        <f t="shared" si="2"/>
        <v>19.321526579412271</v>
      </c>
      <c r="E50" s="17">
        <f t="shared" ref="E50:J50" si="8">$B50*E$43*E37</f>
        <v>7.434098043912126</v>
      </c>
      <c r="F50" s="17">
        <f t="shared" si="8"/>
        <v>7.6625369612006473</v>
      </c>
      <c r="G50" s="17">
        <f t="shared" si="8"/>
        <v>6.087990629441693</v>
      </c>
      <c r="H50" s="17">
        <f t="shared" si="8"/>
        <v>8.2117289484067051</v>
      </c>
      <c r="I50" s="17">
        <f t="shared" si="8"/>
        <v>23.484468711021293</v>
      </c>
      <c r="J50" s="17">
        <f t="shared" si="8"/>
        <v>7.5442573074107431</v>
      </c>
    </row>
    <row r="51" spans="1:10" x14ac:dyDescent="0.5">
      <c r="A51" s="125" t="s">
        <v>210</v>
      </c>
      <c r="B51" s="18">
        <f t="shared" si="1"/>
        <v>0.125</v>
      </c>
      <c r="C51" s="129">
        <f t="shared" si="2"/>
        <v>4.0284796707409454</v>
      </c>
      <c r="D51" s="19">
        <f t="shared" si="2"/>
        <v>7.3756786313773359</v>
      </c>
      <c r="E51" s="19">
        <f t="shared" ref="E51:J51" si="9">$B51*E$43*E38</f>
        <v>2.8007401364642623</v>
      </c>
      <c r="F51" s="19">
        <f t="shared" si="9"/>
        <v>4.2491418008127528</v>
      </c>
      <c r="G51" s="19">
        <f t="shared" si="9"/>
        <v>3.667907612070199</v>
      </c>
      <c r="H51" s="19">
        <f t="shared" si="9"/>
        <v>4.2969159543286892</v>
      </c>
      <c r="I51" s="19">
        <f t="shared" si="9"/>
        <v>7.5442573074107422</v>
      </c>
      <c r="J51" s="19">
        <f t="shared" si="9"/>
        <v>4.619491576463127</v>
      </c>
    </row>
    <row r="52" spans="1:10" x14ac:dyDescent="0.5">
      <c r="A52" s="2" t="s">
        <v>211</v>
      </c>
      <c r="B52" s="16">
        <f t="shared" ref="B52:I52" si="10">SUM(B44:B51)</f>
        <v>1</v>
      </c>
      <c r="C52" s="17">
        <f>SUM(C44:C51)</f>
        <v>55.233560877630211</v>
      </c>
      <c r="D52" s="17">
        <f t="shared" si="10"/>
        <v>93.349605756676269</v>
      </c>
      <c r="E52" s="17">
        <f t="shared" si="10"/>
        <v>47.994166914750842</v>
      </c>
      <c r="F52" s="17">
        <f t="shared" si="10"/>
        <v>48.326861841046963</v>
      </c>
      <c r="G52" s="17">
        <f t="shared" si="10"/>
        <v>46.416993197991964</v>
      </c>
      <c r="H52" s="17">
        <f t="shared" si="10"/>
        <v>57.051834801857176</v>
      </c>
      <c r="I52" s="17">
        <f t="shared" si="10"/>
        <v>88.447672065754844</v>
      </c>
      <c r="J52" s="17">
        <f>SUM(J44:J51)</f>
        <v>38.582612689668053</v>
      </c>
    </row>
    <row r="53" spans="1:10" x14ac:dyDescent="0.5">
      <c r="B53" s="20" t="s">
        <v>60</v>
      </c>
      <c r="C53" s="21"/>
      <c r="D53" s="22"/>
      <c r="E53" s="22"/>
      <c r="F53" s="22"/>
      <c r="G53" s="22"/>
      <c r="H53" s="22"/>
      <c r="I53" s="22"/>
      <c r="J53" s="130" t="str">
        <f ca="1">_xlfn.FORMULATEXT(J52)</f>
        <v>=SUM(J44:J51)</v>
      </c>
    </row>
    <row r="54" spans="1:10" x14ac:dyDescent="0.5">
      <c r="B54" s="2" t="s">
        <v>61</v>
      </c>
      <c r="C54" s="23">
        <f>SUM(C52:J52)</f>
        <v>475.40330814537634</v>
      </c>
      <c r="D54" s="1" t="str">
        <f ca="1">_xlfn.FORMULATEXT(C54)</f>
        <v>=SUM(C52:J52)</v>
      </c>
      <c r="F54" s="24"/>
      <c r="G54" s="24"/>
      <c r="H54" s="24"/>
      <c r="I54" s="24"/>
      <c r="J54" s="24"/>
    </row>
    <row r="55" spans="1:10" x14ac:dyDescent="0.5">
      <c r="B55" s="2" t="s">
        <v>62</v>
      </c>
      <c r="C55" s="23">
        <f>C54^0.5</f>
        <v>21.80374527794196</v>
      </c>
      <c r="D55" s="1" t="str">
        <f t="shared" ref="D55:D56" ca="1" si="11">_xlfn.FORMULATEXT(C55)</f>
        <v>=C54^0.5</v>
      </c>
      <c r="F55" s="24"/>
      <c r="G55" s="24"/>
      <c r="H55" s="24"/>
      <c r="I55" s="24"/>
      <c r="J55" s="24"/>
    </row>
    <row r="56" spans="1:10" x14ac:dyDescent="0.5">
      <c r="B56" s="2" t="s">
        <v>63</v>
      </c>
      <c r="C56" s="23">
        <f>SUMPRODUCT(B44:B51,C7:C14)</f>
        <v>14.762717881898777</v>
      </c>
      <c r="D56" s="1" t="str">
        <f t="shared" ca="1" si="11"/>
        <v>=SUMPRODUCT(B44:B51,C7:C14)</v>
      </c>
      <c r="F56" s="24"/>
      <c r="G56" s="24"/>
      <c r="H56" s="24"/>
      <c r="I56" s="24"/>
      <c r="J56" s="24"/>
    </row>
    <row r="59" spans="1:10" ht="17.25" x14ac:dyDescent="0.5">
      <c r="B59" s="25" t="s">
        <v>64</v>
      </c>
      <c r="J59" s="125" t="str">
        <f ca="1">_xlfn.FORMULATEXT(J62)</f>
        <v>=$B62*J$61*J31</v>
      </c>
    </row>
    <row r="60" spans="1:10" x14ac:dyDescent="0.5">
      <c r="B60" s="14" t="s">
        <v>59</v>
      </c>
      <c r="C60" s="8" t="s">
        <v>31</v>
      </c>
      <c r="D60" s="8" t="s">
        <v>49</v>
      </c>
      <c r="E60" s="8" t="s">
        <v>50</v>
      </c>
      <c r="F60" s="8" t="s">
        <v>51</v>
      </c>
      <c r="G60" s="8" t="s">
        <v>52</v>
      </c>
      <c r="H60" s="8" t="s">
        <v>53</v>
      </c>
      <c r="I60" s="8" t="s">
        <v>54</v>
      </c>
      <c r="J60" s="8" t="s">
        <v>45</v>
      </c>
    </row>
    <row r="61" spans="1:10" x14ac:dyDescent="0.5">
      <c r="B61" s="4" t="s">
        <v>65</v>
      </c>
      <c r="C61" s="26">
        <f>B62</f>
        <v>0</v>
      </c>
      <c r="D61" s="26">
        <f>B63</f>
        <v>0</v>
      </c>
      <c r="E61" s="26">
        <f>B64</f>
        <v>8.256100243523036E-2</v>
      </c>
      <c r="F61" s="26">
        <f>B65</f>
        <v>0.38050211635690545</v>
      </c>
      <c r="G61" s="26">
        <f>B66</f>
        <v>1.7089878206059575E-2</v>
      </c>
      <c r="H61" s="26">
        <f>B67</f>
        <v>0</v>
      </c>
      <c r="I61" s="26">
        <f>B68</f>
        <v>0</v>
      </c>
      <c r="J61" s="26">
        <f>B69</f>
        <v>0.51984700300180442</v>
      </c>
    </row>
    <row r="62" spans="1:10" x14ac:dyDescent="0.5">
      <c r="A62" s="125" t="s">
        <v>31</v>
      </c>
      <c r="B62" s="127">
        <v>0</v>
      </c>
      <c r="C62" s="23">
        <f>$B62*C$61*C31</f>
        <v>0</v>
      </c>
      <c r="D62" s="23">
        <f t="shared" ref="C62:J69" si="12">$B62*D$61*D31</f>
        <v>0</v>
      </c>
      <c r="E62" s="23">
        <f t="shared" si="12"/>
        <v>0</v>
      </c>
      <c r="F62" s="23">
        <f t="shared" si="12"/>
        <v>0</v>
      </c>
      <c r="G62" s="23">
        <f t="shared" si="12"/>
        <v>0</v>
      </c>
      <c r="H62" s="23">
        <f t="shared" si="12"/>
        <v>0</v>
      </c>
      <c r="I62" s="23">
        <f t="shared" si="12"/>
        <v>0</v>
      </c>
      <c r="J62" s="23">
        <f t="shared" si="12"/>
        <v>0</v>
      </c>
    </row>
    <row r="63" spans="1:10" x14ac:dyDescent="0.5">
      <c r="A63" s="125" t="s">
        <v>49</v>
      </c>
      <c r="B63" s="127">
        <v>0</v>
      </c>
      <c r="C63" s="23">
        <f t="shared" si="12"/>
        <v>0</v>
      </c>
      <c r="D63" s="23">
        <f t="shared" si="12"/>
        <v>0</v>
      </c>
      <c r="E63" s="23">
        <f t="shared" si="12"/>
        <v>0</v>
      </c>
      <c r="F63" s="23">
        <f t="shared" si="12"/>
        <v>0</v>
      </c>
      <c r="G63" s="23">
        <f t="shared" si="12"/>
        <v>0</v>
      </c>
      <c r="H63" s="23">
        <f t="shared" si="12"/>
        <v>0</v>
      </c>
      <c r="I63" s="23">
        <f t="shared" si="12"/>
        <v>0</v>
      </c>
      <c r="J63" s="23">
        <f t="shared" si="12"/>
        <v>0</v>
      </c>
    </row>
    <row r="64" spans="1:10" x14ac:dyDescent="0.5">
      <c r="A64" s="125" t="s">
        <v>50</v>
      </c>
      <c r="B64" s="127">
        <v>8.256100243523036E-2</v>
      </c>
      <c r="C64" s="23">
        <f t="shared" si="12"/>
        <v>0</v>
      </c>
      <c r="D64" s="23">
        <f t="shared" si="12"/>
        <v>0</v>
      </c>
      <c r="E64" s="23">
        <f t="shared" si="12"/>
        <v>4.6260700747758614</v>
      </c>
      <c r="F64" s="23">
        <f t="shared" si="12"/>
        <v>3.2070651850149918</v>
      </c>
      <c r="G64" s="23">
        <f t="shared" si="12"/>
        <v>0.54750032523774672</v>
      </c>
      <c r="H64" s="23">
        <f t="shared" si="12"/>
        <v>0</v>
      </c>
      <c r="I64" s="23">
        <f t="shared" si="12"/>
        <v>0</v>
      </c>
      <c r="J64" s="23">
        <f t="shared" si="12"/>
        <v>7.6931338937259124</v>
      </c>
    </row>
    <row r="65" spans="1:11" x14ac:dyDescent="0.5">
      <c r="A65" s="125" t="s">
        <v>51</v>
      </c>
      <c r="B65" s="127">
        <v>0.38050211635690545</v>
      </c>
      <c r="C65" s="23">
        <f t="shared" si="12"/>
        <v>0</v>
      </c>
      <c r="D65" s="23">
        <f t="shared" si="12"/>
        <v>0</v>
      </c>
      <c r="E65" s="23">
        <f t="shared" si="12"/>
        <v>3.2070651850149918</v>
      </c>
      <c r="F65" s="23">
        <f t="shared" si="12"/>
        <v>98.407258799012524</v>
      </c>
      <c r="G65" s="23">
        <f t="shared" si="12"/>
        <v>1.8208546844679114</v>
      </c>
      <c r="H65" s="23">
        <f t="shared" si="12"/>
        <v>0</v>
      </c>
      <c r="I65" s="23">
        <f t="shared" si="12"/>
        <v>0</v>
      </c>
      <c r="J65" s="23">
        <f t="shared" si="12"/>
        <v>53.791520398523453</v>
      </c>
    </row>
    <row r="66" spans="1:11" x14ac:dyDescent="0.5">
      <c r="A66" s="125" t="s">
        <v>52</v>
      </c>
      <c r="B66" s="127">
        <v>1.7089878206059575E-2</v>
      </c>
      <c r="C66" s="23">
        <f t="shared" si="12"/>
        <v>0</v>
      </c>
      <c r="D66" s="23">
        <f t="shared" si="12"/>
        <v>0</v>
      </c>
      <c r="E66" s="23">
        <f t="shared" si="12"/>
        <v>0.54750032523774672</v>
      </c>
      <c r="F66" s="23">
        <f t="shared" si="12"/>
        <v>1.8208546844679114</v>
      </c>
      <c r="G66" s="23">
        <f t="shared" si="12"/>
        <v>0.13742593559680077</v>
      </c>
      <c r="H66" s="23">
        <f t="shared" si="12"/>
        <v>0</v>
      </c>
      <c r="I66" s="23">
        <f t="shared" si="12"/>
        <v>0</v>
      </c>
      <c r="J66" s="23">
        <f t="shared" si="12"/>
        <v>2.0855128697366099</v>
      </c>
    </row>
    <row r="67" spans="1:11" x14ac:dyDescent="0.5">
      <c r="A67" s="125" t="s">
        <v>53</v>
      </c>
      <c r="B67" s="127">
        <v>0</v>
      </c>
      <c r="C67" s="23">
        <f t="shared" si="12"/>
        <v>0</v>
      </c>
      <c r="D67" s="23">
        <f t="shared" si="12"/>
        <v>0</v>
      </c>
      <c r="E67" s="23">
        <f t="shared" si="12"/>
        <v>0</v>
      </c>
      <c r="F67" s="23">
        <f t="shared" si="12"/>
        <v>0</v>
      </c>
      <c r="G67" s="23">
        <f t="shared" si="12"/>
        <v>0</v>
      </c>
      <c r="H67" s="23">
        <f t="shared" si="12"/>
        <v>0</v>
      </c>
      <c r="I67" s="23">
        <f t="shared" si="12"/>
        <v>0</v>
      </c>
      <c r="J67" s="23">
        <f t="shared" si="12"/>
        <v>0</v>
      </c>
    </row>
    <row r="68" spans="1:11" x14ac:dyDescent="0.5">
      <c r="A68" s="125" t="s">
        <v>54</v>
      </c>
      <c r="B68" s="127">
        <v>0</v>
      </c>
      <c r="C68" s="23">
        <f t="shared" si="12"/>
        <v>0</v>
      </c>
      <c r="D68" s="23">
        <f t="shared" si="12"/>
        <v>0</v>
      </c>
      <c r="E68" s="23">
        <f t="shared" si="12"/>
        <v>0</v>
      </c>
      <c r="F68" s="23">
        <f t="shared" si="12"/>
        <v>0</v>
      </c>
      <c r="G68" s="23">
        <f t="shared" si="12"/>
        <v>0</v>
      </c>
      <c r="H68" s="23">
        <f t="shared" si="12"/>
        <v>0</v>
      </c>
      <c r="I68" s="23">
        <f t="shared" si="12"/>
        <v>0</v>
      </c>
      <c r="J68" s="23">
        <f t="shared" si="12"/>
        <v>0</v>
      </c>
    </row>
    <row r="69" spans="1:11" x14ac:dyDescent="0.5">
      <c r="A69" s="125" t="s">
        <v>210</v>
      </c>
      <c r="B69" s="128">
        <v>0.51984700300180442</v>
      </c>
      <c r="C69" s="27">
        <f t="shared" si="12"/>
        <v>0</v>
      </c>
      <c r="D69" s="27">
        <f t="shared" si="12"/>
        <v>0</v>
      </c>
      <c r="E69" s="27">
        <f t="shared" si="12"/>
        <v>7.6931338937259124</v>
      </c>
      <c r="F69" s="27">
        <f t="shared" si="12"/>
        <v>53.791520398523453</v>
      </c>
      <c r="G69" s="27">
        <f t="shared" si="12"/>
        <v>2.0855128697366099</v>
      </c>
      <c r="H69" s="27">
        <f t="shared" si="12"/>
        <v>0</v>
      </c>
      <c r="I69" s="27">
        <f t="shared" si="12"/>
        <v>0</v>
      </c>
      <c r="J69" s="27">
        <f t="shared" si="12"/>
        <v>79.896037845177645</v>
      </c>
    </row>
    <row r="70" spans="1:11" x14ac:dyDescent="0.5">
      <c r="B70" s="127">
        <f>SUM(B62:B69)</f>
        <v>0.99999999999999978</v>
      </c>
      <c r="C70" s="23">
        <f t="shared" ref="C70:J70" si="13">SUM(C62:C69)</f>
        <v>0</v>
      </c>
      <c r="D70" s="23">
        <f t="shared" si="13"/>
        <v>0</v>
      </c>
      <c r="E70" s="23">
        <f t="shared" si="13"/>
        <v>16.073769478754514</v>
      </c>
      <c r="F70" s="23">
        <f t="shared" si="13"/>
        <v>157.2266990670189</v>
      </c>
      <c r="G70" s="23">
        <f t="shared" si="13"/>
        <v>4.5912938150390694</v>
      </c>
      <c r="H70" s="23">
        <f t="shared" si="13"/>
        <v>0</v>
      </c>
      <c r="I70" s="23">
        <f t="shared" si="13"/>
        <v>0</v>
      </c>
      <c r="J70" s="23">
        <f t="shared" si="13"/>
        <v>143.46620500716364</v>
      </c>
    </row>
    <row r="71" spans="1:11" x14ac:dyDescent="0.5">
      <c r="B71" s="20" t="s">
        <v>60</v>
      </c>
      <c r="C71" s="21"/>
      <c r="D71" s="28"/>
      <c r="E71" s="28"/>
      <c r="F71" s="28"/>
      <c r="G71" s="28"/>
      <c r="H71" s="28"/>
      <c r="I71" s="28"/>
      <c r="J71" s="130" t="str">
        <f ca="1">_xlfn.FORMULATEXT(J70)</f>
        <v>=SUM(J62:J69)</v>
      </c>
    </row>
    <row r="72" spans="1:11" x14ac:dyDescent="0.5">
      <c r="B72" s="2" t="s">
        <v>61</v>
      </c>
      <c r="C72" s="126">
        <f>SUM(C70:J70)</f>
        <v>321.35796736797613</v>
      </c>
      <c r="D72" s="1" t="str">
        <f ca="1">_xlfn.FORMULATEXT(C72)</f>
        <v>=SUM(C70:J70)</v>
      </c>
    </row>
    <row r="73" spans="1:11" x14ac:dyDescent="0.5">
      <c r="B73" s="2" t="s">
        <v>62</v>
      </c>
      <c r="C73" s="126">
        <f>C72^0.5</f>
        <v>17.926459978701207</v>
      </c>
      <c r="D73" s="1" t="str">
        <f t="shared" ref="D73:D74" ca="1" si="14">_xlfn.FORMULATEXT(C73)</f>
        <v>=C72^0.5</v>
      </c>
    </row>
    <row r="74" spans="1:11" x14ac:dyDescent="0.5">
      <c r="B74" s="2" t="s">
        <v>212</v>
      </c>
      <c r="C74" s="126">
        <f>SUMPRODUCT(B62:B69,C7:C14)</f>
        <v>12.000000158351311</v>
      </c>
      <c r="D74" s="1" t="str">
        <f t="shared" ca="1" si="14"/>
        <v>=SUMPRODUCT(B62:B69,C7:C14)</v>
      </c>
    </row>
    <row r="77" spans="1:11" ht="17.25" x14ac:dyDescent="0.5">
      <c r="B77" s="13" t="s">
        <v>66</v>
      </c>
    </row>
    <row r="78" spans="1:11" x14ac:dyDescent="0.5">
      <c r="B78" s="29" t="s">
        <v>0</v>
      </c>
      <c r="C78" s="30" t="s">
        <v>67</v>
      </c>
      <c r="D78" s="29" t="s">
        <v>31</v>
      </c>
      <c r="E78" s="29" t="s">
        <v>49</v>
      </c>
      <c r="F78" s="29" t="s">
        <v>50</v>
      </c>
      <c r="G78" s="29" t="s">
        <v>51</v>
      </c>
      <c r="H78" s="29" t="s">
        <v>52</v>
      </c>
      <c r="I78" s="29" t="s">
        <v>53</v>
      </c>
      <c r="J78" s="29" t="s">
        <v>54</v>
      </c>
      <c r="K78" s="29" t="s">
        <v>45</v>
      </c>
    </row>
    <row r="79" spans="1:11" x14ac:dyDescent="0.5">
      <c r="A79" s="125"/>
      <c r="B79" s="31">
        <v>6</v>
      </c>
      <c r="C79" s="32">
        <v>21.888275523564104</v>
      </c>
      <c r="D79" s="33">
        <v>1.6541863383888338E-2</v>
      </c>
      <c r="E79" s="33">
        <v>0</v>
      </c>
      <c r="F79" s="33">
        <v>0</v>
      </c>
      <c r="G79" s="33">
        <v>0.7075400287453989</v>
      </c>
      <c r="H79" s="33">
        <v>0</v>
      </c>
      <c r="I79" s="33">
        <v>1.8832533036682097E-2</v>
      </c>
      <c r="J79" s="33">
        <v>0</v>
      </c>
      <c r="K79" s="33">
        <v>0.25708657483403047</v>
      </c>
    </row>
    <row r="80" spans="1:11" x14ac:dyDescent="0.5">
      <c r="A80" s="125"/>
      <c r="B80" s="31">
        <v>9</v>
      </c>
      <c r="C80" s="32">
        <v>19.664361009307132</v>
      </c>
      <c r="D80" s="33">
        <v>2.1704114909688359E-2</v>
      </c>
      <c r="E80" s="33">
        <v>0</v>
      </c>
      <c r="F80" s="33">
        <v>1.8544701499153594E-2</v>
      </c>
      <c r="G80" s="33">
        <v>0.52995686006058884</v>
      </c>
      <c r="H80" s="33">
        <v>1.7643064459154988E-2</v>
      </c>
      <c r="I80" s="33">
        <v>0</v>
      </c>
      <c r="J80" s="33">
        <v>0</v>
      </c>
      <c r="K80" s="33">
        <v>0.41215125907141431</v>
      </c>
    </row>
    <row r="81" spans="1:11" x14ac:dyDescent="0.5">
      <c r="A81" s="125"/>
      <c r="B81" s="31">
        <f>C74</f>
        <v>12.000000158351311</v>
      </c>
      <c r="C81" s="32">
        <f>C73</f>
        <v>17.926459978701207</v>
      </c>
      <c r="D81" s="33">
        <f>C61</f>
        <v>0</v>
      </c>
      <c r="E81" s="33">
        <f t="shared" ref="E81:K81" si="15">D61</f>
        <v>0</v>
      </c>
      <c r="F81" s="33">
        <f t="shared" si="15"/>
        <v>8.256100243523036E-2</v>
      </c>
      <c r="G81" s="33">
        <f t="shared" si="15"/>
        <v>0.38050211635690545</v>
      </c>
      <c r="H81" s="33">
        <f t="shared" si="15"/>
        <v>1.7089878206059575E-2</v>
      </c>
      <c r="I81" s="33">
        <f t="shared" si="15"/>
        <v>0</v>
      </c>
      <c r="J81" s="33">
        <f t="shared" si="15"/>
        <v>0</v>
      </c>
      <c r="K81" s="33">
        <f t="shared" si="15"/>
        <v>0.51984700300180442</v>
      </c>
    </row>
    <row r="82" spans="1:11" x14ac:dyDescent="0.5">
      <c r="A82" s="125"/>
      <c r="B82" s="31">
        <v>15</v>
      </c>
      <c r="C82" s="32">
        <v>16.814724722868036</v>
      </c>
      <c r="D82" s="33">
        <v>0</v>
      </c>
      <c r="E82" s="33">
        <v>0</v>
      </c>
      <c r="F82" s="33">
        <v>0.13717132215595959</v>
      </c>
      <c r="G82" s="33">
        <v>0.22316703612476879</v>
      </c>
      <c r="H82" s="33">
        <v>1.6761138026670914E-2</v>
      </c>
      <c r="I82" s="33">
        <v>0</v>
      </c>
      <c r="J82" s="33">
        <v>0</v>
      </c>
      <c r="K82" s="33">
        <v>0.62290050369260086</v>
      </c>
    </row>
    <row r="83" spans="1:11" x14ac:dyDescent="0.5">
      <c r="A83" s="125"/>
      <c r="B83" s="31">
        <v>18</v>
      </c>
      <c r="C83" s="32">
        <v>16.46140498117509</v>
      </c>
      <c r="D83" s="33">
        <v>0</v>
      </c>
      <c r="E83" s="33">
        <v>0</v>
      </c>
      <c r="F83" s="33">
        <v>0.191781348046838</v>
      </c>
      <c r="G83" s="33">
        <v>6.5831799822206397E-2</v>
      </c>
      <c r="H83" s="33">
        <v>1.6432793011827918E-2</v>
      </c>
      <c r="I83" s="33">
        <v>0</v>
      </c>
      <c r="J83" s="33">
        <v>0</v>
      </c>
      <c r="K83" s="33">
        <v>0.72595405911912747</v>
      </c>
    </row>
    <row r="84" spans="1:11" x14ac:dyDescent="0.5">
      <c r="A84" s="125"/>
      <c r="B84" s="31">
        <v>21</v>
      </c>
      <c r="C84" s="32">
        <v>17.368526712187641</v>
      </c>
      <c r="D84" s="33">
        <v>0</v>
      </c>
      <c r="E84" s="33">
        <v>0</v>
      </c>
      <c r="F84" s="33">
        <v>0.40231844441350684</v>
      </c>
      <c r="G84" s="33">
        <v>0</v>
      </c>
      <c r="H84" s="33">
        <v>0</v>
      </c>
      <c r="I84" s="33">
        <v>0</v>
      </c>
      <c r="J84" s="33">
        <v>0</v>
      </c>
      <c r="K84" s="33">
        <v>0.59768155558649316</v>
      </c>
    </row>
    <row r="85" spans="1:11" x14ac:dyDescent="0.5">
      <c r="A85" s="125"/>
      <c r="B85" s="31">
        <v>24</v>
      </c>
      <c r="C85" s="32">
        <v>21.187828238967803</v>
      </c>
      <c r="D85" s="33">
        <v>0</v>
      </c>
      <c r="E85" s="33">
        <v>0</v>
      </c>
      <c r="F85" s="33">
        <v>0.72251287171254608</v>
      </c>
      <c r="G85" s="33">
        <v>0</v>
      </c>
      <c r="H85" s="33">
        <v>0</v>
      </c>
      <c r="I85" s="33">
        <v>0</v>
      </c>
      <c r="J85" s="33">
        <v>0</v>
      </c>
      <c r="K85" s="33">
        <v>0.27748712828745381</v>
      </c>
    </row>
    <row r="86" spans="1:11" x14ac:dyDescent="0.5">
      <c r="A86" s="125"/>
      <c r="B86" s="31">
        <v>27</v>
      </c>
      <c r="C86" s="32">
        <v>26.051404734230072</v>
      </c>
      <c r="D86" s="33">
        <v>0</v>
      </c>
      <c r="E86" s="33">
        <v>0</v>
      </c>
      <c r="F86" s="33">
        <v>1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</row>
  </sheetData>
  <printOptions headings="1" gridLines="1"/>
  <pageMargins left="0.75" right="0.75" top="1" bottom="1" header="0.5" footer="0.5"/>
  <pageSetup scale="99" fitToHeight="2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A4CE5-15CB-5342-918D-448A5C95AE09}">
  <sheetPr>
    <pageSetUpPr fitToPage="1"/>
  </sheetPr>
  <dimension ref="B2:N44"/>
  <sheetViews>
    <sheetView showGridLines="0" zoomScale="94" zoomScaleNormal="80" workbookViewId="0">
      <selection activeCell="D13" sqref="D13"/>
    </sheetView>
  </sheetViews>
  <sheetFormatPr defaultColWidth="8.8125" defaultRowHeight="15.4" x14ac:dyDescent="0.5"/>
  <cols>
    <col min="1" max="1" width="3.8125" style="35" customWidth="1"/>
    <col min="2" max="2" width="19.6875" style="35" customWidth="1"/>
    <col min="3" max="3" width="12" style="35" customWidth="1"/>
    <col min="4" max="14" width="10.8125" style="35" customWidth="1"/>
    <col min="15" max="16384" width="8.8125" style="35"/>
  </cols>
  <sheetData>
    <row r="2" spans="2:11" ht="24.75" x14ac:dyDescent="0.5">
      <c r="B2" s="123" t="s">
        <v>230</v>
      </c>
    </row>
    <row r="4" spans="2:11" ht="17.25" x14ac:dyDescent="0.5">
      <c r="B4" s="36" t="s">
        <v>68</v>
      </c>
      <c r="C4" s="37"/>
    </row>
    <row r="5" spans="2:11" x14ac:dyDescent="0.5">
      <c r="B5" s="37" t="s">
        <v>30</v>
      </c>
      <c r="C5" s="37" t="s">
        <v>69</v>
      </c>
    </row>
    <row r="6" spans="2:11" x14ac:dyDescent="0.5">
      <c r="B6" s="38" t="s">
        <v>46</v>
      </c>
      <c r="C6" s="39">
        <v>0.06</v>
      </c>
      <c r="F6" s="1"/>
      <c r="G6" s="1"/>
      <c r="H6" s="1"/>
      <c r="I6" s="1"/>
      <c r="J6" s="1"/>
      <c r="K6" s="1"/>
    </row>
    <row r="7" spans="2:11" x14ac:dyDescent="0.5">
      <c r="B7" s="38" t="s">
        <v>70</v>
      </c>
      <c r="C7" s="39">
        <v>5.2999999999999999E-2</v>
      </c>
      <c r="F7" s="1"/>
      <c r="G7" s="1"/>
      <c r="H7" s="1"/>
      <c r="I7" s="1"/>
      <c r="J7" s="1"/>
      <c r="K7" s="1"/>
    </row>
    <row r="8" spans="2:11" x14ac:dyDescent="0.5">
      <c r="B8" s="38" t="s">
        <v>71</v>
      </c>
      <c r="C8" s="40">
        <v>7.0000000000000007E-2</v>
      </c>
      <c r="F8" s="1"/>
      <c r="G8" s="1"/>
      <c r="H8" s="1"/>
      <c r="I8" s="1"/>
      <c r="J8" s="1"/>
      <c r="K8" s="1"/>
    </row>
    <row r="9" spans="2:11" x14ac:dyDescent="0.5">
      <c r="B9" s="38" t="s">
        <v>72</v>
      </c>
      <c r="C9" s="39">
        <v>0.08</v>
      </c>
      <c r="F9" s="1"/>
      <c r="G9" s="1"/>
      <c r="H9" s="1"/>
      <c r="I9" s="1"/>
      <c r="J9" s="1"/>
      <c r="K9" s="1"/>
    </row>
    <row r="10" spans="2:11" x14ac:dyDescent="0.5">
      <c r="B10" s="38" t="s">
        <v>73</v>
      </c>
      <c r="C10" s="39">
        <v>5.8000000000000003E-2</v>
      </c>
      <c r="F10" s="1"/>
      <c r="G10" s="1"/>
      <c r="H10" s="1"/>
      <c r="I10" s="1"/>
      <c r="J10" s="1"/>
      <c r="K10" s="1"/>
    </row>
    <row r="11" spans="2:11" x14ac:dyDescent="0.5">
      <c r="B11" s="38" t="s">
        <v>38</v>
      </c>
      <c r="C11" s="39">
        <v>4.4999999999999998E-2</v>
      </c>
      <c r="F11" s="1"/>
      <c r="G11" s="1"/>
      <c r="H11" s="1"/>
      <c r="I11" s="1"/>
      <c r="J11" s="1"/>
      <c r="K11" s="1"/>
    </row>
    <row r="12" spans="2:11" x14ac:dyDescent="0.5">
      <c r="B12" s="38" t="s">
        <v>74</v>
      </c>
      <c r="C12" s="39">
        <v>5.8999999999999997E-2</v>
      </c>
      <c r="F12" s="1"/>
      <c r="G12" s="1"/>
      <c r="H12" s="1"/>
      <c r="I12" s="1"/>
      <c r="J12" s="1"/>
      <c r="K12" s="1"/>
    </row>
    <row r="13" spans="2:11" ht="30" customHeight="1" x14ac:dyDescent="0.5"/>
    <row r="14" spans="2:11" s="42" customFormat="1" ht="28.05" customHeight="1" x14ac:dyDescent="0.5">
      <c r="B14" s="41" t="s">
        <v>75</v>
      </c>
      <c r="C14" s="37"/>
      <c r="D14" s="37"/>
      <c r="E14" s="37"/>
      <c r="F14" s="37"/>
      <c r="G14" s="37"/>
      <c r="H14" s="37"/>
      <c r="I14" s="37"/>
      <c r="J14" s="37"/>
    </row>
    <row r="15" spans="2:11" x14ac:dyDescent="0.5">
      <c r="B15" s="115" t="s">
        <v>76</v>
      </c>
      <c r="C15" s="43" t="s">
        <v>59</v>
      </c>
      <c r="D15" s="44">
        <f>B17</f>
        <v>0.70184098493803393</v>
      </c>
      <c r="E15" s="44">
        <f>B18</f>
        <v>0.12138420063003402</v>
      </c>
      <c r="F15" s="44">
        <f>B19</f>
        <v>-9.2558716184483691E-2</v>
      </c>
      <c r="G15" s="44">
        <f>B20</f>
        <v>2.0454800125287484E-2</v>
      </c>
      <c r="H15" s="44">
        <f>B21</f>
        <v>0.12712124966919497</v>
      </c>
      <c r="I15" s="44">
        <f>B22</f>
        <v>0.13108130595305914</v>
      </c>
      <c r="J15" s="44">
        <f>B23</f>
        <v>-9.3238251311256216E-3</v>
      </c>
      <c r="K15" s="39"/>
    </row>
    <row r="16" spans="2:11" x14ac:dyDescent="0.5">
      <c r="B16" s="116" t="s">
        <v>59</v>
      </c>
      <c r="C16" s="120" t="s">
        <v>56</v>
      </c>
      <c r="D16" s="45" t="s">
        <v>46</v>
      </c>
      <c r="E16" s="45" t="s">
        <v>70</v>
      </c>
      <c r="F16" s="45" t="s">
        <v>71</v>
      </c>
      <c r="G16" s="45" t="s">
        <v>72</v>
      </c>
      <c r="H16" s="45" t="s">
        <v>73</v>
      </c>
      <c r="I16" s="45" t="s">
        <v>38</v>
      </c>
      <c r="J16" s="45" t="s">
        <v>74</v>
      </c>
      <c r="K16" s="1"/>
    </row>
    <row r="17" spans="2:14" x14ac:dyDescent="0.5">
      <c r="B17" s="117">
        <v>0.70184098493803393</v>
      </c>
      <c r="C17" s="38" t="s">
        <v>46</v>
      </c>
      <c r="D17" s="46">
        <v>2.2355598092001602E-2</v>
      </c>
      <c r="E17" s="46">
        <v>1.8421599907792886E-2</v>
      </c>
      <c r="F17" s="46">
        <v>2.4999868049976448E-2</v>
      </c>
      <c r="G17" s="46">
        <v>2.8777727374657051E-2</v>
      </c>
      <c r="H17" s="46">
        <v>1.9484331742918023E-2</v>
      </c>
      <c r="I17" s="46">
        <v>1.2054061154671678E-2</v>
      </c>
      <c r="J17" s="46">
        <v>2.0460455808526706E-2</v>
      </c>
      <c r="K17" s="39"/>
    </row>
    <row r="18" spans="2:14" x14ac:dyDescent="0.5">
      <c r="B18" s="117">
        <v>0.12138420063003402</v>
      </c>
      <c r="C18" s="38" t="s">
        <v>70</v>
      </c>
      <c r="D18" s="46">
        <v>1.8421599907792886E-2</v>
      </c>
      <c r="E18" s="46">
        <v>2.2276670248865277E-2</v>
      </c>
      <c r="F18" s="46">
        <v>2.7521700148376051E-2</v>
      </c>
      <c r="G18" s="46">
        <v>2.9908432316917338E-2</v>
      </c>
      <c r="H18" s="46">
        <v>2.0374153440972737E-2</v>
      </c>
      <c r="I18" s="46">
        <v>1.2435236781582024E-2</v>
      </c>
      <c r="J18" s="46">
        <v>2.0551260852789806E-2</v>
      </c>
      <c r="K18" s="39"/>
    </row>
    <row r="19" spans="2:14" x14ac:dyDescent="0.5">
      <c r="B19" s="117">
        <v>-9.2558716184483691E-2</v>
      </c>
      <c r="C19" s="38" t="s">
        <v>71</v>
      </c>
      <c r="D19" s="46">
        <v>2.4999868049976448E-2</v>
      </c>
      <c r="E19" s="46">
        <v>2.7521700148376051E-2</v>
      </c>
      <c r="F19" s="46">
        <v>4.0336763427838554E-2</v>
      </c>
      <c r="G19" s="46">
        <v>4.3796304727673603E-2</v>
      </c>
      <c r="H19" s="46">
        <v>2.5937320957381237E-2</v>
      </c>
      <c r="I19" s="46">
        <v>1.7697289194627805E-2</v>
      </c>
      <c r="J19" s="46">
        <v>2.7285481920538233E-2</v>
      </c>
      <c r="K19" s="39"/>
    </row>
    <row r="20" spans="2:14" x14ac:dyDescent="0.5">
      <c r="B20" s="117">
        <v>2.0454800125287484E-2</v>
      </c>
      <c r="C20" s="38" t="s">
        <v>72</v>
      </c>
      <c r="D20" s="46">
        <v>2.8777727374657051E-2</v>
      </c>
      <c r="E20" s="46">
        <v>2.9908432316917338E-2</v>
      </c>
      <c r="F20" s="46">
        <v>4.3796304727673603E-2</v>
      </c>
      <c r="G20" s="46">
        <v>5.1511696289190181E-2</v>
      </c>
      <c r="H20" s="46">
        <v>3.005491170348331E-2</v>
      </c>
      <c r="I20" s="46">
        <v>1.8251524343779881E-2</v>
      </c>
      <c r="J20" s="46">
        <v>3.0541119453500458E-2</v>
      </c>
      <c r="K20" s="39"/>
    </row>
    <row r="21" spans="2:14" x14ac:dyDescent="0.5">
      <c r="B21" s="117">
        <v>0.12712124966919497</v>
      </c>
      <c r="C21" s="38" t="s">
        <v>73</v>
      </c>
      <c r="D21" s="46">
        <v>1.9484331742918023E-2</v>
      </c>
      <c r="E21" s="46">
        <v>2.0374153440972737E-2</v>
      </c>
      <c r="F21" s="46">
        <v>2.5937320957381237E-2</v>
      </c>
      <c r="G21" s="46">
        <v>3.005491170348331E-2</v>
      </c>
      <c r="H21" s="46">
        <v>2.6149307664828501E-2</v>
      </c>
      <c r="I21" s="46">
        <v>1.4727981314652697E-2</v>
      </c>
      <c r="J21" s="46">
        <v>2.3447814758481188E-2</v>
      </c>
      <c r="K21" s="39"/>
    </row>
    <row r="22" spans="2:14" x14ac:dyDescent="0.5">
      <c r="B22" s="117">
        <v>0.13108130595305914</v>
      </c>
      <c r="C22" s="38" t="s">
        <v>38</v>
      </c>
      <c r="D22" s="46">
        <v>1.2054061154671678E-2</v>
      </c>
      <c r="E22" s="46">
        <v>1.2435236781582024E-2</v>
      </c>
      <c r="F22" s="46">
        <v>1.7697289194627805E-2</v>
      </c>
      <c r="G22" s="46">
        <v>1.8251524343779881E-2</v>
      </c>
      <c r="H22" s="46">
        <v>1.4727981314652697E-2</v>
      </c>
      <c r="I22" s="46">
        <v>3.5252400559229367E-2</v>
      </c>
      <c r="J22" s="46">
        <v>1.583822269670852E-2</v>
      </c>
      <c r="K22" s="39"/>
    </row>
    <row r="23" spans="2:14" x14ac:dyDescent="0.5">
      <c r="B23" s="118">
        <v>-9.3238251311256216E-3</v>
      </c>
      <c r="C23" s="47" t="s">
        <v>74</v>
      </c>
      <c r="D23" s="48">
        <v>2.0460455808526706E-2</v>
      </c>
      <c r="E23" s="48">
        <v>2.0551260852789806E-2</v>
      </c>
      <c r="F23" s="48">
        <v>2.7285481920538233E-2</v>
      </c>
      <c r="G23" s="48">
        <v>3.0541119453500458E-2</v>
      </c>
      <c r="H23" s="48">
        <v>2.3447814758481188E-2</v>
      </c>
      <c r="I23" s="48">
        <v>1.583822269670852E-2</v>
      </c>
      <c r="J23" s="48">
        <v>2.9819309697683212E-2</v>
      </c>
      <c r="K23" s="39"/>
    </row>
    <row r="24" spans="2:14" x14ac:dyDescent="0.5">
      <c r="B24" s="119">
        <f>SUM(B17:B23)</f>
        <v>1.0000000000000002</v>
      </c>
      <c r="C24" s="121" t="s">
        <v>77</v>
      </c>
      <c r="D24" s="259">
        <f>D15*SUMPRODUCT($B17:$B23,D17:D23)</f>
        <v>1.4083855747500493E-2</v>
      </c>
      <c r="E24" s="259">
        <f t="shared" ref="E24:J24" si="0">E15*SUMPRODUCT($B17:$B23,E17:E23)</f>
        <v>2.1516400709462383E-3</v>
      </c>
      <c r="F24" s="259">
        <f t="shared" si="0"/>
        <v>-2.1669402888213913E-3</v>
      </c>
      <c r="G24" s="259">
        <f t="shared" si="0"/>
        <v>5.4728910077684982E-4</v>
      </c>
      <c r="H24" s="259">
        <f t="shared" si="0"/>
        <v>2.4659129202174853E-3</v>
      </c>
      <c r="I24" s="259">
        <f t="shared" si="0"/>
        <v>1.9728084722271107E-3</v>
      </c>
      <c r="J24" s="259">
        <f t="shared" si="0"/>
        <v>-1.839830184968159E-4</v>
      </c>
      <c r="K24" s="39"/>
    </row>
    <row r="25" spans="2:14" x14ac:dyDescent="0.5">
      <c r="B25" s="49" t="s">
        <v>60</v>
      </c>
      <c r="C25" s="43"/>
      <c r="D25" s="28" t="str">
        <f ca="1">_xlfn.FORMULATEXT(D24)</f>
        <v>=D15*SUMPRODUCT($B17:$B23,D17:D23)</v>
      </c>
      <c r="E25" s="28"/>
      <c r="F25" s="28"/>
      <c r="G25" s="28"/>
      <c r="H25" s="28"/>
      <c r="I25" s="28"/>
      <c r="J25" s="28"/>
      <c r="K25" s="39"/>
    </row>
    <row r="26" spans="2:14" x14ac:dyDescent="0.5">
      <c r="B26" s="2" t="s">
        <v>78</v>
      </c>
      <c r="C26" s="50">
        <f>SUMPRODUCT(B17:B23,$C6:$C12)</f>
        <v>5.6422681172747534E-2</v>
      </c>
      <c r="D26" s="35" t="str">
        <f ca="1">_xlfn.FORMULATEXT(C26)</f>
        <v>=SUMPRODUCT(B17:B23,$C6:$C12)</v>
      </c>
      <c r="E26" s="28"/>
      <c r="F26" s="28"/>
      <c r="G26" s="28"/>
      <c r="H26" s="28"/>
      <c r="I26" s="28"/>
      <c r="J26" s="28"/>
      <c r="K26" s="1"/>
    </row>
    <row r="27" spans="2:14" ht="15.75" thickBot="1" x14ac:dyDescent="0.55000000000000004">
      <c r="B27" s="2" t="s">
        <v>79</v>
      </c>
      <c r="C27" s="50">
        <f>SUM(D24:J24)^0.5</f>
        <v>0.13737024060672665</v>
      </c>
      <c r="D27" s="35" t="str">
        <f t="shared" ref="D27:D28" ca="1" si="1">_xlfn.FORMULATEXT(C27)</f>
        <v>=SUM(D24:J24)^0.5</v>
      </c>
      <c r="E27" s="28"/>
      <c r="F27" s="28"/>
      <c r="G27" s="28"/>
      <c r="H27" s="28"/>
      <c r="I27" s="28"/>
      <c r="J27" s="28"/>
      <c r="K27" s="1"/>
    </row>
    <row r="28" spans="2:14" ht="15.75" thickBot="1" x14ac:dyDescent="0.55000000000000004">
      <c r="B28" s="113" t="s">
        <v>80</v>
      </c>
      <c r="C28" s="114">
        <f>C26/C27</f>
        <v>0.41073438412529556</v>
      </c>
      <c r="D28" s="35" t="str">
        <f t="shared" ca="1" si="1"/>
        <v>=C26/C27</v>
      </c>
      <c r="E28" s="28"/>
      <c r="F28" s="28"/>
      <c r="G28" s="28"/>
      <c r="H28" s="28"/>
      <c r="I28" s="28"/>
      <c r="J28" s="28"/>
      <c r="K28" s="1"/>
    </row>
    <row r="30" spans="2:14" s="42" customFormat="1" ht="29" customHeight="1" x14ac:dyDescent="0.5">
      <c r="B30" s="41" t="s">
        <v>81</v>
      </c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2"/>
    </row>
    <row r="31" spans="2:14" s="55" customFormat="1" ht="45" x14ac:dyDescent="0.5">
      <c r="B31" s="52" t="s">
        <v>60</v>
      </c>
      <c r="C31" s="53"/>
      <c r="D31" s="54" t="s">
        <v>82</v>
      </c>
      <c r="E31" s="53"/>
      <c r="F31" s="53"/>
      <c r="G31" s="53"/>
      <c r="H31" s="53"/>
      <c r="I31" s="54" t="s">
        <v>83</v>
      </c>
      <c r="J31" s="53"/>
      <c r="K31" s="53"/>
      <c r="L31" s="53"/>
      <c r="M31" s="53"/>
    </row>
    <row r="32" spans="2:14" x14ac:dyDescent="0.5">
      <c r="B32" s="56" t="str">
        <f>B26</f>
        <v>Pf Risk Prem</v>
      </c>
      <c r="C32" s="57">
        <v>3.4999000038548805E-2</v>
      </c>
      <c r="D32" s="50">
        <v>3.833965556576354E-2</v>
      </c>
      <c r="E32" s="57">
        <v>4.0000000077156393E-2</v>
      </c>
      <c r="F32" s="57">
        <v>4.500000007715782E-2</v>
      </c>
      <c r="G32" s="57">
        <v>5.0000000077158761E-2</v>
      </c>
      <c r="H32" s="57">
        <v>5.5000000077158648E-2</v>
      </c>
      <c r="I32" s="50">
        <v>5.6422707479908095E-2</v>
      </c>
      <c r="J32" s="57">
        <v>5.7512520004351128E-2</v>
      </c>
      <c r="K32" s="57">
        <v>6.0000000154245191E-2</v>
      </c>
      <c r="L32" s="57">
        <v>6.9999000154218935E-2</v>
      </c>
      <c r="M32" s="57">
        <v>8.0000000668251872E-2</v>
      </c>
    </row>
    <row r="33" spans="2:13" x14ac:dyDescent="0.5">
      <c r="B33" s="56" t="str">
        <f>B27</f>
        <v>Pf Std Dev</v>
      </c>
      <c r="C33" s="57">
        <v>0.11414514935593496</v>
      </c>
      <c r="D33" s="50">
        <v>0.11323740105860984</v>
      </c>
      <c r="E33" s="57">
        <v>0.11346231070572906</v>
      </c>
      <c r="F33" s="57">
        <v>0.11680395156261608</v>
      </c>
      <c r="G33" s="57">
        <v>0.12384422882265476</v>
      </c>
      <c r="H33" s="57">
        <v>0.13400143912201753</v>
      </c>
      <c r="I33" s="50">
        <v>0.13737030465585298</v>
      </c>
      <c r="J33" s="57">
        <v>0.14007692340531527</v>
      </c>
      <c r="K33" s="57">
        <v>0.14662926442111893</v>
      </c>
      <c r="L33" s="57">
        <v>0.17708972092598163</v>
      </c>
      <c r="M33" s="57">
        <v>0.21194997381209665</v>
      </c>
    </row>
    <row r="34" spans="2:13" x14ac:dyDescent="0.5">
      <c r="B34" s="58" t="str">
        <f>B28</f>
        <v>Pf Sharpe</v>
      </c>
      <c r="C34" s="59">
        <v>0.306618373501029</v>
      </c>
      <c r="D34" s="60">
        <v>0.33857767139957201</v>
      </c>
      <c r="E34" s="59">
        <v>0.35253997409676119</v>
      </c>
      <c r="F34" s="59">
        <v>0.38526093916466764</v>
      </c>
      <c r="G34" s="59">
        <v>0.40373298418902415</v>
      </c>
      <c r="H34" s="59">
        <v>0.41044335372456231</v>
      </c>
      <c r="I34" s="60">
        <v>0.41073438412516527</v>
      </c>
      <c r="J34" s="59">
        <v>0.4105781209795531</v>
      </c>
      <c r="K34" s="59">
        <v>0.40919526119919231</v>
      </c>
      <c r="L34" s="59">
        <v>0.39527421347892061</v>
      </c>
      <c r="M34" s="59">
        <v>0.37744756099463139</v>
      </c>
    </row>
    <row r="35" spans="2:13" x14ac:dyDescent="0.5">
      <c r="B35" s="61" t="s">
        <v>208</v>
      </c>
      <c r="C35" s="28">
        <v>0.59442106074413803</v>
      </c>
      <c r="D35" s="50">
        <v>0.61117305690097667</v>
      </c>
      <c r="E35" s="28">
        <v>0.61949736739376815</v>
      </c>
      <c r="F35" s="28">
        <v>0.64456731191660466</v>
      </c>
      <c r="G35" s="28">
        <v>0.66963751376741532</v>
      </c>
      <c r="H35" s="28">
        <v>0.69470786623892455</v>
      </c>
      <c r="I35" s="50">
        <v>0.70184100457683152</v>
      </c>
      <c r="J35" s="28">
        <v>0.7073055339407428</v>
      </c>
      <c r="K35" s="28">
        <v>0.71977798568511053</v>
      </c>
      <c r="L35" s="28">
        <v>0.7699136647857372</v>
      </c>
      <c r="M35" s="28">
        <v>0.82005950042525966</v>
      </c>
    </row>
    <row r="36" spans="2:13" x14ac:dyDescent="0.5">
      <c r="B36" s="61" t="s">
        <v>70</v>
      </c>
      <c r="C36" s="28">
        <v>1.0175145429614456</v>
      </c>
      <c r="D36" s="50">
        <v>0.87778140312650366</v>
      </c>
      <c r="E36" s="28">
        <v>0.80832906887788325</v>
      </c>
      <c r="F36" s="28">
        <v>0.59918469318125389</v>
      </c>
      <c r="G36" s="28">
        <v>0.39003959696041712</v>
      </c>
      <c r="H36" s="28">
        <v>0.18089406232326116</v>
      </c>
      <c r="I36" s="50">
        <v>0.12138366221957439</v>
      </c>
      <c r="J36" s="28">
        <v>7.5797290867246347E-2</v>
      </c>
      <c r="K36" s="28">
        <v>-2.8251791488637587E-2</v>
      </c>
      <c r="L36" s="28">
        <v>-0.44650201174434312</v>
      </c>
      <c r="M36" s="28">
        <v>-0.86483660447043154</v>
      </c>
    </row>
    <row r="37" spans="2:13" x14ac:dyDescent="0.5">
      <c r="B37" s="61" t="s">
        <v>71</v>
      </c>
      <c r="C37" s="28">
        <v>-0.23645804066743198</v>
      </c>
      <c r="D37" s="50">
        <v>-0.21402145851463161</v>
      </c>
      <c r="E37" s="28">
        <v>-0.20286825038913675</v>
      </c>
      <c r="F37" s="28">
        <v>-0.16928490921675271</v>
      </c>
      <c r="G37" s="28">
        <v>-0.13570033460378078</v>
      </c>
      <c r="H37" s="28">
        <v>-0.10211493660924818</v>
      </c>
      <c r="I37" s="50">
        <v>-9.255789624550162E-2</v>
      </c>
      <c r="J37" s="28">
        <v>-8.5238144634216501E-2</v>
      </c>
      <c r="K37" s="28">
        <v>-6.852937577419807E-2</v>
      </c>
      <c r="L37" s="28">
        <v>-1.3640926027450335E-3</v>
      </c>
      <c r="M37" s="28">
        <v>6.581538115802435E-2</v>
      </c>
    </row>
    <row r="38" spans="2:13" x14ac:dyDescent="0.5">
      <c r="B38" s="61" t="s">
        <v>72</v>
      </c>
      <c r="C38" s="28">
        <v>-0.60767080453923705</v>
      </c>
      <c r="D38" s="50">
        <v>-0.50972374734077808</v>
      </c>
      <c r="E38" s="28">
        <v>-0.46104441127965406</v>
      </c>
      <c r="F38" s="28">
        <v>-0.31444771551308193</v>
      </c>
      <c r="G38" s="28">
        <v>-0.16785191167617111</v>
      </c>
      <c r="H38" s="28">
        <v>-2.1256709758166181E-2</v>
      </c>
      <c r="I38" s="50">
        <v>2.0455156779599467E-2</v>
      </c>
      <c r="J38" s="28">
        <v>5.2407774674161592E-2</v>
      </c>
      <c r="K38" s="28">
        <v>0.12533816660119473</v>
      </c>
      <c r="L38" s="28">
        <v>0.41849839586565757</v>
      </c>
      <c r="M38" s="28">
        <v>0.71171673880949082</v>
      </c>
    </row>
    <row r="39" spans="2:13" x14ac:dyDescent="0.5">
      <c r="B39" s="61" t="s">
        <v>73</v>
      </c>
      <c r="C39" s="28">
        <v>5.884812951284249E-2</v>
      </c>
      <c r="D39" s="50">
        <v>6.9491922249092952E-2</v>
      </c>
      <c r="E39" s="28">
        <v>7.4784139465141855E-2</v>
      </c>
      <c r="F39" s="28">
        <v>9.0718138947646687E-2</v>
      </c>
      <c r="G39" s="28">
        <v>0.10665244684753884</v>
      </c>
      <c r="H39" s="28">
        <v>0.12258693508609424</v>
      </c>
      <c r="I39" s="50">
        <v>0.1271210621438216</v>
      </c>
      <c r="J39" s="28">
        <v>0.13059457696225704</v>
      </c>
      <c r="K39" s="28">
        <v>0.13852197991856938</v>
      </c>
      <c r="L39" s="28">
        <v>0.17038838089427116</v>
      </c>
      <c r="M39" s="28">
        <v>0.20226133444486366</v>
      </c>
    </row>
    <row r="40" spans="2:13" x14ac:dyDescent="0.5">
      <c r="B40" s="61" t="s">
        <v>38</v>
      </c>
      <c r="C40" s="28">
        <v>0.21924002087486194</v>
      </c>
      <c r="D40" s="50">
        <v>0.2054930294508561</v>
      </c>
      <c r="E40" s="28">
        <v>0.19866109616797772</v>
      </c>
      <c r="F40" s="28">
        <v>0.17808606496890128</v>
      </c>
      <c r="G40" s="28">
        <v>0.1575109701541009</v>
      </c>
      <c r="H40" s="28">
        <v>0.13693580517367129</v>
      </c>
      <c r="I40" s="50">
        <v>0.13108085163417868</v>
      </c>
      <c r="J40" s="28">
        <v>0.12659649175749096</v>
      </c>
      <c r="K40" s="28">
        <v>0.11636035468300576</v>
      </c>
      <c r="L40" s="28">
        <v>7.5214178191944883E-2</v>
      </c>
      <c r="M40" s="28">
        <v>3.4059845163479152E-2</v>
      </c>
    </row>
    <row r="41" spans="2:13" x14ac:dyDescent="0.5">
      <c r="B41" s="62" t="s">
        <v>209</v>
      </c>
      <c r="C41" s="21">
        <v>-4.5894908886619581E-2</v>
      </c>
      <c r="D41" s="60">
        <v>-4.0194205872020543E-2</v>
      </c>
      <c r="E41" s="21">
        <v>-3.7359010235980379E-2</v>
      </c>
      <c r="F41" s="21">
        <v>-2.8823584284571754E-2</v>
      </c>
      <c r="G41" s="21">
        <v>-2.0288281449520454E-2</v>
      </c>
      <c r="H41" s="21">
        <v>-1.1753022454536901E-2</v>
      </c>
      <c r="I41" s="60">
        <v>-9.3238411085045866E-3</v>
      </c>
      <c r="J41" s="21">
        <v>-7.4635235676825239E-3</v>
      </c>
      <c r="K41" s="21">
        <v>-3.2173196250447921E-3</v>
      </c>
      <c r="L41" s="21">
        <v>1.3851484609477832E-2</v>
      </c>
      <c r="M41" s="21">
        <v>3.0923804469314177E-2</v>
      </c>
    </row>
    <row r="42" spans="2:13" x14ac:dyDescent="0.5">
      <c r="B42" s="56" t="s">
        <v>207</v>
      </c>
      <c r="C42" s="50">
        <f>C33*$I$34</f>
        <v>4.6883337621584954E-2</v>
      </c>
      <c r="D42" s="50">
        <f t="shared" ref="D42:M42" si="2">D33*$I$34</f>
        <v>4.6510494183742451E-2</v>
      </c>
      <c r="E42" s="50">
        <f t="shared" si="2"/>
        <v>4.6602872309135769E-2</v>
      </c>
      <c r="F42" s="50">
        <f t="shared" si="2"/>
        <v>4.7975399108456752E-2</v>
      </c>
      <c r="G42" s="50">
        <f t="shared" si="2"/>
        <v>5.0867083052929148E-2</v>
      </c>
      <c r="H42" s="50">
        <f t="shared" si="2"/>
        <v>5.5038998569667701E-2</v>
      </c>
      <c r="I42" s="50">
        <f t="shared" si="2"/>
        <v>5.6422707479908095E-2</v>
      </c>
      <c r="J42" s="50">
        <f t="shared" si="2"/>
        <v>5.7534408865030119E-2</v>
      </c>
      <c r="K42" s="50">
        <f t="shared" si="2"/>
        <v>6.0225680616734292E-2</v>
      </c>
      <c r="L42" s="50">
        <f t="shared" si="2"/>
        <v>7.2736837459430465E-2</v>
      </c>
      <c r="M42" s="50">
        <f t="shared" si="2"/>
        <v>8.7055141959056434E-2</v>
      </c>
    </row>
    <row r="43" spans="2:13" x14ac:dyDescent="0.5">
      <c r="B43" s="122" t="s">
        <v>206</v>
      </c>
    </row>
    <row r="44" spans="2:13" x14ac:dyDescent="0.5">
      <c r="B44" s="35" t="s">
        <v>228</v>
      </c>
      <c r="C44" s="35" t="str">
        <f ca="1">_xlfn.FORMULATEXT(C42)</f>
        <v>=C33*$I$34</v>
      </c>
    </row>
  </sheetData>
  <pageMargins left="0.7" right="0.7" top="0.75" bottom="0.75" header="0.3" footer="0.3"/>
  <pageSetup scale="57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4F90-D9C7-8A4E-BEAA-3F7C6324D451}">
  <sheetPr>
    <pageSetUpPr fitToPage="1"/>
  </sheetPr>
  <dimension ref="B2:K65"/>
  <sheetViews>
    <sheetView showGridLines="0" zoomScale="70" zoomScaleNormal="109" zoomScalePageLayoutView="120" workbookViewId="0">
      <selection activeCell="E66" sqref="E66"/>
    </sheetView>
  </sheetViews>
  <sheetFormatPr defaultColWidth="12.5" defaultRowHeight="15.4" x14ac:dyDescent="0.5"/>
  <cols>
    <col min="1" max="1" width="2.3125" style="66" customWidth="1"/>
    <col min="2" max="2" width="24.5" style="66" customWidth="1"/>
    <col min="3" max="3" width="15.8125" style="66" customWidth="1"/>
    <col min="4" max="4" width="14.6875" style="66" customWidth="1"/>
    <col min="5" max="11" width="12.6875" style="66" customWidth="1"/>
    <col min="12" max="16384" width="12.5" style="66"/>
  </cols>
  <sheetData>
    <row r="2" spans="2:11" ht="22.5" x14ac:dyDescent="0.5">
      <c r="B2" s="34" t="s">
        <v>107</v>
      </c>
    </row>
    <row r="4" spans="2:11" x14ac:dyDescent="0.5">
      <c r="B4" s="98" t="s">
        <v>94</v>
      </c>
      <c r="C4" s="98"/>
      <c r="D4" s="98"/>
      <c r="E4" s="76" t="str">
        <f ca="1">_xlfn.FORMULATEXT(E6)</f>
        <v>=D6*$C$6</v>
      </c>
      <c r="F4" s="98"/>
      <c r="G4" s="98"/>
    </row>
    <row r="5" spans="2:11" ht="45" x14ac:dyDescent="0.5">
      <c r="B5" s="97" t="s">
        <v>85</v>
      </c>
      <c r="C5" s="69" t="s">
        <v>3</v>
      </c>
      <c r="D5" s="69" t="s">
        <v>4</v>
      </c>
      <c r="E5" s="69" t="s">
        <v>5</v>
      </c>
      <c r="F5" s="69" t="s">
        <v>229</v>
      </c>
      <c r="G5" s="63" t="s">
        <v>6</v>
      </c>
    </row>
    <row r="6" spans="2:11" x14ac:dyDescent="0.5">
      <c r="B6" s="64" t="s">
        <v>7</v>
      </c>
      <c r="C6" s="70">
        <v>0.12060571835789433</v>
      </c>
      <c r="D6" s="70">
        <v>1</v>
      </c>
      <c r="E6" s="71">
        <f>D6*$C$6</f>
        <v>0.12060571835789433</v>
      </c>
      <c r="F6" s="70">
        <v>9.0483576516345107E-18</v>
      </c>
      <c r="G6" s="71">
        <f>D6*$C$6/C6</f>
        <v>1</v>
      </c>
      <c r="H6" s="87" t="str">
        <f ca="1">_xlfn.FORMULATEXT(G6)</f>
        <v>=D6*$C$6/C6</v>
      </c>
    </row>
    <row r="7" spans="2:11" x14ac:dyDescent="0.5">
      <c r="B7" s="64" t="s">
        <v>8</v>
      </c>
      <c r="C7" s="70">
        <v>0.16621880004954875</v>
      </c>
      <c r="D7" s="70">
        <v>0.20947547656486501</v>
      </c>
      <c r="E7" s="71">
        <f t="shared" ref="E7:E12" si="0">D7*$C$6</f>
        <v>2.5263940329467802E-2</v>
      </c>
      <c r="F7" s="70">
        <v>0.16569784225009199</v>
      </c>
      <c r="G7" s="71">
        <f>D7*$C$6/C7</f>
        <v>0.15199207503565651</v>
      </c>
      <c r="H7" s="87"/>
      <c r="I7" s="72"/>
      <c r="J7" s="72"/>
      <c r="K7" s="72"/>
    </row>
    <row r="8" spans="2:11" x14ac:dyDescent="0.5">
      <c r="B8" s="64" t="s">
        <v>9</v>
      </c>
      <c r="C8" s="70">
        <v>0.19254957934394146</v>
      </c>
      <c r="D8" s="70">
        <v>0.52646450360480701</v>
      </c>
      <c r="E8" s="71">
        <f t="shared" si="0"/>
        <v>6.3494629647189993E-2</v>
      </c>
      <c r="F8" s="70">
        <v>0.18333982853491099</v>
      </c>
      <c r="G8" s="71">
        <f t="shared" ref="G8:G12" si="1">D8*$C$6/C8</f>
        <v>0.32975730128068881</v>
      </c>
      <c r="H8" s="87"/>
      <c r="I8" s="73"/>
    </row>
    <row r="9" spans="2:11" x14ac:dyDescent="0.5">
      <c r="B9" s="64" t="s">
        <v>10</v>
      </c>
      <c r="C9" s="70">
        <v>0.14811588762509409</v>
      </c>
      <c r="D9" s="70">
        <v>0.237453914379811</v>
      </c>
      <c r="E9" s="71">
        <f t="shared" si="0"/>
        <v>2.8638299920671038E-2</v>
      </c>
      <c r="F9" s="70">
        <v>0.14656831246736299</v>
      </c>
      <c r="G9" s="71">
        <f t="shared" si="1"/>
        <v>0.19335062821322269</v>
      </c>
      <c r="H9" s="87"/>
      <c r="I9" s="73"/>
    </row>
    <row r="10" spans="2:11" x14ac:dyDescent="0.5">
      <c r="B10" s="64" t="s">
        <v>11</v>
      </c>
      <c r="C10" s="70">
        <v>0.13578022132289708</v>
      </c>
      <c r="D10" s="70">
        <v>0.29813184263917802</v>
      </c>
      <c r="E10" s="71">
        <f t="shared" si="0"/>
        <v>3.5956405046860776E-2</v>
      </c>
      <c r="F10" s="70">
        <v>0.13205673551333499</v>
      </c>
      <c r="G10" s="71">
        <f t="shared" si="1"/>
        <v>0.26481327469155719</v>
      </c>
      <c r="H10" s="87"/>
      <c r="I10" s="73"/>
    </row>
    <row r="11" spans="2:11" x14ac:dyDescent="0.5">
      <c r="B11" s="64" t="s">
        <v>12</v>
      </c>
      <c r="C11" s="70">
        <v>0.25462459131984877</v>
      </c>
      <c r="D11" s="70">
        <v>1.3257514036509299</v>
      </c>
      <c r="E11" s="71">
        <f t="shared" si="0"/>
        <v>0.15989320040130714</v>
      </c>
      <c r="F11" s="70">
        <v>0.19986214952947401</v>
      </c>
      <c r="G11" s="71">
        <f t="shared" si="1"/>
        <v>0.62795663047508232</v>
      </c>
      <c r="H11" s="87"/>
      <c r="I11" s="73"/>
    </row>
    <row r="12" spans="2:11" x14ac:dyDescent="0.5">
      <c r="B12" s="65" t="s">
        <v>13</v>
      </c>
      <c r="C12" s="100">
        <v>0.29730032060073808</v>
      </c>
      <c r="D12" s="74">
        <v>1.6612587079705401</v>
      </c>
      <c r="E12" s="75">
        <f t="shared" si="0"/>
        <v>0.20035729985309439</v>
      </c>
      <c r="F12" s="74">
        <v>0.221531563426689</v>
      </c>
      <c r="G12" s="75">
        <f t="shared" si="1"/>
        <v>0.67392224619281815</v>
      </c>
      <c r="H12" s="87"/>
      <c r="I12" s="73"/>
    </row>
    <row r="15" spans="2:11" x14ac:dyDescent="0.5">
      <c r="B15" s="260" t="s">
        <v>93</v>
      </c>
      <c r="C15" s="260"/>
      <c r="D15" s="260"/>
      <c r="E15" s="260"/>
      <c r="F15" s="260"/>
      <c r="G15" s="260"/>
      <c r="H15" s="76"/>
    </row>
    <row r="16" spans="2:11" x14ac:dyDescent="0.5">
      <c r="B16" s="93" t="s">
        <v>86</v>
      </c>
      <c r="C16" s="77" t="s">
        <v>14</v>
      </c>
      <c r="D16" s="77" t="s">
        <v>15</v>
      </c>
      <c r="E16" s="77" t="s">
        <v>16</v>
      </c>
      <c r="F16" s="77" t="s">
        <v>17</v>
      </c>
      <c r="G16" s="77" t="s">
        <v>18</v>
      </c>
      <c r="H16" s="77" t="s">
        <v>19</v>
      </c>
    </row>
    <row r="17" spans="2:10" x14ac:dyDescent="0.5">
      <c r="B17" s="64" t="s">
        <v>8</v>
      </c>
      <c r="C17" s="66">
        <v>1</v>
      </c>
      <c r="J17" s="78"/>
    </row>
    <row r="18" spans="2:10" x14ac:dyDescent="0.5">
      <c r="B18" s="64" t="s">
        <v>9</v>
      </c>
      <c r="C18" s="106">
        <v>0.40454996123047499</v>
      </c>
      <c r="D18" s="66">
        <v>1</v>
      </c>
    </row>
    <row r="19" spans="2:10" x14ac:dyDescent="0.5">
      <c r="B19" s="64" t="s">
        <v>10</v>
      </c>
      <c r="C19" s="79">
        <v>8.9442826798276823E-2</v>
      </c>
      <c r="D19" s="79">
        <v>-7.0795307988008024E-2</v>
      </c>
      <c r="E19" s="66">
        <v>1</v>
      </c>
    </row>
    <row r="20" spans="2:10" x14ac:dyDescent="0.5">
      <c r="B20" s="64" t="s">
        <v>11</v>
      </c>
      <c r="C20" s="79">
        <v>0.19252038826229423</v>
      </c>
      <c r="D20" s="79">
        <v>-7.316129005026136E-3</v>
      </c>
      <c r="E20" s="106">
        <v>0.62375246938696793</v>
      </c>
      <c r="F20" s="66">
        <v>1</v>
      </c>
    </row>
    <row r="21" spans="2:10" x14ac:dyDescent="0.5">
      <c r="B21" s="64" t="s">
        <v>12</v>
      </c>
      <c r="C21" s="79">
        <v>9.4728958813739467E-2</v>
      </c>
      <c r="D21" s="79">
        <v>7.6792108041146945E-2</v>
      </c>
      <c r="E21" s="79">
        <v>-0.22970264124495879</v>
      </c>
      <c r="F21" s="79">
        <v>-0.20039653628733811</v>
      </c>
      <c r="G21" s="66">
        <v>1</v>
      </c>
    </row>
    <row r="22" spans="2:10" x14ac:dyDescent="0.5">
      <c r="B22" s="65" t="s">
        <v>13</v>
      </c>
      <c r="C22" s="80">
        <v>3.5972961044097924E-2</v>
      </c>
      <c r="D22" s="80">
        <v>0.1745636055991332</v>
      </c>
      <c r="E22" s="80">
        <v>-0.32011549399550526</v>
      </c>
      <c r="F22" s="80">
        <v>-0.30882208879472256</v>
      </c>
      <c r="G22" s="107">
        <v>0.69946671572430896</v>
      </c>
      <c r="H22" s="76">
        <v>1</v>
      </c>
    </row>
    <row r="25" spans="2:10" x14ac:dyDescent="0.5">
      <c r="B25" s="98" t="s">
        <v>92</v>
      </c>
      <c r="C25" s="98"/>
      <c r="D25" s="76" t="str">
        <f ca="1">_xlfn.FORMULATEXT(D28)</f>
        <v>=C6^2</v>
      </c>
      <c r="E25" s="135" t="str">
        <f ca="1">_xlfn.FORMULATEXT(E28)</f>
        <v>=$C28*E$27*$D$28</v>
      </c>
      <c r="F25" s="98"/>
      <c r="G25" s="98"/>
      <c r="H25" s="76"/>
      <c r="I25" s="76"/>
      <c r="J25" s="76"/>
    </row>
    <row r="26" spans="2:10" x14ac:dyDescent="0.5">
      <c r="B26" s="98" t="s">
        <v>87</v>
      </c>
      <c r="C26" s="68"/>
      <c r="D26" s="81" t="s">
        <v>7</v>
      </c>
      <c r="E26" s="81" t="s">
        <v>14</v>
      </c>
      <c r="F26" s="81" t="s">
        <v>15</v>
      </c>
      <c r="G26" s="81" t="s">
        <v>16</v>
      </c>
      <c r="H26" s="82" t="s">
        <v>17</v>
      </c>
      <c r="I26" s="82" t="s">
        <v>18</v>
      </c>
      <c r="J26" s="82" t="s">
        <v>19</v>
      </c>
    </row>
    <row r="27" spans="2:10" x14ac:dyDescent="0.5">
      <c r="B27" s="68"/>
      <c r="C27" s="83" t="s">
        <v>2</v>
      </c>
      <c r="D27" s="84">
        <f t="array" ref="D27:J27">TRANSPOSE(C28:C34)</f>
        <v>1</v>
      </c>
      <c r="E27" s="84">
        <v>0.20947547656486501</v>
      </c>
      <c r="F27" s="84">
        <v>0.52646450360480701</v>
      </c>
      <c r="G27" s="84">
        <v>0.237453914379811</v>
      </c>
      <c r="H27" s="84">
        <v>0.29813184263917802</v>
      </c>
      <c r="I27" s="84">
        <v>1.3257514036509299</v>
      </c>
      <c r="J27" s="84">
        <v>1.6612587079705401</v>
      </c>
    </row>
    <row r="28" spans="2:10" x14ac:dyDescent="0.5">
      <c r="B28" s="64" t="s">
        <v>7</v>
      </c>
      <c r="C28" s="85">
        <f t="shared" ref="C28:C34" si="2">D6</f>
        <v>1</v>
      </c>
      <c r="D28" s="86">
        <f>C6^2</f>
        <v>1.4545739300623729E-2</v>
      </c>
      <c r="E28" s="131">
        <f>$C28*E$27*$D$28</f>
        <v>3.0469756719864421E-3</v>
      </c>
      <c r="F28" s="131">
        <f t="shared" ref="F28:J28" si="3">$C28*F$27*$D$28</f>
        <v>7.6578154204678039E-3</v>
      </c>
      <c r="G28" s="131">
        <f t="shared" si="3"/>
        <v>3.4539427344813592E-3</v>
      </c>
      <c r="H28" s="131">
        <f t="shared" si="3"/>
        <v>4.3365480602440614E-3</v>
      </c>
      <c r="I28" s="131">
        <f t="shared" si="3"/>
        <v>1.9284034294942406E-2</v>
      </c>
      <c r="J28" s="131">
        <f t="shared" si="3"/>
        <v>2.4164236077030485E-2</v>
      </c>
    </row>
    <row r="29" spans="2:10" x14ac:dyDescent="0.5">
      <c r="B29" s="64" t="s">
        <v>8</v>
      </c>
      <c r="C29" s="85">
        <f t="shared" si="2"/>
        <v>0.20947547656486501</v>
      </c>
      <c r="D29" s="131">
        <f t="shared" ref="D29:D34" si="4">$C29*D$27*$D$28</f>
        <v>3.0469756719864421E-3</v>
      </c>
      <c r="E29" s="86">
        <f>C7^2</f>
        <v>2.7628689489911869E-2</v>
      </c>
      <c r="F29" s="131">
        <f>$C29*F$27*$D$28</f>
        <v>1.6041245346482653E-3</v>
      </c>
      <c r="G29" s="131">
        <f>$C29*G$27*$D$28</f>
        <v>7.2351630033323561E-4</v>
      </c>
      <c r="H29" s="131">
        <f>$C29*H$27*$D$28</f>
        <v>9.0840047156606556E-4</v>
      </c>
      <c r="I29" s="131">
        <f>$C29*I$27*$D$28</f>
        <v>4.0395322740262611E-3</v>
      </c>
      <c r="J29" s="131">
        <f>$C29*J$27*$D$28</f>
        <v>5.061814868061865E-3</v>
      </c>
    </row>
    <row r="30" spans="2:10" x14ac:dyDescent="0.5">
      <c r="B30" s="64" t="s">
        <v>9</v>
      </c>
      <c r="C30" s="85">
        <f t="shared" si="2"/>
        <v>0.52646450360480701</v>
      </c>
      <c r="D30" s="131">
        <f t="shared" si="4"/>
        <v>7.6578154204678039E-3</v>
      </c>
      <c r="E30" s="131">
        <f>$C30*E$27*$D$28</f>
        <v>1.6041245346482653E-3</v>
      </c>
      <c r="F30" s="86">
        <f>C8^2</f>
        <v>3.7075340505528805E-2</v>
      </c>
      <c r="G30" s="131">
        <f>$C30*G$27*$D$28</f>
        <v>1.8183782471881584E-3</v>
      </c>
      <c r="H30" s="131">
        <f>$C30*H$27*$D$28</f>
        <v>2.2830386218947781E-3</v>
      </c>
      <c r="I30" s="131">
        <f>$C30*I$27*$D$28</f>
        <v>1.0152359542584928E-2</v>
      </c>
      <c r="J30" s="131">
        <f>$C30*J$27*$D$28</f>
        <v>1.2721612551283222E-2</v>
      </c>
    </row>
    <row r="31" spans="2:10" x14ac:dyDescent="0.5">
      <c r="B31" s="64" t="s">
        <v>10</v>
      </c>
      <c r="C31" s="85">
        <f t="shared" si="2"/>
        <v>0.237453914379811</v>
      </c>
      <c r="D31" s="131">
        <f t="shared" si="4"/>
        <v>3.4539427344813592E-3</v>
      </c>
      <c r="E31" s="131">
        <f>$C31*E$27*$D$28</f>
        <v>7.2351630033323561E-4</v>
      </c>
      <c r="F31" s="131">
        <f>$C31*F$27*$D$28</f>
        <v>1.8183782471881584E-3</v>
      </c>
      <c r="G31" s="86">
        <f>C9^2</f>
        <v>2.19383161669695E-2</v>
      </c>
      <c r="H31" s="131">
        <f>$C31*H$27*$D$28</f>
        <v>1.0297303118011287E-3</v>
      </c>
      <c r="I31" s="131">
        <f>$C31*I$27*$D$28</f>
        <v>4.579069428368593E-3</v>
      </c>
      <c r="J31" s="131">
        <f>$C31*J$27*$D$28</f>
        <v>5.7378924444887371E-3</v>
      </c>
    </row>
    <row r="32" spans="2:10" x14ac:dyDescent="0.5">
      <c r="B32" s="64" t="s">
        <v>11</v>
      </c>
      <c r="C32" s="85">
        <f t="shared" si="2"/>
        <v>0.29813184263917802</v>
      </c>
      <c r="D32" s="131">
        <f t="shared" si="4"/>
        <v>4.3365480602440614E-3</v>
      </c>
      <c r="E32" s="131">
        <f>$C32*E$27*$D$28</f>
        <v>9.0840047156606556E-4</v>
      </c>
      <c r="F32" s="131">
        <f>$C32*F$27*$D$28</f>
        <v>2.2830386218947781E-3</v>
      </c>
      <c r="G32" s="131">
        <f>$C32*G$27*$D$28</f>
        <v>1.0297303118011287E-3</v>
      </c>
      <c r="H32" s="86">
        <f>C10^2</f>
        <v>1.8436268502494912E-2</v>
      </c>
      <c r="I32" s="131">
        <f>$C32*I$27*$D$28</f>
        <v>5.7491846778682815E-3</v>
      </c>
      <c r="J32" s="131">
        <f>$C32*J$27*$D$28</f>
        <v>7.2041282276132006E-3</v>
      </c>
    </row>
    <row r="33" spans="2:11" x14ac:dyDescent="0.5">
      <c r="B33" s="64" t="s">
        <v>12</v>
      </c>
      <c r="C33" s="85">
        <f t="shared" si="2"/>
        <v>1.3257514036509299</v>
      </c>
      <c r="D33" s="131">
        <f t="shared" si="4"/>
        <v>1.9284034294942406E-2</v>
      </c>
      <c r="E33" s="131">
        <f>$C33*E$27*$D$28</f>
        <v>4.0395322740262611E-3</v>
      </c>
      <c r="F33" s="131">
        <f>$C33*F$27*$D$28</f>
        <v>1.0152359542584928E-2</v>
      </c>
      <c r="G33" s="131">
        <f>$C33*G$27*$D$28</f>
        <v>4.579069428368593E-3</v>
      </c>
      <c r="H33" s="131">
        <f>$C33*H$27*$D$28</f>
        <v>5.7491846778682815E-3</v>
      </c>
      <c r="I33" s="86">
        <f>C11^2</f>
        <v>6.4833682504800011E-2</v>
      </c>
      <c r="J33" s="131">
        <f>$C33*J$27*$D$28</f>
        <v>3.2035769897275607E-2</v>
      </c>
    </row>
    <row r="34" spans="2:11" x14ac:dyDescent="0.5">
      <c r="B34" s="65" t="s">
        <v>13</v>
      </c>
      <c r="C34" s="88">
        <f t="shared" si="2"/>
        <v>1.6612587079705401</v>
      </c>
      <c r="D34" s="99">
        <f t="shared" si="4"/>
        <v>2.4164236077030485E-2</v>
      </c>
      <c r="E34" s="99">
        <f>$C34*E$27*$D$28</f>
        <v>5.061814868061865E-3</v>
      </c>
      <c r="F34" s="99">
        <f t="shared" ref="F34:I34" si="5">$C34*F$27*$D$28</f>
        <v>1.2721612551283222E-2</v>
      </c>
      <c r="G34" s="99">
        <f t="shared" si="5"/>
        <v>5.7378924444887371E-3</v>
      </c>
      <c r="H34" s="99">
        <f t="shared" si="5"/>
        <v>7.2041282276132006E-3</v>
      </c>
      <c r="I34" s="99">
        <f t="shared" si="5"/>
        <v>3.2035769897275607E-2</v>
      </c>
      <c r="J34" s="89">
        <f>C12^2</f>
        <v>8.8387480629301643E-2</v>
      </c>
    </row>
    <row r="37" spans="2:11" x14ac:dyDescent="0.5">
      <c r="B37" s="261" t="s">
        <v>91</v>
      </c>
      <c r="C37" s="261"/>
      <c r="D37" s="261"/>
      <c r="E37" s="261"/>
      <c r="F37" s="261"/>
      <c r="G37" s="261"/>
    </row>
    <row r="38" spans="2:11" x14ac:dyDescent="0.5">
      <c r="B38" s="67" t="s">
        <v>20</v>
      </c>
      <c r="C38" s="108">
        <v>0.06</v>
      </c>
      <c r="D38" s="76"/>
      <c r="E38" s="67"/>
      <c r="F38" s="67"/>
      <c r="G38" s="67"/>
      <c r="H38" s="76"/>
      <c r="I38" s="76"/>
    </row>
    <row r="39" spans="2:11" ht="34.049999999999997" customHeight="1" x14ac:dyDescent="0.5">
      <c r="B39" s="97" t="s">
        <v>88</v>
      </c>
      <c r="C39" s="81" t="str">
        <f>D26</f>
        <v>Market Index</v>
      </c>
      <c r="D39" s="81" t="s">
        <v>14</v>
      </c>
      <c r="E39" s="81" t="s">
        <v>15</v>
      </c>
      <c r="F39" s="81" t="s">
        <v>16</v>
      </c>
      <c r="G39" s="81" t="s">
        <v>17</v>
      </c>
      <c r="H39" s="81" t="s">
        <v>18</v>
      </c>
      <c r="I39" s="81" t="s">
        <v>19</v>
      </c>
    </row>
    <row r="40" spans="2:11" s="110" customFormat="1" x14ac:dyDescent="0.5">
      <c r="B40" s="109" t="s">
        <v>21</v>
      </c>
      <c r="C40" s="136">
        <v>0</v>
      </c>
      <c r="D40" s="136">
        <v>1.4999999999999999E-2</v>
      </c>
      <c r="E40" s="136">
        <v>-0.01</v>
      </c>
      <c r="F40" s="136">
        <v>-5.0000000000000001E-3</v>
      </c>
      <c r="G40" s="136">
        <v>7.4999999999999997E-3</v>
      </c>
      <c r="H40" s="136">
        <v>1.2E-2</v>
      </c>
      <c r="I40" s="136">
        <v>2.5000000000000001E-3</v>
      </c>
    </row>
    <row r="41" spans="2:11" x14ac:dyDescent="0.5">
      <c r="B41" s="90" t="s">
        <v>2</v>
      </c>
      <c r="C41" s="87">
        <f>D27</f>
        <v>1</v>
      </c>
      <c r="D41" s="87">
        <f t="shared" ref="D41:I41" si="6">E27</f>
        <v>0.20947547656486501</v>
      </c>
      <c r="E41" s="87">
        <f t="shared" si="6"/>
        <v>0.52646450360480701</v>
      </c>
      <c r="F41" s="87">
        <f t="shared" si="6"/>
        <v>0.237453914379811</v>
      </c>
      <c r="G41" s="87">
        <f t="shared" si="6"/>
        <v>0.29813184263917802</v>
      </c>
      <c r="H41" s="87">
        <f t="shared" si="6"/>
        <v>1.3257514036509299</v>
      </c>
      <c r="I41" s="87">
        <f t="shared" si="6"/>
        <v>1.6612587079705401</v>
      </c>
    </row>
    <row r="42" spans="2:11" x14ac:dyDescent="0.5">
      <c r="B42" s="91" t="s">
        <v>220</v>
      </c>
      <c r="C42" s="99">
        <f>C40+C41*$C$38</f>
        <v>0.06</v>
      </c>
      <c r="D42" s="99">
        <f t="shared" ref="D42:I42" si="7">D40+D41*$C$38</f>
        <v>2.7568528593891899E-2</v>
      </c>
      <c r="E42" s="99">
        <f t="shared" si="7"/>
        <v>2.158787021628842E-2</v>
      </c>
      <c r="F42" s="99">
        <f t="shared" si="7"/>
        <v>9.24723486278866E-3</v>
      </c>
      <c r="G42" s="99">
        <f t="shared" si="7"/>
        <v>2.5387910558350681E-2</v>
      </c>
      <c r="H42" s="99">
        <f t="shared" si="7"/>
        <v>9.1545084219055786E-2</v>
      </c>
      <c r="I42" s="99">
        <f t="shared" si="7"/>
        <v>0.1021755224782324</v>
      </c>
    </row>
    <row r="43" spans="2:11" x14ac:dyDescent="0.5">
      <c r="C43" s="66" t="str">
        <f ca="1">_xlfn.FORMULATEXT(C42)</f>
        <v>=C40+C41*$C$38</v>
      </c>
      <c r="D43" s="92"/>
      <c r="E43" s="92"/>
      <c r="F43" s="92"/>
      <c r="G43" s="92"/>
      <c r="H43" s="92"/>
      <c r="I43" s="92"/>
      <c r="J43" s="92"/>
    </row>
    <row r="44" spans="2:11" x14ac:dyDescent="0.5">
      <c r="D44" s="92"/>
      <c r="E44" s="92"/>
      <c r="F44" s="92"/>
      <c r="G44" s="92"/>
      <c r="H44" s="92"/>
      <c r="I44" s="92"/>
      <c r="J44" s="92"/>
    </row>
    <row r="45" spans="2:11" x14ac:dyDescent="0.5">
      <c r="B45" s="98" t="s">
        <v>90</v>
      </c>
      <c r="C45" s="98"/>
      <c r="D45" s="98"/>
      <c r="E45" s="98"/>
      <c r="F45" s="76" t="str">
        <f ca="1">_xlfn.FORMULATEXT(F47)</f>
        <v>=TRANSPOSE(F7:F12)^2</v>
      </c>
      <c r="G45" s="98"/>
      <c r="H45" s="98"/>
      <c r="I45" s="98"/>
      <c r="J45" s="98"/>
      <c r="K45" s="76"/>
    </row>
    <row r="46" spans="2:11" x14ac:dyDescent="0.5">
      <c r="B46" s="93" t="s">
        <v>89</v>
      </c>
      <c r="C46" s="81" t="s">
        <v>23</v>
      </c>
      <c r="D46" s="81" t="s">
        <v>7</v>
      </c>
      <c r="E46" s="95" t="s">
        <v>24</v>
      </c>
      <c r="F46" s="81" t="s">
        <v>14</v>
      </c>
      <c r="G46" s="81" t="s">
        <v>15</v>
      </c>
      <c r="H46" s="81" t="s">
        <v>16</v>
      </c>
      <c r="I46" s="81" t="s">
        <v>17</v>
      </c>
      <c r="J46" s="81" t="s">
        <v>18</v>
      </c>
      <c r="K46" s="81" t="s">
        <v>19</v>
      </c>
    </row>
    <row r="47" spans="2:11" ht="16.5" x14ac:dyDescent="0.5">
      <c r="B47" s="102" t="s">
        <v>95</v>
      </c>
      <c r="C47" s="66" t="s">
        <v>218</v>
      </c>
      <c r="E47" s="138" t="s">
        <v>1</v>
      </c>
      <c r="F47" s="131" cm="1">
        <f t="array" ref="F47:K47">TRANSPOSE(F7:F12)^2</f>
        <v>2.7455774926336367E-2</v>
      </c>
      <c r="G47" s="131">
        <v>3.3613492727210564E-2</v>
      </c>
      <c r="H47" s="131">
        <v>2.1482270219530551E-2</v>
      </c>
      <c r="I47" s="131">
        <v>1.7438981394438911E-2</v>
      </c>
      <c r="J47" s="131">
        <v>3.9944878814541826E-2</v>
      </c>
      <c r="K47" s="131">
        <v>4.9076233594273135E-2</v>
      </c>
    </row>
    <row r="48" spans="2:11" ht="18" x14ac:dyDescent="0.5">
      <c r="B48" s="102" t="s">
        <v>96</v>
      </c>
      <c r="C48" s="66" t="s">
        <v>219</v>
      </c>
      <c r="E48" s="132">
        <f>SUM(F48:K48)</f>
        <v>0.79750961856523395</v>
      </c>
      <c r="F48" s="131">
        <f>D40/F47</f>
        <v>0.54633314995642568</v>
      </c>
      <c r="G48" s="131">
        <f>E40/G47</f>
        <v>-0.29749958093182233</v>
      </c>
      <c r="H48" s="131">
        <f t="shared" ref="H48:K48" si="8">F40/H47</f>
        <v>-0.23275007477814252</v>
      </c>
      <c r="I48" s="131">
        <f t="shared" si="8"/>
        <v>0.43007099040725294</v>
      </c>
      <c r="J48" s="131">
        <f t="shared" si="8"/>
        <v>0.30041397936677261</v>
      </c>
      <c r="K48" s="131">
        <f t="shared" si="8"/>
        <v>5.0941154544747569E-2</v>
      </c>
    </row>
    <row r="49" spans="2:11" ht="18" x14ac:dyDescent="0.5">
      <c r="B49" s="103" t="s">
        <v>97</v>
      </c>
      <c r="C49" s="66" t="s">
        <v>102</v>
      </c>
      <c r="E49" s="132">
        <f>SUM(F49:K49)</f>
        <v>1</v>
      </c>
      <c r="F49" s="131">
        <f>F48/$E$48</f>
        <v>0.68504897901960193</v>
      </c>
      <c r="G49" s="131">
        <f t="shared" ref="G49:K49" si="9">G48/$E$48</f>
        <v>-0.37303572772832677</v>
      </c>
      <c r="H49" s="131">
        <f t="shared" si="9"/>
        <v>-0.29184610362050983</v>
      </c>
      <c r="I49" s="131">
        <f t="shared" si="9"/>
        <v>0.53926746511343093</v>
      </c>
      <c r="J49" s="131">
        <f t="shared" si="9"/>
        <v>0.37669010175354972</v>
      </c>
      <c r="K49" s="131">
        <f t="shared" si="9"/>
        <v>6.3875285462253933E-2</v>
      </c>
    </row>
    <row r="50" spans="2:11" ht="18" x14ac:dyDescent="0.5">
      <c r="B50" s="146" t="s">
        <v>98</v>
      </c>
      <c r="C50" s="76" t="s">
        <v>232</v>
      </c>
      <c r="D50" s="76"/>
      <c r="E50" s="147"/>
      <c r="F50" s="99">
        <f>F49^2</f>
        <v>0.46929210365579899</v>
      </c>
      <c r="G50" s="99">
        <f t="shared" ref="G50:K50" si="10">G49^2</f>
        <v>0.13915565416180234</v>
      </c>
      <c r="H50" s="99">
        <f t="shared" si="10"/>
        <v>8.5174148198473368E-2</v>
      </c>
      <c r="I50" s="99">
        <f t="shared" si="10"/>
        <v>0.29080939892986546</v>
      </c>
      <c r="J50" s="99">
        <f t="shared" si="10"/>
        <v>0.14189543275909963</v>
      </c>
      <c r="K50" s="99">
        <f t="shared" si="10"/>
        <v>4.0800520928844291E-3</v>
      </c>
    </row>
    <row r="51" spans="2:11" ht="17.649999999999999" x14ac:dyDescent="0.5">
      <c r="B51" s="102" t="s">
        <v>99</v>
      </c>
      <c r="C51" s="66" t="s">
        <v>103</v>
      </c>
      <c r="E51" s="133">
        <f>SUMPRODUCT(F47:K47,F50:K50)</f>
        <v>3.0331669161868739E-2</v>
      </c>
      <c r="F51" s="66" t="str">
        <f ca="1">_xlfn.FORMULATEXT(E51)</f>
        <v>=SUMPRODUCT(F47:K47,F50:K50)</v>
      </c>
    </row>
    <row r="52" spans="2:11" ht="18" x14ac:dyDescent="0.5">
      <c r="B52" s="102" t="s">
        <v>105</v>
      </c>
      <c r="C52" s="66" t="s">
        <v>215</v>
      </c>
      <c r="E52" s="133">
        <f>SUMPRODUCT(D40:I40,F49:K49)</f>
        <v>2.418979790372881E-2</v>
      </c>
      <c r="F52" s="66" t="str">
        <f t="shared" ref="F52:F55" ca="1" si="11">_xlfn.FORMULATEXT(E52)</f>
        <v>=SUMPRODUCT(D40:I40,F49:K49)</v>
      </c>
    </row>
    <row r="53" spans="2:11" ht="17.649999999999999" x14ac:dyDescent="0.5">
      <c r="B53" s="102" t="s">
        <v>106</v>
      </c>
      <c r="C53" s="66" t="s">
        <v>214</v>
      </c>
      <c r="E53" s="133">
        <f>E52/E51</f>
        <v>0.79750961856523406</v>
      </c>
      <c r="F53" s="66" t="str">
        <f t="shared" ca="1" si="11"/>
        <v>=E52/E51</v>
      </c>
    </row>
    <row r="54" spans="2:11" ht="18" x14ac:dyDescent="0.5">
      <c r="B54" s="104" t="s">
        <v>100</v>
      </c>
      <c r="C54" s="66" t="s">
        <v>216</v>
      </c>
      <c r="E54" s="133">
        <f>C42/C6^2</f>
        <v>4.1249192467946383</v>
      </c>
      <c r="F54" s="66" t="str">
        <f t="shared" ca="1" si="11"/>
        <v>=C42/C6^2</v>
      </c>
    </row>
    <row r="55" spans="2:11" ht="17.649999999999999" x14ac:dyDescent="0.5">
      <c r="B55" s="96" t="s">
        <v>84</v>
      </c>
      <c r="C55" s="66" t="s">
        <v>217</v>
      </c>
      <c r="E55" s="133">
        <f>E53/E54</f>
        <v>0.19333945002316275</v>
      </c>
      <c r="F55" s="66" t="str">
        <f t="shared" ca="1" si="11"/>
        <v>=E53/E54</v>
      </c>
    </row>
    <row r="56" spans="2:11" ht="18" x14ac:dyDescent="0.5">
      <c r="B56" s="105" t="s">
        <v>101</v>
      </c>
      <c r="C56" s="76" t="s">
        <v>104</v>
      </c>
      <c r="D56" s="76"/>
      <c r="E56" s="140">
        <f>SUMPRODUCT(D41:I41,F49:K49)</f>
        <v>0.64409450081294728</v>
      </c>
      <c r="F56" s="137" t="str">
        <f ca="1">_xlfn.FORMULATEXT(E56)</f>
        <v>=SUMPRODUCT(D41:I41,F49:K49)</v>
      </c>
      <c r="G56" s="76"/>
      <c r="H56" s="76"/>
      <c r="I56" s="76"/>
      <c r="J56" s="76"/>
      <c r="K56" s="76"/>
    </row>
    <row r="57" spans="2:11" x14ac:dyDescent="0.5">
      <c r="B57" s="94" t="s">
        <v>213</v>
      </c>
      <c r="C57" s="141">
        <f>D57+E57</f>
        <v>1</v>
      </c>
      <c r="D57" s="141">
        <f>1-E57</f>
        <v>0.81910784303441497</v>
      </c>
      <c r="E57" s="143">
        <f>E55/(1+(1-E56)*E55)</f>
        <v>0.18089215696558497</v>
      </c>
      <c r="F57" s="141">
        <f>$E$57*F49</f>
        <v>0.12391998744192756</v>
      </c>
      <c r="G57" s="141">
        <f t="shared" ref="G57:K57" si="12">$E$57*G49</f>
        <v>-6.7479237414003704E-2</v>
      </c>
      <c r="H57" s="141">
        <f t="shared" si="12"/>
        <v>-5.2792671185915643E-2</v>
      </c>
      <c r="I57" s="141">
        <f t="shared" si="12"/>
        <v>9.754925494573187E-2</v>
      </c>
      <c r="J57" s="141">
        <f t="shared" si="12"/>
        <v>6.8140285013785287E-2</v>
      </c>
      <c r="K57" s="141">
        <f t="shared" si="12"/>
        <v>1.1554538164059587E-2</v>
      </c>
    </row>
    <row r="58" spans="2:11" x14ac:dyDescent="0.5">
      <c r="B58" s="90" t="s">
        <v>2</v>
      </c>
      <c r="C58" s="148">
        <f>D58*D57+E58*E57</f>
        <v>0.93561948657614069</v>
      </c>
      <c r="D58" s="134">
        <f>1</f>
        <v>1</v>
      </c>
      <c r="E58" s="133">
        <f>SUMPRODUCT(D41:I41,F49:K49)</f>
        <v>0.64409450081294728</v>
      </c>
      <c r="F58" s="142" t="str">
        <f ca="1">_xlfn.FORMULATEXT(E57)</f>
        <v>=E55/(1+(1-E56)*E55)</v>
      </c>
      <c r="G58" s="101"/>
      <c r="H58" s="101"/>
      <c r="I58" s="101"/>
      <c r="J58" s="101"/>
    </row>
    <row r="59" spans="2:11" x14ac:dyDescent="0.5">
      <c r="B59" s="90" t="s">
        <v>22</v>
      </c>
      <c r="C59" s="148">
        <f>D59*D57+E59*E57</f>
        <v>6.0512913913935526E-2</v>
      </c>
      <c r="D59" s="134">
        <f>C42</f>
        <v>0.06</v>
      </c>
      <c r="E59" s="133">
        <f>SUMPRODUCT(D42:I42,F49:K49)</f>
        <v>6.2835467952505636E-2</v>
      </c>
      <c r="F59" s="87"/>
      <c r="G59" s="87"/>
      <c r="H59" s="87"/>
      <c r="I59" s="87"/>
      <c r="J59" s="87"/>
      <c r="K59" s="87"/>
    </row>
    <row r="60" spans="2:11" x14ac:dyDescent="0.5">
      <c r="B60" s="90" t="s">
        <v>25</v>
      </c>
      <c r="C60" s="148">
        <f>SQRT((D57+E57*E56)^2*D60^2+E57^2*E51)</f>
        <v>0.11715637810074057</v>
      </c>
      <c r="D60" s="134">
        <f>C6</f>
        <v>0.12060571835789433</v>
      </c>
      <c r="E60" s="133">
        <f>SQRT(E56^2*D28+E51)</f>
        <v>0.19069892891882417</v>
      </c>
    </row>
    <row r="61" spans="2:11" x14ac:dyDescent="0.5">
      <c r="B61" s="145" t="s">
        <v>26</v>
      </c>
      <c r="C61" s="148">
        <f>C59/C60</f>
        <v>0.51651403786059014</v>
      </c>
      <c r="D61" s="134">
        <f>D59/D60</f>
        <v>0.49748884892797174</v>
      </c>
      <c r="E61" s="144">
        <f>E59/E60</f>
        <v>0.32950089603939592</v>
      </c>
      <c r="F61" s="72"/>
    </row>
    <row r="62" spans="2:11" x14ac:dyDescent="0.5">
      <c r="C62" s="139" t="str">
        <f ca="1">_xlfn.FORMULATEXT(C58)</f>
        <v>=D58*D57+E58*E57</v>
      </c>
      <c r="D62" s="139" t="str">
        <f t="shared" ref="D62:E63" ca="1" si="13">_xlfn.FORMULATEXT(D58)</f>
        <v>=1</v>
      </c>
      <c r="E62" s="66" t="str">
        <f t="shared" ca="1" si="13"/>
        <v>=SUMPRODUCT(D41:I41,F49:K49)</v>
      </c>
    </row>
    <row r="63" spans="2:11" x14ac:dyDescent="0.5">
      <c r="C63" s="139" t="str">
        <f ca="1">_xlfn.FORMULATEXT(C59)</f>
        <v>=D59*D57+E59*E57</v>
      </c>
      <c r="D63" s="139" t="str">
        <f t="shared" ca="1" si="13"/>
        <v>=C42</v>
      </c>
      <c r="E63" s="66" t="str">
        <f t="shared" ca="1" si="13"/>
        <v>=SUMPRODUCT(D42:I42,F49:K49)</v>
      </c>
    </row>
    <row r="64" spans="2:11" x14ac:dyDescent="0.5">
      <c r="C64" s="139" t="str">
        <f ca="1">_xlfn.FORMULATEXT(C60)</f>
        <v>=SQRT((D57+E57*E56)^2*D60^2+E57^2*E51)</v>
      </c>
      <c r="D64" s="139" t="str">
        <f t="shared" ref="D64:E64" ca="1" si="14">_xlfn.FORMULATEXT(D60)</f>
        <v>=C6</v>
      </c>
      <c r="E64" s="66" t="str">
        <f t="shared" ca="1" si="14"/>
        <v>=SQRT(E56^2*D28+E51)</v>
      </c>
    </row>
    <row r="65" spans="3:5" x14ac:dyDescent="0.5">
      <c r="C65" s="139" t="str">
        <f ca="1">_xlfn.FORMULATEXT(C61)</f>
        <v>=C59/C60</v>
      </c>
      <c r="D65" s="139" t="str">
        <f t="shared" ref="D65:E65" ca="1" si="15">_xlfn.FORMULATEXT(D61)</f>
        <v>=D59/D60</v>
      </c>
      <c r="E65" s="66" t="str">
        <f t="shared" ca="1" si="15"/>
        <v>=E59/E60</v>
      </c>
    </row>
  </sheetData>
  <mergeCells count="2">
    <mergeCell ref="B15:G15"/>
    <mergeCell ref="B37:G37"/>
  </mergeCells>
  <pageMargins left="0.7" right="0.7" top="0.75" bottom="0.75" header="0.3" footer="0.3"/>
  <pageSetup scale="5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4B832-F223-A746-A2E6-E899ABC301EA}">
  <sheetPr>
    <pageSetUpPr fitToPage="1"/>
  </sheetPr>
  <dimension ref="B2:O66"/>
  <sheetViews>
    <sheetView showGridLines="0" zoomScale="78" workbookViewId="0">
      <selection activeCell="I38" sqref="I38"/>
    </sheetView>
  </sheetViews>
  <sheetFormatPr defaultColWidth="10.8125" defaultRowHeight="15.4" x14ac:dyDescent="0.5"/>
  <cols>
    <col min="1" max="1" width="6" style="151" customWidth="1"/>
    <col min="2" max="8" width="14.1875" style="151" customWidth="1"/>
    <col min="9" max="9" width="6.6875" style="151" customWidth="1"/>
    <col min="10" max="14" width="12" style="151" customWidth="1"/>
    <col min="15" max="16384" width="10.8125" style="151"/>
  </cols>
  <sheetData>
    <row r="2" spans="2:14" ht="28.15" x14ac:dyDescent="0.5">
      <c r="B2" s="188" t="s">
        <v>225</v>
      </c>
      <c r="C2" s="149"/>
      <c r="D2" s="150"/>
      <c r="E2" s="150"/>
      <c r="F2" s="150"/>
      <c r="G2" s="150"/>
      <c r="H2" s="150"/>
      <c r="I2" s="149"/>
      <c r="J2" s="149"/>
      <c r="K2" s="149"/>
      <c r="L2" s="149"/>
      <c r="M2" s="149"/>
      <c r="N2" s="149"/>
    </row>
    <row r="4" spans="2:14" ht="19.899999999999999" x14ac:dyDescent="0.5">
      <c r="B4" s="152" t="s">
        <v>108</v>
      </c>
      <c r="C4" s="153"/>
      <c r="D4" s="153"/>
      <c r="E4" s="153"/>
      <c r="J4" s="152" t="s">
        <v>221</v>
      </c>
      <c r="K4" s="154"/>
      <c r="L4" s="155"/>
      <c r="M4" s="154"/>
      <c r="N4" s="156"/>
    </row>
    <row r="5" spans="2:14" x14ac:dyDescent="0.5">
      <c r="B5" s="157" t="s">
        <v>109</v>
      </c>
      <c r="C5" s="262" t="s">
        <v>110</v>
      </c>
      <c r="D5" s="263"/>
      <c r="E5" s="264"/>
      <c r="F5" s="262" t="s">
        <v>111</v>
      </c>
      <c r="G5" s="263"/>
      <c r="H5" s="263"/>
    </row>
    <row r="6" spans="2:14" ht="17.25" x14ac:dyDescent="0.5">
      <c r="B6" s="158" t="s">
        <v>112</v>
      </c>
      <c r="C6" s="159" t="s">
        <v>113</v>
      </c>
      <c r="D6" s="160" t="s">
        <v>114</v>
      </c>
      <c r="E6" s="161" t="s">
        <v>115</v>
      </c>
      <c r="F6" s="160" t="s">
        <v>113</v>
      </c>
      <c r="G6" s="160" t="s">
        <v>114</v>
      </c>
      <c r="H6" s="160" t="s">
        <v>115</v>
      </c>
      <c r="J6" s="162" t="s">
        <v>116</v>
      </c>
      <c r="K6" s="154"/>
      <c r="L6" s="163"/>
      <c r="M6" s="154"/>
      <c r="N6" s="154"/>
    </row>
    <row r="7" spans="2:14" x14ac:dyDescent="0.45">
      <c r="B7" s="164">
        <v>42675</v>
      </c>
      <c r="C7" s="165">
        <v>201.222092</v>
      </c>
      <c r="D7" s="166"/>
      <c r="E7" s="167"/>
      <c r="F7" s="168">
        <v>25.912534999999998</v>
      </c>
      <c r="G7" s="169"/>
      <c r="H7" s="169"/>
      <c r="J7" s="151" t="s">
        <v>223</v>
      </c>
      <c r="M7" s="170"/>
      <c r="N7" s="171">
        <v>2.5000000000000001E-2</v>
      </c>
    </row>
    <row r="8" spans="2:14" x14ac:dyDescent="0.45">
      <c r="B8" s="164">
        <v>42705</v>
      </c>
      <c r="C8" s="165">
        <v>204.09826699999999</v>
      </c>
      <c r="D8" s="172">
        <f>C8/C7-1</f>
        <v>1.4293534926572482E-2</v>
      </c>
      <c r="E8" s="173">
        <f>D8-$N$7/12</f>
        <v>1.2210201593239149E-2</v>
      </c>
      <c r="F8" s="168">
        <v>27.294592000000002</v>
      </c>
      <c r="G8" s="172">
        <f>F8/F7-1</f>
        <v>5.3335461003718887E-2</v>
      </c>
      <c r="H8" s="172">
        <f>G8-$N$7/12</f>
        <v>5.1252127670385554E-2</v>
      </c>
      <c r="J8" s="151" t="s">
        <v>224</v>
      </c>
      <c r="M8" s="170"/>
      <c r="N8" s="171">
        <v>0.08</v>
      </c>
    </row>
    <row r="9" spans="2:14" x14ac:dyDescent="0.45">
      <c r="B9" s="164">
        <v>42736</v>
      </c>
      <c r="C9" s="165">
        <v>208.97505200000001</v>
      </c>
      <c r="D9" s="172">
        <f t="shared" ref="D9:D65" si="0">C9/C8-1</f>
        <v>2.3894298916315782E-2</v>
      </c>
      <c r="E9" s="173">
        <f t="shared" ref="E9:E66" si="1">D9-$N$7/12</f>
        <v>2.1810965582982449E-2</v>
      </c>
      <c r="F9" s="168">
        <v>28.597811</v>
      </c>
      <c r="G9" s="172">
        <f t="shared" ref="G9:G66" si="2">F9/F8-1</f>
        <v>4.7746418045010453E-2</v>
      </c>
      <c r="H9" s="172">
        <f t="shared" ref="H9:H66" si="3">G9-$N$7/12</f>
        <v>4.566308471167712E-2</v>
      </c>
      <c r="J9" s="151" t="s">
        <v>117</v>
      </c>
      <c r="M9" s="170"/>
      <c r="N9" s="171">
        <f>N8-N7</f>
        <v>5.5E-2</v>
      </c>
    </row>
    <row r="10" spans="2:14" x14ac:dyDescent="0.45">
      <c r="B10" s="164">
        <v>42767</v>
      </c>
      <c r="C10" s="165">
        <v>217.18598900000001</v>
      </c>
      <c r="D10" s="172">
        <f t="shared" si="0"/>
        <v>3.9291470065048628E-2</v>
      </c>
      <c r="E10" s="173">
        <f t="shared" si="1"/>
        <v>3.7208136731715295E-2</v>
      </c>
      <c r="F10" s="168">
        <v>32.2836</v>
      </c>
      <c r="G10" s="172">
        <f t="shared" si="2"/>
        <v>0.12888360581164759</v>
      </c>
      <c r="H10" s="172">
        <f t="shared" si="3"/>
        <v>0.12680027247831427</v>
      </c>
      <c r="J10" s="151" t="s">
        <v>118</v>
      </c>
      <c r="M10" s="170"/>
      <c r="N10" s="174">
        <f>SLOPE(G8:G66,D8:D66)</f>
        <v>1.1784263503716295</v>
      </c>
    </row>
    <row r="11" spans="2:14" x14ac:dyDescent="0.45">
      <c r="B11" s="164">
        <v>42795</v>
      </c>
      <c r="C11" s="165">
        <v>216.515503</v>
      </c>
      <c r="D11" s="172">
        <f t="shared" si="0"/>
        <v>-3.0871512618616537E-3</v>
      </c>
      <c r="E11" s="173">
        <f t="shared" si="1"/>
        <v>-5.1704845951949865E-3</v>
      </c>
      <c r="F11" s="168">
        <v>34.002265999999999</v>
      </c>
      <c r="G11" s="172">
        <f t="shared" si="2"/>
        <v>5.3236503983446593E-2</v>
      </c>
      <c r="H11" s="172">
        <f t="shared" si="3"/>
        <v>5.115317065011326E-2</v>
      </c>
      <c r="J11" s="154" t="s">
        <v>119</v>
      </c>
      <c r="K11" s="154"/>
      <c r="L11" s="154"/>
      <c r="M11" s="175"/>
      <c r="N11" s="176">
        <f>N9*N10</f>
        <v>6.4813449270439624E-2</v>
      </c>
    </row>
    <row r="12" spans="2:14" ht="17.649999999999999" x14ac:dyDescent="0.45">
      <c r="B12" s="164">
        <v>42826</v>
      </c>
      <c r="C12" s="165">
        <v>219.61595199999999</v>
      </c>
      <c r="D12" s="172">
        <f t="shared" si="0"/>
        <v>1.4319755200162154E-2</v>
      </c>
      <c r="E12" s="173">
        <f t="shared" si="1"/>
        <v>1.2236421866828821E-2</v>
      </c>
      <c r="F12" s="168">
        <v>33.999885999999996</v>
      </c>
      <c r="G12" s="172">
        <f t="shared" si="2"/>
        <v>-6.9995335016836968E-5</v>
      </c>
      <c r="H12" s="172">
        <f t="shared" si="3"/>
        <v>-2.1533286683501703E-3</v>
      </c>
      <c r="I12" s="177"/>
      <c r="J12" s="178" t="s">
        <v>222</v>
      </c>
      <c r="K12" s="179"/>
      <c r="L12" s="179"/>
      <c r="M12" s="179"/>
      <c r="N12" s="180">
        <f>N7+N11</f>
        <v>8.9813449270439633E-2</v>
      </c>
    </row>
    <row r="13" spans="2:14" x14ac:dyDescent="0.45">
      <c r="B13" s="164">
        <v>42856</v>
      </c>
      <c r="C13" s="165">
        <v>222.715408</v>
      </c>
      <c r="D13" s="172">
        <f t="shared" si="0"/>
        <v>1.4113073170568313E-2</v>
      </c>
      <c r="E13" s="173">
        <f t="shared" si="1"/>
        <v>1.202973983723498E-2</v>
      </c>
      <c r="F13" s="168">
        <v>36.156104999999997</v>
      </c>
      <c r="G13" s="172">
        <f t="shared" si="2"/>
        <v>6.3418418520579722E-2</v>
      </c>
      <c r="H13" s="172">
        <f t="shared" si="3"/>
        <v>6.133508518724639E-2</v>
      </c>
      <c r="I13" s="177"/>
    </row>
    <row r="14" spans="2:14" x14ac:dyDescent="0.45">
      <c r="B14" s="164">
        <v>42887</v>
      </c>
      <c r="C14" s="165">
        <v>223.04747</v>
      </c>
      <c r="D14" s="172">
        <f t="shared" si="0"/>
        <v>1.4909700365230982E-3</v>
      </c>
      <c r="E14" s="173">
        <f t="shared" si="1"/>
        <v>-5.9236329681023507E-4</v>
      </c>
      <c r="F14" s="168">
        <v>34.228164999999997</v>
      </c>
      <c r="G14" s="172">
        <f t="shared" si="2"/>
        <v>-5.3322668467745582E-2</v>
      </c>
      <c r="H14" s="172">
        <f t="shared" si="3"/>
        <v>-5.5406001801078915E-2</v>
      </c>
      <c r="J14" s="181" t="s">
        <v>120</v>
      </c>
      <c r="K14" s="181"/>
      <c r="L14" s="181"/>
      <c r="M14" s="181"/>
      <c r="N14" s="181"/>
    </row>
    <row r="15" spans="2:14" x14ac:dyDescent="0.45">
      <c r="B15" s="164">
        <v>42917</v>
      </c>
      <c r="C15" s="165">
        <v>228.74212600000001</v>
      </c>
      <c r="D15" s="172">
        <f t="shared" si="0"/>
        <v>2.5531139178579298E-2</v>
      </c>
      <c r="E15" s="173">
        <f t="shared" si="1"/>
        <v>2.3447805845245966E-2</v>
      </c>
      <c r="F15" s="168">
        <v>35.347549000000001</v>
      </c>
      <c r="G15" s="172">
        <f t="shared" si="2"/>
        <v>3.2703593663288899E-2</v>
      </c>
      <c r="H15" s="172">
        <f t="shared" si="3"/>
        <v>3.0620260329955566E-2</v>
      </c>
      <c r="J15" s="182" t="s">
        <v>121</v>
      </c>
    </row>
    <row r="16" spans="2:14" x14ac:dyDescent="0.45">
      <c r="B16" s="164">
        <v>42948</v>
      </c>
      <c r="C16" s="165">
        <v>229.40950000000001</v>
      </c>
      <c r="D16" s="172">
        <f t="shared" si="0"/>
        <v>2.917582395819851E-3</v>
      </c>
      <c r="E16" s="173">
        <f t="shared" si="1"/>
        <v>8.3424906248651771E-4</v>
      </c>
      <c r="F16" s="168">
        <v>38.976664999999997</v>
      </c>
      <c r="G16" s="172">
        <f t="shared" si="2"/>
        <v>0.1026695231400625</v>
      </c>
      <c r="H16" s="172">
        <f t="shared" si="3"/>
        <v>0.10058618980672916</v>
      </c>
      <c r="J16" s="182" t="s">
        <v>122</v>
      </c>
    </row>
    <row r="17" spans="2:15" s="179" customFormat="1" ht="17.649999999999999" x14ac:dyDescent="0.45">
      <c r="B17" s="164">
        <v>42979</v>
      </c>
      <c r="C17" s="165">
        <v>232.876282</v>
      </c>
      <c r="D17" s="172">
        <f t="shared" si="0"/>
        <v>1.5111763026378622E-2</v>
      </c>
      <c r="E17" s="173">
        <f t="shared" si="1"/>
        <v>1.3028429693045289E-2</v>
      </c>
      <c r="F17" s="168">
        <v>36.772399999999998</v>
      </c>
      <c r="G17" s="172">
        <f t="shared" si="2"/>
        <v>-5.6553453200780535E-2</v>
      </c>
      <c r="H17" s="172">
        <f t="shared" si="3"/>
        <v>-5.8636786534113867E-2</v>
      </c>
      <c r="J17" s="182" t="s">
        <v>123</v>
      </c>
      <c r="K17" s="151"/>
      <c r="L17" s="151"/>
      <c r="M17" s="151"/>
      <c r="N17" s="151"/>
      <c r="O17" s="151"/>
    </row>
    <row r="18" spans="2:15" x14ac:dyDescent="0.45">
      <c r="B18" s="164">
        <v>43009</v>
      </c>
      <c r="C18" s="165">
        <v>239.54672199999999</v>
      </c>
      <c r="D18" s="172">
        <f t="shared" si="0"/>
        <v>2.86437070478478E-2</v>
      </c>
      <c r="E18" s="173">
        <f t="shared" si="1"/>
        <v>2.6560373714514467E-2</v>
      </c>
      <c r="F18" s="168">
        <v>40.332248999999997</v>
      </c>
      <c r="G18" s="172">
        <f t="shared" si="2"/>
        <v>9.6807632898586959E-2</v>
      </c>
      <c r="H18" s="172">
        <f t="shared" si="3"/>
        <v>9.472429956525362E-2</v>
      </c>
      <c r="J18" s="182" t="s">
        <v>124</v>
      </c>
    </row>
    <row r="19" spans="2:15" x14ac:dyDescent="0.45">
      <c r="B19" s="164">
        <v>43040</v>
      </c>
      <c r="C19" s="165">
        <v>246.86866800000001</v>
      </c>
      <c r="D19" s="172">
        <f t="shared" si="0"/>
        <v>3.0565836755637177E-2</v>
      </c>
      <c r="E19" s="173">
        <f t="shared" si="1"/>
        <v>2.8482503422303844E-2</v>
      </c>
      <c r="F19" s="168">
        <v>41.002696999999998</v>
      </c>
      <c r="G19" s="172">
        <f t="shared" si="2"/>
        <v>1.6623124586977456E-2</v>
      </c>
      <c r="H19" s="172">
        <f t="shared" si="3"/>
        <v>1.4539791253644123E-2</v>
      </c>
      <c r="J19" s="182" t="s">
        <v>125</v>
      </c>
    </row>
    <row r="20" spans="2:15" ht="17.649999999999999" x14ac:dyDescent="0.45">
      <c r="B20" s="164">
        <v>43070</v>
      </c>
      <c r="C20" s="165">
        <v>248.59204099999999</v>
      </c>
      <c r="D20" s="172">
        <f t="shared" si="0"/>
        <v>6.980930443550637E-3</v>
      </c>
      <c r="E20" s="173">
        <f t="shared" si="1"/>
        <v>4.8975971102173041E-3</v>
      </c>
      <c r="F20" s="168">
        <v>40.522731999999998</v>
      </c>
      <c r="G20" s="172">
        <f t="shared" si="2"/>
        <v>-1.1705693408411655E-2</v>
      </c>
      <c r="H20" s="172">
        <f t="shared" si="3"/>
        <v>-1.3789026741744988E-2</v>
      </c>
      <c r="J20" s="182" t="s">
        <v>126</v>
      </c>
      <c r="O20" s="179"/>
    </row>
    <row r="21" spans="2:15" x14ac:dyDescent="0.45">
      <c r="B21" s="164">
        <v>43101</v>
      </c>
      <c r="C21" s="165">
        <v>263.94473299999999</v>
      </c>
      <c r="D21" s="172">
        <f t="shared" si="0"/>
        <v>6.1758582206580037E-2</v>
      </c>
      <c r="E21" s="173">
        <f t="shared" si="1"/>
        <v>5.9675248873246704E-2</v>
      </c>
      <c r="F21" s="168">
        <v>40.091709000000002</v>
      </c>
      <c r="G21" s="172">
        <f t="shared" si="2"/>
        <v>-1.0636573072121513E-2</v>
      </c>
      <c r="H21" s="172">
        <f t="shared" si="3"/>
        <v>-1.2719906405454846E-2</v>
      </c>
    </row>
    <row r="22" spans="2:15" x14ac:dyDescent="0.45">
      <c r="B22" s="164">
        <v>43132</v>
      </c>
      <c r="C22" s="165">
        <v>254.34762599999999</v>
      </c>
      <c r="D22" s="172">
        <f t="shared" si="0"/>
        <v>-3.6360289864166395E-2</v>
      </c>
      <c r="E22" s="173">
        <f t="shared" si="1"/>
        <v>-3.8443623197499728E-2</v>
      </c>
      <c r="F22" s="168">
        <v>42.651474</v>
      </c>
      <c r="G22" s="172">
        <f t="shared" si="2"/>
        <v>6.3847739691016869E-2</v>
      </c>
      <c r="H22" s="172">
        <f t="shared" si="3"/>
        <v>6.1764406357683536E-2</v>
      </c>
      <c r="J22" s="183"/>
      <c r="N22" s="184"/>
    </row>
    <row r="23" spans="2:15" x14ac:dyDescent="0.45">
      <c r="B23" s="164">
        <v>43160</v>
      </c>
      <c r="C23" s="165">
        <v>246.388992</v>
      </c>
      <c r="D23" s="172">
        <f t="shared" si="0"/>
        <v>-3.1290380512535187E-2</v>
      </c>
      <c r="E23" s="173">
        <f t="shared" si="1"/>
        <v>-3.337371384586852E-2</v>
      </c>
      <c r="F23" s="168">
        <v>40.339325000000002</v>
      </c>
      <c r="G23" s="172">
        <f t="shared" si="2"/>
        <v>-5.4210295287801746E-2</v>
      </c>
      <c r="H23" s="172">
        <f t="shared" si="3"/>
        <v>-5.6293628621135079E-2</v>
      </c>
      <c r="J23" s="183"/>
      <c r="N23" s="184"/>
    </row>
    <row r="24" spans="2:15" x14ac:dyDescent="0.45">
      <c r="B24" s="164">
        <v>43191</v>
      </c>
      <c r="C24" s="165">
        <v>248.654236</v>
      </c>
      <c r="D24" s="172">
        <f t="shared" si="0"/>
        <v>9.1937711243204046E-3</v>
      </c>
      <c r="E24" s="173">
        <f t="shared" si="1"/>
        <v>7.1104377909870717E-3</v>
      </c>
      <c r="F24" s="168">
        <v>39.733440000000002</v>
      </c>
      <c r="G24" s="172">
        <f t="shared" si="2"/>
        <v>-1.5019710914845552E-2</v>
      </c>
      <c r="H24" s="172">
        <f t="shared" si="3"/>
        <v>-1.7103044248178885E-2</v>
      </c>
      <c r="J24" s="183"/>
      <c r="N24" s="185"/>
    </row>
    <row r="25" spans="2:15" x14ac:dyDescent="0.45">
      <c r="B25" s="164">
        <v>43221</v>
      </c>
      <c r="C25" s="165">
        <v>254.69885300000001</v>
      </c>
      <c r="D25" s="172">
        <f t="shared" si="0"/>
        <v>2.4309326465687064E-2</v>
      </c>
      <c r="E25" s="173">
        <f t="shared" si="1"/>
        <v>2.2225993132353732E-2</v>
      </c>
      <c r="F25" s="168">
        <v>44.929133999999998</v>
      </c>
      <c r="G25" s="172">
        <f t="shared" si="2"/>
        <v>0.13076375969460474</v>
      </c>
      <c r="H25" s="172">
        <f t="shared" si="3"/>
        <v>0.12868042636127142</v>
      </c>
      <c r="J25" s="183"/>
      <c r="N25" s="185"/>
    </row>
    <row r="26" spans="2:15" ht="17.25" x14ac:dyDescent="0.45">
      <c r="B26" s="164">
        <v>43252</v>
      </c>
      <c r="C26" s="165">
        <v>255.018463</v>
      </c>
      <c r="D26" s="172">
        <f t="shared" si="0"/>
        <v>1.254854492807489E-3</v>
      </c>
      <c r="E26" s="173">
        <f t="shared" si="1"/>
        <v>-8.2847884052584435E-4</v>
      </c>
      <c r="F26" s="168">
        <v>44.677593000000002</v>
      </c>
      <c r="G26" s="172">
        <f t="shared" si="2"/>
        <v>-5.5986167015815713E-3</v>
      </c>
      <c r="H26" s="172">
        <f t="shared" si="3"/>
        <v>-7.6819500349149042E-3</v>
      </c>
      <c r="J26" s="186"/>
      <c r="N26" s="187"/>
    </row>
    <row r="27" spans="2:15" x14ac:dyDescent="0.45">
      <c r="B27" s="164">
        <v>43282</v>
      </c>
      <c r="C27" s="165">
        <v>265.65353399999998</v>
      </c>
      <c r="D27" s="172">
        <f t="shared" si="0"/>
        <v>4.1703141313340852E-2</v>
      </c>
      <c r="E27" s="173">
        <f t="shared" si="1"/>
        <v>3.961980798000752E-2</v>
      </c>
      <c r="F27" s="168">
        <v>45.927818000000002</v>
      </c>
      <c r="G27" s="172">
        <f t="shared" si="2"/>
        <v>2.7983266690307262E-2</v>
      </c>
      <c r="H27" s="172">
        <f t="shared" si="3"/>
        <v>2.589993335697393E-2</v>
      </c>
    </row>
    <row r="28" spans="2:15" x14ac:dyDescent="0.45">
      <c r="B28" s="164">
        <v>43313</v>
      </c>
      <c r="C28" s="165">
        <v>274.13317899999998</v>
      </c>
      <c r="D28" s="172">
        <f t="shared" si="0"/>
        <v>3.1919940504160582E-2</v>
      </c>
      <c r="E28" s="173">
        <f t="shared" si="1"/>
        <v>2.9836607170827249E-2</v>
      </c>
      <c r="F28" s="168">
        <v>54.940097999999999</v>
      </c>
      <c r="G28" s="172">
        <f t="shared" si="2"/>
        <v>0.19622704479450759</v>
      </c>
      <c r="H28" s="172">
        <f t="shared" si="3"/>
        <v>0.19414371146117426</v>
      </c>
    </row>
    <row r="29" spans="2:15" x14ac:dyDescent="0.45">
      <c r="B29" s="164">
        <v>43344</v>
      </c>
      <c r="C29" s="165">
        <v>274.52038599999997</v>
      </c>
      <c r="D29" s="172">
        <f t="shared" si="0"/>
        <v>1.4124776920927395E-3</v>
      </c>
      <c r="E29" s="173">
        <f t="shared" si="1"/>
        <v>-6.7085564124059376E-4</v>
      </c>
      <c r="F29" s="168">
        <v>54.675013999999997</v>
      </c>
      <c r="G29" s="172">
        <f t="shared" si="2"/>
        <v>-4.8249640908903935E-3</v>
      </c>
      <c r="H29" s="172">
        <f t="shared" si="3"/>
        <v>-6.9082974242237263E-3</v>
      </c>
    </row>
    <row r="30" spans="2:15" x14ac:dyDescent="0.45">
      <c r="B30" s="164">
        <v>43374</v>
      </c>
      <c r="C30" s="165">
        <v>256.70660400000003</v>
      </c>
      <c r="D30" s="172">
        <f t="shared" si="0"/>
        <v>-6.4890561533743285E-2</v>
      </c>
      <c r="E30" s="173">
        <f t="shared" si="1"/>
        <v>-6.6973894867076625E-2</v>
      </c>
      <c r="F30" s="168">
        <v>53.008656000000002</v>
      </c>
      <c r="G30" s="172">
        <f t="shared" si="2"/>
        <v>-3.0477504770277664E-2</v>
      </c>
      <c r="H30" s="172">
        <f t="shared" si="3"/>
        <v>-3.2560838103610996E-2</v>
      </c>
    </row>
    <row r="31" spans="2:15" x14ac:dyDescent="0.45">
      <c r="B31" s="164">
        <v>43405</v>
      </c>
      <c r="C31" s="165">
        <v>261.468323</v>
      </c>
      <c r="D31" s="172">
        <f t="shared" si="0"/>
        <v>1.8549265682311633E-2</v>
      </c>
      <c r="E31" s="173">
        <f t="shared" si="1"/>
        <v>1.64659323489783E-2</v>
      </c>
      <c r="F31" s="168">
        <v>43.252693000000001</v>
      </c>
      <c r="G31" s="172">
        <f t="shared" si="2"/>
        <v>-0.18404471526310728</v>
      </c>
      <c r="H31" s="172">
        <f t="shared" si="3"/>
        <v>-0.18612804859644061</v>
      </c>
    </row>
    <row r="32" spans="2:15" x14ac:dyDescent="0.45">
      <c r="B32" s="164">
        <v>43435</v>
      </c>
      <c r="C32" s="165">
        <v>237.06210300000001</v>
      </c>
      <c r="D32" s="172">
        <f t="shared" si="0"/>
        <v>-9.3342932405620638E-2</v>
      </c>
      <c r="E32" s="173">
        <f t="shared" si="1"/>
        <v>-9.5426265738953978E-2</v>
      </c>
      <c r="F32" s="168">
        <v>38.338478000000002</v>
      </c>
      <c r="G32" s="172">
        <f t="shared" si="2"/>
        <v>-0.11361639378153865</v>
      </c>
      <c r="H32" s="172">
        <f t="shared" si="3"/>
        <v>-0.11569972711487199</v>
      </c>
    </row>
    <row r="33" spans="2:8" x14ac:dyDescent="0.45">
      <c r="B33" s="164">
        <v>43466</v>
      </c>
      <c r="C33" s="165">
        <v>257.53784200000001</v>
      </c>
      <c r="D33" s="172">
        <f t="shared" si="0"/>
        <v>8.6372890229527766E-2</v>
      </c>
      <c r="E33" s="173">
        <f t="shared" si="1"/>
        <v>8.4289556896194426E-2</v>
      </c>
      <c r="F33" s="168">
        <v>40.453003000000002</v>
      </c>
      <c r="G33" s="172">
        <f t="shared" si="2"/>
        <v>5.5154119576682259E-2</v>
      </c>
      <c r="H33" s="172">
        <f t="shared" si="3"/>
        <v>5.3070786243348926E-2</v>
      </c>
    </row>
    <row r="34" spans="2:8" x14ac:dyDescent="0.45">
      <c r="B34" s="164">
        <v>43497</v>
      </c>
      <c r="C34" s="165">
        <v>265.88610799999998</v>
      </c>
      <c r="D34" s="172">
        <f t="shared" si="0"/>
        <v>3.2415686701296353E-2</v>
      </c>
      <c r="E34" s="173">
        <f t="shared" si="1"/>
        <v>3.0332353367963021E-2</v>
      </c>
      <c r="F34" s="168">
        <v>42.083857999999999</v>
      </c>
      <c r="G34" s="172">
        <f t="shared" si="2"/>
        <v>4.0314806789498281E-2</v>
      </c>
      <c r="H34" s="172">
        <f t="shared" si="3"/>
        <v>3.8231473456164948E-2</v>
      </c>
    </row>
    <row r="35" spans="2:8" x14ac:dyDescent="0.45">
      <c r="B35" s="164">
        <v>43525</v>
      </c>
      <c r="C35" s="165">
        <v>269.51168799999999</v>
      </c>
      <c r="D35" s="172">
        <f t="shared" si="0"/>
        <v>1.3635838394385091E-2</v>
      </c>
      <c r="E35" s="173">
        <f t="shared" si="1"/>
        <v>1.1552505061051759E-2</v>
      </c>
      <c r="F35" s="168">
        <v>46.365070000000003</v>
      </c>
      <c r="G35" s="172">
        <f t="shared" si="2"/>
        <v>0.10173050198962286</v>
      </c>
      <c r="H35" s="172">
        <f t="shared" si="3"/>
        <v>9.9647168656289517E-2</v>
      </c>
    </row>
    <row r="36" spans="2:8" x14ac:dyDescent="0.45">
      <c r="B36" s="164">
        <v>43556</v>
      </c>
      <c r="C36" s="165">
        <v>281.75750699999998</v>
      </c>
      <c r="D36" s="172">
        <f t="shared" si="0"/>
        <v>4.5437060970802801E-2</v>
      </c>
      <c r="E36" s="173">
        <f t="shared" si="1"/>
        <v>4.3353727637469468E-2</v>
      </c>
      <c r="F36" s="168">
        <v>48.981735</v>
      </c>
      <c r="G36" s="172">
        <f t="shared" si="2"/>
        <v>5.6436127455431473E-2</v>
      </c>
      <c r="H36" s="172">
        <f t="shared" si="3"/>
        <v>5.435279412209814E-2</v>
      </c>
    </row>
    <row r="37" spans="2:8" x14ac:dyDescent="0.45">
      <c r="B37" s="164">
        <v>43586</v>
      </c>
      <c r="C37" s="165">
        <v>263.78949</v>
      </c>
      <c r="D37" s="172">
        <f t="shared" si="0"/>
        <v>-6.3771209474819734E-2</v>
      </c>
      <c r="E37" s="173">
        <f t="shared" si="1"/>
        <v>-6.5854542808153074E-2</v>
      </c>
      <c r="F37" s="168">
        <v>42.733006000000003</v>
      </c>
      <c r="G37" s="172">
        <f t="shared" si="2"/>
        <v>-0.1275726349832238</v>
      </c>
      <c r="H37" s="172">
        <f t="shared" si="3"/>
        <v>-0.12965596831655712</v>
      </c>
    </row>
    <row r="38" spans="2:8" x14ac:dyDescent="0.45">
      <c r="B38" s="164">
        <v>43617</v>
      </c>
      <c r="C38" s="165">
        <v>280.78002900000001</v>
      </c>
      <c r="D38" s="172">
        <f t="shared" si="0"/>
        <v>6.440946149901583E-2</v>
      </c>
      <c r="E38" s="173">
        <f t="shared" si="1"/>
        <v>6.2326128165682497E-2</v>
      </c>
      <c r="F38" s="168">
        <v>48.496521000000001</v>
      </c>
      <c r="G38" s="172">
        <f t="shared" si="2"/>
        <v>0.13487267897793087</v>
      </c>
      <c r="H38" s="172">
        <f t="shared" si="3"/>
        <v>0.13278934564459755</v>
      </c>
    </row>
    <row r="39" spans="2:8" x14ac:dyDescent="0.45">
      <c r="B39" s="164">
        <v>43647</v>
      </c>
      <c r="C39" s="165">
        <v>286.41159099999999</v>
      </c>
      <c r="D39" s="172">
        <f t="shared" si="0"/>
        <v>2.0056846706857367E-2</v>
      </c>
      <c r="E39" s="173">
        <f t="shared" si="1"/>
        <v>1.7973513373524035E-2</v>
      </c>
      <c r="F39" s="168">
        <v>52.201388999999999</v>
      </c>
      <c r="G39" s="172">
        <f t="shared" si="2"/>
        <v>7.6394510855737341E-2</v>
      </c>
      <c r="H39" s="172">
        <f t="shared" si="3"/>
        <v>7.4311177522404001E-2</v>
      </c>
    </row>
    <row r="40" spans="2:8" x14ac:dyDescent="0.45">
      <c r="B40" s="164">
        <v>43678</v>
      </c>
      <c r="C40" s="165">
        <v>281.61599699999999</v>
      </c>
      <c r="D40" s="172">
        <f t="shared" si="0"/>
        <v>-1.6743714817044508E-2</v>
      </c>
      <c r="E40" s="173">
        <f t="shared" si="1"/>
        <v>-1.8827048150377841E-2</v>
      </c>
      <c r="F40" s="168">
        <v>51.147762</v>
      </c>
      <c r="G40" s="172">
        <f t="shared" si="2"/>
        <v>-2.0183888210330903E-2</v>
      </c>
      <c r="H40" s="172">
        <f t="shared" si="3"/>
        <v>-2.2267221543664235E-2</v>
      </c>
    </row>
    <row r="41" spans="2:8" x14ac:dyDescent="0.45">
      <c r="B41" s="164">
        <v>43709</v>
      </c>
      <c r="C41" s="165">
        <v>285.77600100000001</v>
      </c>
      <c r="D41" s="172">
        <f t="shared" si="0"/>
        <v>1.4771902322011865E-2</v>
      </c>
      <c r="E41" s="173">
        <f t="shared" si="1"/>
        <v>1.2688568988678532E-2</v>
      </c>
      <c r="F41" s="168">
        <v>55.088088999999997</v>
      </c>
      <c r="G41" s="172">
        <f t="shared" si="2"/>
        <v>7.7038111657749431E-2</v>
      </c>
      <c r="H41" s="172">
        <f t="shared" si="3"/>
        <v>7.4954778324416091E-2</v>
      </c>
    </row>
    <row r="42" spans="2:8" x14ac:dyDescent="0.45">
      <c r="B42" s="164">
        <v>43739</v>
      </c>
      <c r="C42" s="165">
        <v>293.44186400000001</v>
      </c>
      <c r="D42" s="172">
        <f t="shared" si="0"/>
        <v>2.6824726265240129E-2</v>
      </c>
      <c r="E42" s="173">
        <f t="shared" si="1"/>
        <v>2.4741392931906796E-2</v>
      </c>
      <c r="F42" s="168">
        <v>61.185485999999997</v>
      </c>
      <c r="G42" s="172">
        <f t="shared" si="2"/>
        <v>0.11068448934578212</v>
      </c>
      <c r="H42" s="172">
        <f t="shared" si="3"/>
        <v>0.10860115601244878</v>
      </c>
    </row>
    <row r="43" spans="2:8" x14ac:dyDescent="0.45">
      <c r="B43" s="164">
        <v>43770</v>
      </c>
      <c r="C43" s="165">
        <v>304.06399499999998</v>
      </c>
      <c r="D43" s="172">
        <f t="shared" si="0"/>
        <v>3.6198417142006667E-2</v>
      </c>
      <c r="E43" s="173">
        <f t="shared" si="1"/>
        <v>3.4115083808673334E-2</v>
      </c>
      <c r="F43" s="168">
        <v>65.733322000000001</v>
      </c>
      <c r="G43" s="172">
        <f t="shared" si="2"/>
        <v>7.4328673306607529E-2</v>
      </c>
      <c r="H43" s="172">
        <f t="shared" si="3"/>
        <v>7.2245339973274189E-2</v>
      </c>
    </row>
    <row r="44" spans="2:8" x14ac:dyDescent="0.45">
      <c r="B44" s="164">
        <v>43800</v>
      </c>
      <c r="C44" s="165">
        <v>311.36779799999999</v>
      </c>
      <c r="D44" s="172">
        <f t="shared" si="0"/>
        <v>2.4020611187457463E-2</v>
      </c>
      <c r="E44" s="173">
        <f t="shared" si="1"/>
        <v>2.1937277854124131E-2</v>
      </c>
      <c r="F44" s="168">
        <v>72.443557999999996</v>
      </c>
      <c r="G44" s="172">
        <f t="shared" si="2"/>
        <v>0.10208271536923075</v>
      </c>
      <c r="H44" s="172">
        <f t="shared" si="3"/>
        <v>9.9999382035897408E-2</v>
      </c>
    </row>
    <row r="45" spans="2:8" x14ac:dyDescent="0.45">
      <c r="B45" s="164">
        <v>43831</v>
      </c>
      <c r="C45" s="165">
        <v>312.77230800000001</v>
      </c>
      <c r="D45" s="172">
        <f t="shared" si="0"/>
        <v>4.510774746205426E-3</v>
      </c>
      <c r="E45" s="173">
        <f t="shared" si="1"/>
        <v>2.4274414128720927E-3</v>
      </c>
      <c r="F45" s="168">
        <v>76.356223999999997</v>
      </c>
      <c r="G45" s="172">
        <f t="shared" si="2"/>
        <v>5.4009854126711998E-2</v>
      </c>
      <c r="H45" s="172">
        <f t="shared" si="3"/>
        <v>5.1926520793378665E-2</v>
      </c>
    </row>
    <row r="46" spans="2:8" x14ac:dyDescent="0.45">
      <c r="B46" s="164">
        <v>43862</v>
      </c>
      <c r="C46" s="165">
        <v>288.011414</v>
      </c>
      <c r="D46" s="172">
        <f t="shared" si="0"/>
        <v>-7.9165876794949575E-2</v>
      </c>
      <c r="E46" s="173">
        <f t="shared" si="1"/>
        <v>-8.1249210128282914E-2</v>
      </c>
      <c r="F46" s="168">
        <v>67.438011000000003</v>
      </c>
      <c r="G46" s="172">
        <f t="shared" si="2"/>
        <v>-0.11679745975914146</v>
      </c>
      <c r="H46" s="172">
        <f t="shared" si="3"/>
        <v>-0.1188807930924748</v>
      </c>
    </row>
    <row r="47" spans="2:8" x14ac:dyDescent="0.45">
      <c r="B47" s="164">
        <v>43891</v>
      </c>
      <c r="C47" s="165">
        <v>250.573654</v>
      </c>
      <c r="D47" s="172">
        <f t="shared" si="0"/>
        <v>-0.12998707058186243</v>
      </c>
      <c r="E47" s="173">
        <f t="shared" si="1"/>
        <v>-0.13207040391519576</v>
      </c>
      <c r="F47" s="168">
        <v>62.882317</v>
      </c>
      <c r="G47" s="172">
        <f t="shared" si="2"/>
        <v>-6.7553801371751598E-2</v>
      </c>
      <c r="H47" s="172">
        <f t="shared" si="3"/>
        <v>-6.9637134705084938E-2</v>
      </c>
    </row>
    <row r="48" spans="2:8" x14ac:dyDescent="0.45">
      <c r="B48" s="164">
        <v>43922</v>
      </c>
      <c r="C48" s="165">
        <v>284.05294800000001</v>
      </c>
      <c r="D48" s="172">
        <f t="shared" si="0"/>
        <v>0.13361059100012174</v>
      </c>
      <c r="E48" s="173">
        <f t="shared" si="1"/>
        <v>0.13152725766678841</v>
      </c>
      <c r="F48" s="168">
        <v>72.65258</v>
      </c>
      <c r="G48" s="172">
        <f t="shared" si="2"/>
        <v>0.15537377542879027</v>
      </c>
      <c r="H48" s="172">
        <f t="shared" si="3"/>
        <v>0.15329044209545695</v>
      </c>
    </row>
    <row r="49" spans="2:8" x14ac:dyDescent="0.45">
      <c r="B49" s="164">
        <v>43952</v>
      </c>
      <c r="C49" s="165">
        <v>297.58673099999999</v>
      </c>
      <c r="D49" s="172">
        <f t="shared" si="0"/>
        <v>4.7645282667511557E-2</v>
      </c>
      <c r="E49" s="173">
        <f t="shared" si="1"/>
        <v>4.5561949334178224E-2</v>
      </c>
      <c r="F49" s="168">
        <v>78.622062999999997</v>
      </c>
      <c r="G49" s="172">
        <f t="shared" si="2"/>
        <v>8.216477652961518E-2</v>
      </c>
      <c r="H49" s="172">
        <f t="shared" si="3"/>
        <v>8.008144319628184E-2</v>
      </c>
    </row>
    <row r="50" spans="2:8" x14ac:dyDescent="0.45">
      <c r="B50" s="164">
        <v>43983</v>
      </c>
      <c r="C50" s="165">
        <v>301.53729199999998</v>
      </c>
      <c r="D50" s="172">
        <f t="shared" si="0"/>
        <v>1.3275326445922664E-2</v>
      </c>
      <c r="E50" s="173">
        <f t="shared" si="1"/>
        <v>1.1191993112589331E-2</v>
      </c>
      <c r="F50" s="168">
        <v>90.454078999999993</v>
      </c>
      <c r="G50" s="172">
        <f t="shared" si="2"/>
        <v>0.15049231155381904</v>
      </c>
      <c r="H50" s="172">
        <f t="shared" si="3"/>
        <v>0.14840897822048571</v>
      </c>
    </row>
    <row r="51" spans="2:8" x14ac:dyDescent="0.45">
      <c r="B51" s="164">
        <v>44013</v>
      </c>
      <c r="C51" s="165">
        <v>320.70059199999997</v>
      </c>
      <c r="D51" s="172">
        <f t="shared" si="0"/>
        <v>6.3552006695078989E-2</v>
      </c>
      <c r="E51" s="173">
        <f t="shared" si="1"/>
        <v>6.1468673361745656E-2</v>
      </c>
      <c r="F51" s="168">
        <v>105.390907</v>
      </c>
      <c r="G51" s="172">
        <f t="shared" si="2"/>
        <v>0.1651316133570937</v>
      </c>
      <c r="H51" s="172">
        <f t="shared" si="3"/>
        <v>0.16304828002376037</v>
      </c>
    </row>
    <row r="52" spans="2:8" x14ac:dyDescent="0.45">
      <c r="B52" s="164">
        <v>44044</v>
      </c>
      <c r="C52" s="165">
        <v>343.08441199999999</v>
      </c>
      <c r="D52" s="172">
        <f t="shared" si="0"/>
        <v>6.9796628251936665E-2</v>
      </c>
      <c r="E52" s="173">
        <f t="shared" si="1"/>
        <v>6.7713294918603326E-2</v>
      </c>
      <c r="F52" s="168">
        <v>127.984589</v>
      </c>
      <c r="G52" s="172">
        <f t="shared" si="2"/>
        <v>0.21437980413243807</v>
      </c>
      <c r="H52" s="172">
        <f t="shared" si="3"/>
        <v>0.21229647079910474</v>
      </c>
    </row>
    <row r="53" spans="2:8" x14ac:dyDescent="0.45">
      <c r="B53" s="164">
        <v>44075</v>
      </c>
      <c r="C53" s="165">
        <v>328.92147799999998</v>
      </c>
      <c r="D53" s="172">
        <f t="shared" si="0"/>
        <v>-4.1281193504064007E-2</v>
      </c>
      <c r="E53" s="173">
        <f t="shared" si="1"/>
        <v>-4.3364526837397339E-2</v>
      </c>
      <c r="F53" s="168">
        <v>115.069885</v>
      </c>
      <c r="G53" s="172">
        <f t="shared" si="2"/>
        <v>-0.10090827419854431</v>
      </c>
      <c r="H53" s="172">
        <f t="shared" si="3"/>
        <v>-0.10299160753187765</v>
      </c>
    </row>
    <row r="54" spans="2:8" x14ac:dyDescent="0.45">
      <c r="B54" s="164">
        <v>44105</v>
      </c>
      <c r="C54" s="165">
        <v>322.00408900000002</v>
      </c>
      <c r="D54" s="172">
        <f t="shared" si="0"/>
        <v>-2.1030517806441162E-2</v>
      </c>
      <c r="E54" s="173">
        <f t="shared" si="1"/>
        <v>-2.3113851139774495E-2</v>
      </c>
      <c r="F54" s="168">
        <v>108.16430699999999</v>
      </c>
      <c r="G54" s="172">
        <f t="shared" si="2"/>
        <v>-6.0012035294899291E-2</v>
      </c>
      <c r="H54" s="172">
        <f t="shared" si="3"/>
        <v>-6.2095368628232624E-2</v>
      </c>
    </row>
    <row r="55" spans="2:8" x14ac:dyDescent="0.45">
      <c r="B55" s="164">
        <v>44136</v>
      </c>
      <c r="C55" s="165">
        <v>357.03070100000002</v>
      </c>
      <c r="D55" s="172">
        <f t="shared" si="0"/>
        <v>0.10877691680492907</v>
      </c>
      <c r="E55" s="173">
        <f t="shared" si="1"/>
        <v>0.10669358347159573</v>
      </c>
      <c r="F55" s="168">
        <v>118.289185</v>
      </c>
      <c r="G55" s="172">
        <f t="shared" si="2"/>
        <v>9.3606461140642416E-2</v>
      </c>
      <c r="H55" s="172">
        <f t="shared" si="3"/>
        <v>9.1523127807309076E-2</v>
      </c>
    </row>
    <row r="56" spans="2:8" x14ac:dyDescent="0.45">
      <c r="B56" s="164">
        <v>44166</v>
      </c>
      <c r="C56" s="165">
        <v>368.68649299999998</v>
      </c>
      <c r="D56" s="172">
        <f t="shared" si="0"/>
        <v>3.2646469805967637E-2</v>
      </c>
      <c r="E56" s="173">
        <f t="shared" si="1"/>
        <v>3.0563136472634304E-2</v>
      </c>
      <c r="F56" s="168">
        <v>132.06947299999999</v>
      </c>
      <c r="G56" s="172">
        <f t="shared" si="2"/>
        <v>0.11649660110516424</v>
      </c>
      <c r="H56" s="172">
        <f t="shared" si="3"/>
        <v>0.1144132677718309</v>
      </c>
    </row>
    <row r="57" spans="2:8" x14ac:dyDescent="0.45">
      <c r="B57" s="164">
        <v>44197</v>
      </c>
      <c r="C57" s="165">
        <v>366.48498499999999</v>
      </c>
      <c r="D57" s="172">
        <f t="shared" si="0"/>
        <v>-5.9712195640430066E-3</v>
      </c>
      <c r="E57" s="173">
        <f t="shared" si="1"/>
        <v>-8.0545528973763394E-3</v>
      </c>
      <c r="F57" s="168">
        <v>131.34288000000001</v>
      </c>
      <c r="G57" s="172">
        <f t="shared" si="2"/>
        <v>-5.5015968754564826E-3</v>
      </c>
      <c r="H57" s="172">
        <f t="shared" si="3"/>
        <v>-7.5849302087898154E-3</v>
      </c>
    </row>
    <row r="58" spans="2:8" x14ac:dyDescent="0.45">
      <c r="B58" s="164">
        <v>44228</v>
      </c>
      <c r="C58" s="165">
        <v>376.67526199999998</v>
      </c>
      <c r="D58" s="172">
        <f t="shared" si="0"/>
        <v>2.780544201558488E-2</v>
      </c>
      <c r="E58" s="173">
        <f t="shared" si="1"/>
        <v>2.5722108682251547E-2</v>
      </c>
      <c r="F58" s="168">
        <v>120.692924</v>
      </c>
      <c r="G58" s="172">
        <f t="shared" si="2"/>
        <v>-8.1085141425252805E-2</v>
      </c>
      <c r="H58" s="172">
        <f t="shared" si="3"/>
        <v>-8.3168474758586144E-2</v>
      </c>
    </row>
    <row r="59" spans="2:8" x14ac:dyDescent="0.45">
      <c r="B59" s="164">
        <v>44256</v>
      </c>
      <c r="C59" s="165">
        <v>392.49056999999999</v>
      </c>
      <c r="D59" s="172">
        <f t="shared" si="0"/>
        <v>4.1986585251250208E-2</v>
      </c>
      <c r="E59" s="173">
        <f t="shared" si="1"/>
        <v>3.9903251917916875E-2</v>
      </c>
      <c r="F59" s="168">
        <v>121.760445</v>
      </c>
      <c r="G59" s="172">
        <f t="shared" si="2"/>
        <v>8.8449344387413475E-3</v>
      </c>
      <c r="H59" s="172">
        <f t="shared" si="3"/>
        <v>6.7616011054080147E-3</v>
      </c>
    </row>
    <row r="60" spans="2:8" x14ac:dyDescent="0.45">
      <c r="B60" s="164">
        <v>44287</v>
      </c>
      <c r="C60" s="165">
        <v>414.61093099999999</v>
      </c>
      <c r="D60" s="172">
        <f t="shared" si="0"/>
        <v>5.6358961694289889E-2</v>
      </c>
      <c r="E60" s="173">
        <f t="shared" si="1"/>
        <v>5.4275628360956556E-2</v>
      </c>
      <c r="F60" s="168">
        <v>131.04075599999999</v>
      </c>
      <c r="G60" s="172">
        <f t="shared" si="2"/>
        <v>7.6217781562805342E-2</v>
      </c>
      <c r="H60" s="172">
        <f t="shared" si="3"/>
        <v>7.4134448229472003E-2</v>
      </c>
    </row>
    <row r="61" spans="2:8" x14ac:dyDescent="0.45">
      <c r="B61" s="164">
        <v>44317</v>
      </c>
      <c r="C61" s="165">
        <v>417.333282</v>
      </c>
      <c r="D61" s="172">
        <f t="shared" si="0"/>
        <v>6.5660376908875939E-3</v>
      </c>
      <c r="E61" s="173">
        <f t="shared" si="1"/>
        <v>4.4827043575542611E-3</v>
      </c>
      <c r="F61" s="168">
        <v>124.212593</v>
      </c>
      <c r="G61" s="172">
        <f t="shared" si="2"/>
        <v>-5.2107170382930224E-2</v>
      </c>
      <c r="H61" s="172">
        <f t="shared" si="3"/>
        <v>-5.4190503716263556E-2</v>
      </c>
    </row>
    <row r="62" spans="2:8" x14ac:dyDescent="0.45">
      <c r="B62" s="164">
        <v>44348</v>
      </c>
      <c r="C62" s="165">
        <v>425.301605</v>
      </c>
      <c r="D62" s="172">
        <f t="shared" si="0"/>
        <v>1.909342806740244E-2</v>
      </c>
      <c r="E62" s="173">
        <f t="shared" si="1"/>
        <v>1.7010094734069107E-2</v>
      </c>
      <c r="F62" s="168">
        <v>136.755112</v>
      </c>
      <c r="G62" s="172">
        <f t="shared" si="2"/>
        <v>0.10097622710444498</v>
      </c>
      <c r="H62" s="172">
        <f t="shared" si="3"/>
        <v>9.8892893771111642E-2</v>
      </c>
    </row>
    <row r="63" spans="2:8" x14ac:dyDescent="0.45">
      <c r="B63" s="164">
        <v>44378</v>
      </c>
      <c r="C63" s="165">
        <v>437.10964999999999</v>
      </c>
      <c r="D63" s="172">
        <f t="shared" si="0"/>
        <v>2.776393237453223E-2</v>
      </c>
      <c r="E63" s="173">
        <f t="shared" si="1"/>
        <v>2.5680599041198897E-2</v>
      </c>
      <c r="F63" s="168">
        <v>145.641785</v>
      </c>
      <c r="G63" s="172">
        <f t="shared" si="2"/>
        <v>6.4982382523294691E-2</v>
      </c>
      <c r="H63" s="172">
        <f t="shared" si="3"/>
        <v>6.2899049189961351E-2</v>
      </c>
    </row>
    <row r="64" spans="2:8" x14ac:dyDescent="0.45">
      <c r="B64" s="164">
        <v>44409</v>
      </c>
      <c r="C64" s="165">
        <v>450.11798099999999</v>
      </c>
      <c r="D64" s="172">
        <f>C64/C63-1</f>
        <v>2.9759880615767731E-2</v>
      </c>
      <c r="E64" s="173">
        <f t="shared" si="1"/>
        <v>2.7676547282434398E-2</v>
      </c>
      <c r="F64" s="168">
        <v>151.602859</v>
      </c>
      <c r="G64" s="172">
        <f t="shared" si="2"/>
        <v>4.0929696103353841E-2</v>
      </c>
      <c r="H64" s="172">
        <f t="shared" si="3"/>
        <v>3.8846362770020508E-2</v>
      </c>
    </row>
    <row r="65" spans="2:8" x14ac:dyDescent="0.45">
      <c r="B65" s="164">
        <v>44440</v>
      </c>
      <c r="C65" s="165">
        <v>427.76959199999999</v>
      </c>
      <c r="D65" s="172">
        <f t="shared" si="0"/>
        <v>-4.9650069411468323E-2</v>
      </c>
      <c r="E65" s="173">
        <f t="shared" si="1"/>
        <v>-5.1733402744801656E-2</v>
      </c>
      <c r="F65" s="168">
        <v>141.5</v>
      </c>
      <c r="G65" s="172">
        <f t="shared" si="2"/>
        <v>-6.6640293373359083E-2</v>
      </c>
      <c r="H65" s="172">
        <f t="shared" si="3"/>
        <v>-6.8723626706692423E-2</v>
      </c>
    </row>
    <row r="66" spans="2:8" x14ac:dyDescent="0.45">
      <c r="B66" s="164">
        <v>44470</v>
      </c>
      <c r="C66" s="165">
        <v>459.25</v>
      </c>
      <c r="D66" s="172">
        <f>C66/C65-1</f>
        <v>7.3591972381243931E-2</v>
      </c>
      <c r="E66" s="173">
        <f t="shared" si="1"/>
        <v>7.1508639047910591E-2</v>
      </c>
      <c r="F66" s="168">
        <v>149.800003</v>
      </c>
      <c r="G66" s="172">
        <f t="shared" si="2"/>
        <v>5.865726501766777E-2</v>
      </c>
      <c r="H66" s="172">
        <f t="shared" si="3"/>
        <v>5.6573931684334437E-2</v>
      </c>
    </row>
  </sheetData>
  <mergeCells count="2">
    <mergeCell ref="C5:E5"/>
    <mergeCell ref="F5:H5"/>
  </mergeCells>
  <pageMargins left="0.7" right="0.7" top="0.75" bottom="0.75" header="0.3" footer="0.3"/>
  <pageSetup scale="49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4533F-B009-A54D-8CAC-1C3E724F78C8}">
  <sheetPr>
    <pageSetUpPr fitToPage="1"/>
  </sheetPr>
  <dimension ref="B2:K49"/>
  <sheetViews>
    <sheetView showGridLines="0" topLeftCell="A19" zoomScale="75" zoomScaleNormal="100" workbookViewId="0">
      <selection activeCell="P43" sqref="P43"/>
    </sheetView>
  </sheetViews>
  <sheetFormatPr defaultColWidth="10.8125" defaultRowHeight="15.4" x14ac:dyDescent="0.5"/>
  <cols>
    <col min="1" max="1" width="5.5" style="183" customWidth="1"/>
    <col min="2" max="2" width="17.1875" style="183" customWidth="1"/>
    <col min="3" max="3" width="25.6875" style="237" customWidth="1"/>
    <col min="4" max="4" width="19.5" style="183" customWidth="1"/>
    <col min="5" max="5" width="22.3125" style="183" customWidth="1"/>
    <col min="6" max="6" width="27.1875" style="197" customWidth="1"/>
    <col min="7" max="16384" width="10.8125" style="183"/>
  </cols>
  <sheetData>
    <row r="2" spans="2:11" ht="22.5" x14ac:dyDescent="0.5">
      <c r="B2" s="189" t="s">
        <v>127</v>
      </c>
      <c r="C2" s="190"/>
      <c r="D2" s="191"/>
      <c r="E2" s="192"/>
      <c r="F2" s="193"/>
      <c r="G2" s="191"/>
      <c r="H2" s="191"/>
      <c r="I2" s="191"/>
      <c r="J2" s="191"/>
      <c r="K2" s="191"/>
    </row>
    <row r="4" spans="2:11" ht="23" customHeight="1" x14ac:dyDescent="0.5">
      <c r="B4" s="194" t="s">
        <v>128</v>
      </c>
      <c r="C4" s="195"/>
      <c r="D4" s="196"/>
      <c r="E4" s="194"/>
      <c r="G4" s="194" t="s">
        <v>129</v>
      </c>
      <c r="H4" s="195"/>
      <c r="I4" s="196"/>
      <c r="J4" s="196"/>
      <c r="K4" s="196"/>
    </row>
    <row r="5" spans="2:11" ht="30" x14ac:dyDescent="0.5">
      <c r="B5" s="195" t="s">
        <v>131</v>
      </c>
      <c r="C5" s="198" t="s">
        <v>132</v>
      </c>
      <c r="D5" s="198" t="s">
        <v>2</v>
      </c>
      <c r="E5" s="199" t="s">
        <v>133</v>
      </c>
    </row>
    <row r="6" spans="2:11" ht="17.25" x14ac:dyDescent="0.5">
      <c r="B6" s="200" t="s">
        <v>134</v>
      </c>
      <c r="C6" s="201">
        <v>18</v>
      </c>
      <c r="D6" s="202">
        <v>1.85</v>
      </c>
      <c r="E6" s="203">
        <f>$C$27+($C$26-$C$27)*D6</f>
        <v>17.93</v>
      </c>
      <c r="F6" s="197" t="s">
        <v>135</v>
      </c>
      <c r="H6" s="204"/>
      <c r="J6" s="204"/>
    </row>
    <row r="7" spans="2:11" ht="17.25" x14ac:dyDescent="0.5">
      <c r="B7" s="200" t="s">
        <v>136</v>
      </c>
      <c r="C7" s="201">
        <v>16</v>
      </c>
      <c r="D7" s="205">
        <v>1.42</v>
      </c>
      <c r="E7" s="203">
        <f t="shared" ref="E7:E27" si="0">$C$27+($C$26-$C$27)*D7</f>
        <v>14.576000000000001</v>
      </c>
      <c r="F7" s="197" t="s">
        <v>137</v>
      </c>
      <c r="H7" s="204"/>
      <c r="J7" s="204"/>
    </row>
    <row r="8" spans="2:11" ht="17.25" x14ac:dyDescent="0.5">
      <c r="B8" s="200" t="s">
        <v>138</v>
      </c>
      <c r="C8" s="201">
        <v>12.5</v>
      </c>
      <c r="D8" s="205">
        <v>1.31</v>
      </c>
      <c r="E8" s="203">
        <f t="shared" si="0"/>
        <v>13.718000000000002</v>
      </c>
      <c r="H8" s="204"/>
      <c r="J8" s="204"/>
    </row>
    <row r="9" spans="2:11" ht="16.05" customHeight="1" x14ac:dyDescent="0.5">
      <c r="B9" s="200" t="s">
        <v>139</v>
      </c>
      <c r="C9" s="201">
        <v>11.4</v>
      </c>
      <c r="D9" s="205">
        <v>1.2</v>
      </c>
      <c r="E9" s="203">
        <f t="shared" si="0"/>
        <v>12.860000000000001</v>
      </c>
    </row>
    <row r="10" spans="2:11" s="206" customFormat="1" x14ac:dyDescent="0.5">
      <c r="B10" s="200" t="s">
        <v>140</v>
      </c>
      <c r="C10" s="201">
        <v>13</v>
      </c>
      <c r="D10" s="205">
        <v>1.19</v>
      </c>
      <c r="E10" s="203">
        <f t="shared" si="0"/>
        <v>12.782</v>
      </c>
      <c r="F10" s="197"/>
    </row>
    <row r="11" spans="2:11" s="206" customFormat="1" x14ac:dyDescent="0.5">
      <c r="B11" s="200" t="s">
        <v>141</v>
      </c>
      <c r="C11" s="201">
        <v>12.5</v>
      </c>
      <c r="D11" s="205">
        <v>1.01</v>
      </c>
      <c r="E11" s="203">
        <f t="shared" si="0"/>
        <v>11.378</v>
      </c>
      <c r="F11" s="197"/>
    </row>
    <row r="12" spans="2:11" s="206" customFormat="1" x14ac:dyDescent="0.5">
      <c r="B12" s="200" t="s">
        <v>142</v>
      </c>
      <c r="C12" s="201">
        <v>11</v>
      </c>
      <c r="D12" s="205">
        <v>1</v>
      </c>
      <c r="E12" s="203">
        <f t="shared" si="0"/>
        <v>11.3</v>
      </c>
      <c r="F12" s="197"/>
    </row>
    <row r="13" spans="2:11" s="206" customFormat="1" x14ac:dyDescent="0.5">
      <c r="B13" s="200" t="s">
        <v>143</v>
      </c>
      <c r="C13" s="201">
        <v>10</v>
      </c>
      <c r="D13" s="205">
        <v>0.96</v>
      </c>
      <c r="E13" s="203">
        <f t="shared" si="0"/>
        <v>10.988</v>
      </c>
      <c r="F13" s="197"/>
    </row>
    <row r="14" spans="2:11" s="206" customFormat="1" x14ac:dyDescent="0.5">
      <c r="B14" s="200" t="s">
        <v>144</v>
      </c>
      <c r="C14" s="201">
        <v>11.5</v>
      </c>
      <c r="D14" s="205">
        <v>0.94</v>
      </c>
      <c r="E14" s="203">
        <f t="shared" si="0"/>
        <v>10.832000000000001</v>
      </c>
      <c r="F14" s="197"/>
    </row>
    <row r="15" spans="2:11" s="206" customFormat="1" x14ac:dyDescent="0.5">
      <c r="B15" s="200" t="s">
        <v>145</v>
      </c>
      <c r="C15" s="201">
        <v>11</v>
      </c>
      <c r="D15" s="205">
        <v>0.93</v>
      </c>
      <c r="E15" s="203">
        <f t="shared" si="0"/>
        <v>10.754000000000001</v>
      </c>
      <c r="F15" s="197"/>
    </row>
    <row r="16" spans="2:11" s="206" customFormat="1" x14ac:dyDescent="0.5">
      <c r="B16" s="200" t="s">
        <v>146</v>
      </c>
      <c r="C16" s="201">
        <v>9.4</v>
      </c>
      <c r="D16" s="207">
        <v>0.91</v>
      </c>
      <c r="E16" s="203">
        <f t="shared" si="0"/>
        <v>10.598000000000001</v>
      </c>
      <c r="F16" s="197"/>
    </row>
    <row r="17" spans="2:7" s="206" customFormat="1" x14ac:dyDescent="0.5">
      <c r="B17" s="200" t="s">
        <v>147</v>
      </c>
      <c r="C17" s="201">
        <v>9.3000000000000007</v>
      </c>
      <c r="D17" s="205">
        <v>0.9</v>
      </c>
      <c r="E17" s="203">
        <f t="shared" si="0"/>
        <v>10.52</v>
      </c>
      <c r="F17" s="197"/>
    </row>
    <row r="18" spans="2:7" s="206" customFormat="1" x14ac:dyDescent="0.5">
      <c r="B18" s="200" t="s">
        <v>148</v>
      </c>
      <c r="C18" s="201">
        <v>9</v>
      </c>
      <c r="D18" s="205">
        <v>0.79</v>
      </c>
      <c r="E18" s="203">
        <f t="shared" si="0"/>
        <v>9.6620000000000008</v>
      </c>
      <c r="F18" s="197"/>
    </row>
    <row r="19" spans="2:7" s="206" customFormat="1" x14ac:dyDescent="0.5">
      <c r="B19" s="200" t="s">
        <v>149</v>
      </c>
      <c r="C19" s="201">
        <v>7.5</v>
      </c>
      <c r="D19" s="205">
        <v>0.59</v>
      </c>
      <c r="E19" s="203">
        <f t="shared" si="0"/>
        <v>8.1020000000000003</v>
      </c>
      <c r="F19" s="197"/>
    </row>
    <row r="20" spans="2:7" s="206" customFormat="1" x14ac:dyDescent="0.5">
      <c r="B20" s="200" t="s">
        <v>150</v>
      </c>
      <c r="C20" s="201">
        <v>8.5</v>
      </c>
      <c r="D20" s="205">
        <v>0.51</v>
      </c>
      <c r="E20" s="203">
        <f t="shared" si="0"/>
        <v>7.4780000000000006</v>
      </c>
      <c r="F20" s="197"/>
    </row>
    <row r="21" spans="2:7" s="206" customFormat="1" x14ac:dyDescent="0.5">
      <c r="B21" s="200" t="s">
        <v>151</v>
      </c>
      <c r="C21" s="201">
        <v>8.4</v>
      </c>
      <c r="D21" s="205">
        <v>0.49</v>
      </c>
      <c r="E21" s="203">
        <f t="shared" si="0"/>
        <v>7.3220000000000001</v>
      </c>
      <c r="F21" s="197"/>
    </row>
    <row r="22" spans="2:7" s="206" customFormat="1" ht="17.25" x14ac:dyDescent="0.5">
      <c r="B22" s="200" t="s">
        <v>152</v>
      </c>
      <c r="C22" s="201">
        <v>7.9</v>
      </c>
      <c r="D22" s="205">
        <v>0.47</v>
      </c>
      <c r="E22" s="203">
        <f t="shared" si="0"/>
        <v>7.1660000000000004</v>
      </c>
      <c r="F22" s="197"/>
      <c r="G22" s="208" t="s">
        <v>153</v>
      </c>
    </row>
    <row r="23" spans="2:7" s="206" customFormat="1" ht="17.25" x14ac:dyDescent="0.5">
      <c r="B23" s="200" t="s">
        <v>154</v>
      </c>
      <c r="C23" s="201">
        <v>4.8</v>
      </c>
      <c r="D23" s="205">
        <v>0.26</v>
      </c>
      <c r="E23" s="203">
        <f t="shared" si="0"/>
        <v>5.5280000000000005</v>
      </c>
      <c r="F23" s="197"/>
      <c r="G23" s="208" t="s">
        <v>155</v>
      </c>
    </row>
    <row r="24" spans="2:7" s="206" customFormat="1" ht="17.25" x14ac:dyDescent="0.5">
      <c r="B24" s="200" t="s">
        <v>156</v>
      </c>
      <c r="C24" s="201">
        <v>4.7</v>
      </c>
      <c r="D24" s="205">
        <v>0.24</v>
      </c>
      <c r="E24" s="203">
        <f t="shared" si="0"/>
        <v>5.3719999999999999</v>
      </c>
      <c r="F24" s="197"/>
      <c r="G24" s="208" t="s">
        <v>157</v>
      </c>
    </row>
    <row r="25" spans="2:7" s="206" customFormat="1" ht="17.25" x14ac:dyDescent="0.5">
      <c r="B25" s="209" t="s">
        <v>158</v>
      </c>
      <c r="C25" s="210">
        <v>4.5999999999999996</v>
      </c>
      <c r="D25" s="211">
        <v>0.23</v>
      </c>
      <c r="E25" s="212">
        <f t="shared" si="0"/>
        <v>5.2940000000000005</v>
      </c>
      <c r="F25" s="197"/>
      <c r="G25" s="208" t="s">
        <v>159</v>
      </c>
    </row>
    <row r="26" spans="2:7" s="206" customFormat="1" ht="17.25" x14ac:dyDescent="0.5">
      <c r="B26" s="213" t="s">
        <v>161</v>
      </c>
      <c r="C26" s="214">
        <v>11.3</v>
      </c>
      <c r="D26" s="215">
        <v>1</v>
      </c>
      <c r="E26" s="216">
        <f>$C$27+($C$26-$C$27)*D26</f>
        <v>11.3</v>
      </c>
      <c r="F26" s="197" t="s">
        <v>162</v>
      </c>
      <c r="G26" s="208" t="s">
        <v>163</v>
      </c>
    </row>
    <row r="27" spans="2:7" s="206" customFormat="1" ht="17.25" x14ac:dyDescent="0.5">
      <c r="B27" s="217" t="s">
        <v>165</v>
      </c>
      <c r="C27" s="218">
        <v>3.5</v>
      </c>
      <c r="D27" s="219">
        <v>0</v>
      </c>
      <c r="E27" s="220">
        <f t="shared" si="0"/>
        <v>3.5</v>
      </c>
      <c r="F27" s="197" t="s">
        <v>166</v>
      </c>
      <c r="G27" s="208" t="s">
        <v>167</v>
      </c>
    </row>
    <row r="28" spans="2:7" s="206" customFormat="1" x14ac:dyDescent="0.5">
      <c r="C28" s="205"/>
      <c r="F28" s="197"/>
    </row>
    <row r="29" spans="2:7" s="206" customFormat="1" x14ac:dyDescent="0.5">
      <c r="B29" s="221" t="s">
        <v>168</v>
      </c>
      <c r="C29" s="222"/>
      <c r="D29" s="196"/>
      <c r="E29" s="196"/>
      <c r="F29" s="197"/>
    </row>
    <row r="30" spans="2:7" s="206" customFormat="1" x14ac:dyDescent="0.5">
      <c r="B30" s="223" t="s">
        <v>169</v>
      </c>
      <c r="C30" s="224"/>
      <c r="D30" s="225"/>
      <c r="E30" s="225"/>
      <c r="F30" s="197"/>
    </row>
    <row r="31" spans="2:7" s="206" customFormat="1" x14ac:dyDescent="0.5">
      <c r="B31" s="223" t="s">
        <v>170</v>
      </c>
      <c r="C31" s="224"/>
      <c r="D31" s="225"/>
      <c r="E31" s="225"/>
      <c r="F31" s="197"/>
    </row>
    <row r="32" spans="2:7" s="206" customFormat="1" x14ac:dyDescent="0.5">
      <c r="B32" s="226"/>
      <c r="C32" s="227"/>
      <c r="D32" s="183"/>
      <c r="E32" s="183"/>
      <c r="F32" s="197"/>
    </row>
    <row r="33" spans="2:7" s="206" customFormat="1" x14ac:dyDescent="0.5">
      <c r="B33" s="228" t="s">
        <v>226</v>
      </c>
      <c r="C33" s="229"/>
      <c r="D33" s="183"/>
      <c r="E33" s="183"/>
      <c r="F33" s="197"/>
    </row>
    <row r="34" spans="2:7" x14ac:dyDescent="0.5">
      <c r="B34" s="230" t="s">
        <v>171</v>
      </c>
      <c r="C34" s="195"/>
      <c r="D34" s="196"/>
      <c r="E34" s="196"/>
    </row>
    <row r="35" spans="2:7" x14ac:dyDescent="0.5">
      <c r="B35" s="183" t="s">
        <v>172</v>
      </c>
      <c r="C35" s="231"/>
      <c r="E35" s="232">
        <f>2/58+3%</f>
        <v>6.4482758620689654E-2</v>
      </c>
      <c r="F35" s="197" t="s">
        <v>173</v>
      </c>
    </row>
    <row r="36" spans="2:7" x14ac:dyDescent="0.5">
      <c r="B36" s="183" t="s">
        <v>174</v>
      </c>
      <c r="C36" s="231"/>
      <c r="E36" s="233">
        <v>9.6600000000000005E-2</v>
      </c>
      <c r="F36" s="197" t="s">
        <v>175</v>
      </c>
    </row>
    <row r="37" spans="2:7" x14ac:dyDescent="0.5">
      <c r="B37" s="183" t="s">
        <v>176</v>
      </c>
      <c r="C37" s="231"/>
      <c r="E37" s="234" t="s">
        <v>177</v>
      </c>
      <c r="F37" s="183"/>
    </row>
    <row r="38" spans="2:7" x14ac:dyDescent="0.5">
      <c r="B38" s="183" t="s">
        <v>178</v>
      </c>
      <c r="C38" s="231"/>
      <c r="E38" s="234" t="s">
        <v>179</v>
      </c>
      <c r="F38" s="183"/>
    </row>
    <row r="39" spans="2:7" x14ac:dyDescent="0.5">
      <c r="C39" s="231"/>
    </row>
    <row r="40" spans="2:7" x14ac:dyDescent="0.5">
      <c r="B40" s="230" t="s">
        <v>180</v>
      </c>
      <c r="C40" s="235"/>
      <c r="D40" s="196"/>
      <c r="E40" s="196"/>
    </row>
    <row r="41" spans="2:7" x14ac:dyDescent="0.5">
      <c r="B41" s="183" t="s">
        <v>181</v>
      </c>
      <c r="C41" s="231"/>
      <c r="E41" s="236">
        <v>58</v>
      </c>
      <c r="F41" s="183"/>
    </row>
    <row r="42" spans="2:7" x14ac:dyDescent="0.5">
      <c r="B42" s="183" t="s">
        <v>182</v>
      </c>
      <c r="C42" s="231"/>
      <c r="E42" s="236">
        <f>2/(9.66%-3%)</f>
        <v>30.030030030030026</v>
      </c>
      <c r="F42" s="197" t="s">
        <v>183</v>
      </c>
    </row>
    <row r="43" spans="2:7" x14ac:dyDescent="0.5">
      <c r="B43" s="183" t="s">
        <v>176</v>
      </c>
      <c r="C43" s="231"/>
      <c r="E43" s="234" t="s">
        <v>177</v>
      </c>
      <c r="F43" s="183"/>
    </row>
    <row r="44" spans="2:7" x14ac:dyDescent="0.5">
      <c r="B44" s="183" t="s">
        <v>178</v>
      </c>
      <c r="E44" s="234" t="s">
        <v>184</v>
      </c>
    </row>
    <row r="45" spans="2:7" x14ac:dyDescent="0.5">
      <c r="C45" s="183"/>
      <c r="E45" s="228"/>
    </row>
    <row r="46" spans="2:7" x14ac:dyDescent="0.5">
      <c r="B46" s="183" t="s">
        <v>227</v>
      </c>
    </row>
    <row r="47" spans="2:7" x14ac:dyDescent="0.5">
      <c r="G47" s="197" t="s">
        <v>130</v>
      </c>
    </row>
    <row r="48" spans="2:7" x14ac:dyDescent="0.5">
      <c r="G48" s="197" t="s">
        <v>160</v>
      </c>
    </row>
    <row r="49" spans="7:7" x14ac:dyDescent="0.5">
      <c r="G49" s="197" t="s">
        <v>164</v>
      </c>
    </row>
  </sheetData>
  <pageMargins left="0.7" right="0.7" top="0.75" bottom="0.75" header="0.3" footer="0.3"/>
  <pageSetup scale="6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8D0C-9E18-C04E-AF20-1EB06D4E1C5C}">
  <sheetPr>
    <pageSetUpPr fitToPage="1"/>
  </sheetPr>
  <dimension ref="B2:H35"/>
  <sheetViews>
    <sheetView showGridLines="0" zoomScale="71" zoomScaleNormal="200" workbookViewId="0">
      <selection activeCell="E34" sqref="E34"/>
    </sheetView>
  </sheetViews>
  <sheetFormatPr defaultColWidth="10.8125" defaultRowHeight="15.4" x14ac:dyDescent="0.5"/>
  <cols>
    <col min="1" max="1" width="12.5" style="183" customWidth="1"/>
    <col min="2" max="2" width="27.1875" style="183" customWidth="1"/>
    <col min="3" max="3" width="23.6875" style="237" customWidth="1"/>
    <col min="4" max="5" width="27.8125" style="183" customWidth="1"/>
    <col min="6" max="6" width="19" style="237" customWidth="1"/>
    <col min="7" max="7" width="22.5" style="183" customWidth="1"/>
    <col min="8" max="8" width="10.8125" style="197"/>
    <col min="9" max="16384" width="10.8125" style="183"/>
  </cols>
  <sheetData>
    <row r="2" spans="2:8" ht="22.9" x14ac:dyDescent="0.5">
      <c r="B2" s="238" t="s">
        <v>185</v>
      </c>
      <c r="C2" s="239"/>
      <c r="D2" s="240"/>
      <c r="E2" s="240"/>
      <c r="F2" s="241"/>
      <c r="G2" s="240"/>
    </row>
    <row r="4" spans="2:8" x14ac:dyDescent="0.5">
      <c r="B4" s="228" t="s">
        <v>186</v>
      </c>
      <c r="C4" s="229"/>
    </row>
    <row r="5" spans="2:8" x14ac:dyDescent="0.5">
      <c r="B5" s="228" t="s">
        <v>187</v>
      </c>
      <c r="C5" s="229"/>
    </row>
    <row r="6" spans="2:8" x14ac:dyDescent="0.5">
      <c r="B6" s="228" t="s">
        <v>188</v>
      </c>
      <c r="C6" s="229"/>
    </row>
    <row r="7" spans="2:8" x14ac:dyDescent="0.5">
      <c r="B7" s="194"/>
      <c r="C7" s="195"/>
      <c r="D7" s="196"/>
      <c r="E7" s="196"/>
      <c r="F7" s="242"/>
      <c r="G7" s="196"/>
    </row>
    <row r="8" spans="2:8" ht="39" customHeight="1" x14ac:dyDescent="0.5">
      <c r="B8" s="195" t="s">
        <v>131</v>
      </c>
      <c r="C8" s="198" t="s">
        <v>132</v>
      </c>
      <c r="D8" s="198" t="s">
        <v>2</v>
      </c>
      <c r="E8" s="199" t="s">
        <v>133</v>
      </c>
      <c r="F8" s="243" t="s">
        <v>189</v>
      </c>
      <c r="G8" s="244" t="s">
        <v>190</v>
      </c>
    </row>
    <row r="9" spans="2:8" s="206" customFormat="1" x14ac:dyDescent="0.5">
      <c r="B9" s="200" t="s">
        <v>134</v>
      </c>
      <c r="C9" s="201">
        <v>18</v>
      </c>
      <c r="D9" s="202">
        <v>1.85</v>
      </c>
      <c r="E9" s="203">
        <f>$C$30+($C$29-$C$30)*D9</f>
        <v>17.93</v>
      </c>
      <c r="F9" s="245"/>
      <c r="G9" s="246">
        <f>F9/$F$31</f>
        <v>0</v>
      </c>
      <c r="H9" s="197" t="s">
        <v>191</v>
      </c>
    </row>
    <row r="10" spans="2:8" s="206" customFormat="1" x14ac:dyDescent="0.5">
      <c r="B10" s="200" t="s">
        <v>136</v>
      </c>
      <c r="C10" s="201">
        <v>16</v>
      </c>
      <c r="D10" s="205">
        <v>1.42</v>
      </c>
      <c r="E10" s="203">
        <f t="shared" ref="E10:E30" si="0">$C$30+($C$29-$C$30)*D10</f>
        <v>14.576000000000001</v>
      </c>
      <c r="F10" s="247"/>
      <c r="G10" s="246">
        <f t="shared" ref="G10:G30" si="1">F10/$F$31</f>
        <v>0</v>
      </c>
      <c r="H10" s="197" t="s">
        <v>192</v>
      </c>
    </row>
    <row r="11" spans="2:8" s="206" customFormat="1" x14ac:dyDescent="0.5">
      <c r="B11" s="200" t="s">
        <v>138</v>
      </c>
      <c r="C11" s="201">
        <v>12.5</v>
      </c>
      <c r="D11" s="205">
        <v>1.31</v>
      </c>
      <c r="E11" s="203">
        <f t="shared" si="0"/>
        <v>13.718000000000002</v>
      </c>
      <c r="F11" s="247">
        <v>200000</v>
      </c>
      <c r="G11" s="246">
        <f t="shared" si="1"/>
        <v>0.2</v>
      </c>
      <c r="H11" s="197" t="s">
        <v>193</v>
      </c>
    </row>
    <row r="12" spans="2:8" s="206" customFormat="1" x14ac:dyDescent="0.5">
      <c r="B12" s="200" t="s">
        <v>139</v>
      </c>
      <c r="C12" s="201">
        <v>11.4</v>
      </c>
      <c r="D12" s="205">
        <v>1.2</v>
      </c>
      <c r="E12" s="203">
        <f t="shared" si="0"/>
        <v>12.860000000000001</v>
      </c>
      <c r="F12" s="247"/>
      <c r="G12" s="246">
        <f t="shared" si="1"/>
        <v>0</v>
      </c>
      <c r="H12" s="197"/>
    </row>
    <row r="13" spans="2:8" s="206" customFormat="1" x14ac:dyDescent="0.5">
      <c r="B13" s="200" t="s">
        <v>140</v>
      </c>
      <c r="C13" s="201">
        <v>13</v>
      </c>
      <c r="D13" s="205">
        <v>1.19</v>
      </c>
      <c r="E13" s="203">
        <f t="shared" si="0"/>
        <v>12.782</v>
      </c>
      <c r="F13" s="247"/>
      <c r="G13" s="246">
        <f t="shared" si="1"/>
        <v>0</v>
      </c>
      <c r="H13" s="197"/>
    </row>
    <row r="14" spans="2:8" s="206" customFormat="1" x14ac:dyDescent="0.5">
      <c r="B14" s="200" t="s">
        <v>141</v>
      </c>
      <c r="C14" s="201">
        <v>12.5</v>
      </c>
      <c r="D14" s="205">
        <v>1.01</v>
      </c>
      <c r="E14" s="203">
        <f t="shared" si="0"/>
        <v>11.378</v>
      </c>
      <c r="F14" s="247"/>
      <c r="G14" s="246">
        <f t="shared" si="1"/>
        <v>0</v>
      </c>
      <c r="H14" s="197"/>
    </row>
    <row r="15" spans="2:8" s="206" customFormat="1" x14ac:dyDescent="0.5">
      <c r="B15" s="200" t="s">
        <v>142</v>
      </c>
      <c r="C15" s="201">
        <v>11</v>
      </c>
      <c r="D15" s="205">
        <v>1</v>
      </c>
      <c r="E15" s="203">
        <f t="shared" si="0"/>
        <v>11.3</v>
      </c>
      <c r="F15" s="247">
        <v>200000</v>
      </c>
      <c r="G15" s="246">
        <f t="shared" si="1"/>
        <v>0.2</v>
      </c>
      <c r="H15" s="197"/>
    </row>
    <row r="16" spans="2:8" s="206" customFormat="1" x14ac:dyDescent="0.5">
      <c r="B16" s="200" t="s">
        <v>143</v>
      </c>
      <c r="C16" s="201">
        <v>10</v>
      </c>
      <c r="D16" s="205">
        <v>0.96</v>
      </c>
      <c r="E16" s="203">
        <f t="shared" si="0"/>
        <v>10.988</v>
      </c>
      <c r="F16" s="247"/>
      <c r="G16" s="246">
        <f t="shared" si="1"/>
        <v>0</v>
      </c>
      <c r="H16" s="197"/>
    </row>
    <row r="17" spans="2:8" s="206" customFormat="1" x14ac:dyDescent="0.5">
      <c r="B17" s="200" t="s">
        <v>144</v>
      </c>
      <c r="C17" s="201">
        <v>11.5</v>
      </c>
      <c r="D17" s="205">
        <v>0.94</v>
      </c>
      <c r="E17" s="203">
        <f t="shared" si="0"/>
        <v>10.832000000000001</v>
      </c>
      <c r="F17" s="247"/>
      <c r="G17" s="246">
        <f t="shared" si="1"/>
        <v>0</v>
      </c>
      <c r="H17" s="197"/>
    </row>
    <row r="18" spans="2:8" s="206" customFormat="1" x14ac:dyDescent="0.5">
      <c r="B18" s="200" t="s">
        <v>145</v>
      </c>
      <c r="C18" s="201">
        <v>11</v>
      </c>
      <c r="D18" s="205">
        <v>0.93</v>
      </c>
      <c r="E18" s="203">
        <f t="shared" si="0"/>
        <v>10.754000000000001</v>
      </c>
      <c r="F18" s="247"/>
      <c r="G18" s="246">
        <f t="shared" si="1"/>
        <v>0</v>
      </c>
      <c r="H18" s="197"/>
    </row>
    <row r="19" spans="2:8" s="206" customFormat="1" x14ac:dyDescent="0.5">
      <c r="B19" s="200" t="s">
        <v>146</v>
      </c>
      <c r="C19" s="201">
        <v>9.4</v>
      </c>
      <c r="D19" s="207">
        <v>0.91</v>
      </c>
      <c r="E19" s="203">
        <f t="shared" si="0"/>
        <v>10.598000000000001</v>
      </c>
      <c r="F19" s="247"/>
      <c r="G19" s="246">
        <f t="shared" si="1"/>
        <v>0</v>
      </c>
      <c r="H19" s="197"/>
    </row>
    <row r="20" spans="2:8" s="206" customFormat="1" x14ac:dyDescent="0.5">
      <c r="B20" s="200" t="s">
        <v>147</v>
      </c>
      <c r="C20" s="201">
        <v>9.3000000000000007</v>
      </c>
      <c r="D20" s="205">
        <v>0.9</v>
      </c>
      <c r="E20" s="203">
        <f t="shared" si="0"/>
        <v>10.52</v>
      </c>
      <c r="F20" s="247"/>
      <c r="G20" s="246">
        <f t="shared" si="1"/>
        <v>0</v>
      </c>
      <c r="H20" s="197"/>
    </row>
    <row r="21" spans="2:8" s="206" customFormat="1" x14ac:dyDescent="0.5">
      <c r="B21" s="200" t="s">
        <v>148</v>
      </c>
      <c r="C21" s="201">
        <v>9</v>
      </c>
      <c r="D21" s="205">
        <v>0.79</v>
      </c>
      <c r="E21" s="203">
        <f t="shared" si="0"/>
        <v>9.6620000000000008</v>
      </c>
      <c r="F21" s="247">
        <v>200000</v>
      </c>
      <c r="G21" s="246">
        <f t="shared" si="1"/>
        <v>0.2</v>
      </c>
      <c r="H21" s="197"/>
    </row>
    <row r="22" spans="2:8" s="206" customFormat="1" x14ac:dyDescent="0.5">
      <c r="B22" s="200" t="s">
        <v>149</v>
      </c>
      <c r="C22" s="201">
        <v>7.5</v>
      </c>
      <c r="D22" s="205">
        <v>0.59</v>
      </c>
      <c r="E22" s="203">
        <f t="shared" si="0"/>
        <v>8.1020000000000003</v>
      </c>
      <c r="F22" s="247">
        <v>200000</v>
      </c>
      <c r="G22" s="246">
        <f t="shared" si="1"/>
        <v>0.2</v>
      </c>
      <c r="H22" s="197"/>
    </row>
    <row r="23" spans="2:8" s="206" customFormat="1" x14ac:dyDescent="0.5">
      <c r="B23" s="200" t="s">
        <v>150</v>
      </c>
      <c r="C23" s="201">
        <v>8.5</v>
      </c>
      <c r="D23" s="205">
        <v>0.51</v>
      </c>
      <c r="E23" s="203">
        <f t="shared" si="0"/>
        <v>7.4780000000000006</v>
      </c>
      <c r="F23" s="247"/>
      <c r="G23" s="246">
        <f t="shared" si="1"/>
        <v>0</v>
      </c>
      <c r="H23" s="197"/>
    </row>
    <row r="24" spans="2:8" s="206" customFormat="1" x14ac:dyDescent="0.5">
      <c r="B24" s="200" t="s">
        <v>151</v>
      </c>
      <c r="C24" s="201">
        <v>8.4</v>
      </c>
      <c r="D24" s="205">
        <v>0.49</v>
      </c>
      <c r="E24" s="203">
        <f t="shared" si="0"/>
        <v>7.3220000000000001</v>
      </c>
      <c r="F24" s="247"/>
      <c r="G24" s="246">
        <f t="shared" si="1"/>
        <v>0</v>
      </c>
      <c r="H24" s="197"/>
    </row>
    <row r="25" spans="2:8" s="206" customFormat="1" x14ac:dyDescent="0.5">
      <c r="B25" s="200" t="s">
        <v>152</v>
      </c>
      <c r="C25" s="201">
        <v>7.9</v>
      </c>
      <c r="D25" s="205">
        <v>0.47</v>
      </c>
      <c r="E25" s="203">
        <f t="shared" si="0"/>
        <v>7.1660000000000004</v>
      </c>
      <c r="F25" s="247"/>
      <c r="G25" s="246">
        <f t="shared" si="1"/>
        <v>0</v>
      </c>
      <c r="H25" s="197"/>
    </row>
    <row r="26" spans="2:8" s="206" customFormat="1" x14ac:dyDescent="0.5">
      <c r="B26" s="200" t="s">
        <v>154</v>
      </c>
      <c r="C26" s="201">
        <v>4.8</v>
      </c>
      <c r="D26" s="205">
        <v>0.26</v>
      </c>
      <c r="E26" s="203">
        <f t="shared" si="0"/>
        <v>5.5280000000000005</v>
      </c>
      <c r="F26" s="247">
        <v>100000</v>
      </c>
      <c r="G26" s="246">
        <f t="shared" si="1"/>
        <v>0.1</v>
      </c>
      <c r="H26" s="197"/>
    </row>
    <row r="27" spans="2:8" s="206" customFormat="1" x14ac:dyDescent="0.5">
      <c r="B27" s="200" t="s">
        <v>156</v>
      </c>
      <c r="C27" s="201">
        <v>4.7</v>
      </c>
      <c r="D27" s="205">
        <v>0.24</v>
      </c>
      <c r="E27" s="203">
        <f t="shared" si="0"/>
        <v>5.3719999999999999</v>
      </c>
      <c r="F27" s="247">
        <v>100000</v>
      </c>
      <c r="G27" s="246">
        <f t="shared" si="1"/>
        <v>0.1</v>
      </c>
      <c r="H27" s="197"/>
    </row>
    <row r="28" spans="2:8" s="206" customFormat="1" x14ac:dyDescent="0.5">
      <c r="B28" s="209" t="s">
        <v>158</v>
      </c>
      <c r="C28" s="210">
        <v>4.5999999999999996</v>
      </c>
      <c r="D28" s="211">
        <v>0.23</v>
      </c>
      <c r="E28" s="212">
        <f t="shared" si="0"/>
        <v>5.2940000000000005</v>
      </c>
      <c r="F28" s="248"/>
      <c r="G28" s="249">
        <f t="shared" si="1"/>
        <v>0</v>
      </c>
      <c r="H28" s="197"/>
    </row>
    <row r="29" spans="2:8" s="206" customFormat="1" x14ac:dyDescent="0.5">
      <c r="B29" s="200" t="s">
        <v>194</v>
      </c>
      <c r="C29" s="201">
        <v>11.3</v>
      </c>
      <c r="D29" s="205">
        <v>1</v>
      </c>
      <c r="E29" s="203">
        <f t="shared" si="0"/>
        <v>11.3</v>
      </c>
      <c r="F29" s="247"/>
      <c r="G29" s="246">
        <f t="shared" si="1"/>
        <v>0</v>
      </c>
      <c r="H29" s="197"/>
    </row>
    <row r="30" spans="2:8" s="206" customFormat="1" x14ac:dyDescent="0.5">
      <c r="B30" s="209" t="s">
        <v>195</v>
      </c>
      <c r="C30" s="210">
        <v>3.5</v>
      </c>
      <c r="D30" s="211">
        <v>0</v>
      </c>
      <c r="E30" s="203">
        <f t="shared" si="0"/>
        <v>3.5</v>
      </c>
      <c r="F30" s="248"/>
      <c r="G30" s="249">
        <f t="shared" si="1"/>
        <v>0</v>
      </c>
      <c r="H30" s="197"/>
    </row>
    <row r="31" spans="2:8" s="206" customFormat="1" x14ac:dyDescent="0.5">
      <c r="B31" s="250" t="s">
        <v>196</v>
      </c>
      <c r="C31" s="251"/>
      <c r="D31" s="252"/>
      <c r="E31" s="252"/>
      <c r="F31" s="253">
        <f>SUM(F9:F30)</f>
        <v>1000000</v>
      </c>
      <c r="G31" s="254">
        <f>F31/$F$31</f>
        <v>1</v>
      </c>
      <c r="H31" s="197" t="s">
        <v>197</v>
      </c>
    </row>
    <row r="32" spans="2:8" s="206" customFormat="1" x14ac:dyDescent="0.5">
      <c r="B32" s="258" t="s">
        <v>198</v>
      </c>
      <c r="C32" s="255">
        <f>SUMPRODUCT(D9:D30,G9:G30)</f>
        <v>0.78800000000000014</v>
      </c>
      <c r="D32" s="197" t="s">
        <v>199</v>
      </c>
      <c r="E32" s="197"/>
      <c r="F32" s="256" t="s">
        <v>200</v>
      </c>
      <c r="H32" s="197"/>
    </row>
    <row r="33" spans="2:8" s="206" customFormat="1" x14ac:dyDescent="0.5">
      <c r="B33" s="258" t="s">
        <v>201</v>
      </c>
      <c r="C33" s="255">
        <f>C30+(C29-C30)*C32</f>
        <v>9.6464000000000016</v>
      </c>
      <c r="D33" s="197" t="s">
        <v>202</v>
      </c>
      <c r="E33" s="197"/>
      <c r="F33" s="207"/>
      <c r="H33" s="197"/>
    </row>
    <row r="34" spans="2:8" s="206" customFormat="1" x14ac:dyDescent="0.5">
      <c r="B34" s="258" t="s">
        <v>203</v>
      </c>
      <c r="C34" s="257">
        <f>SUMPRODUCT(C9:C30,G9:G30)</f>
        <v>8.9500000000000011</v>
      </c>
      <c r="D34" s="197" t="s">
        <v>204</v>
      </c>
      <c r="E34" s="197"/>
      <c r="F34" s="205"/>
      <c r="H34" s="197"/>
    </row>
    <row r="35" spans="2:8" s="206" customFormat="1" x14ac:dyDescent="0.5">
      <c r="B35" s="258" t="s">
        <v>205</v>
      </c>
      <c r="C35" s="257" t="str">
        <f>IF(C34&gt;=C33,"invest","not invest")</f>
        <v>not invest</v>
      </c>
      <c r="D35" s="197" t="str">
        <f ca="1">_xlfn.FORMULATEXT(C35)</f>
        <v>=IF(C34&gt;=C33,"invest","not invest")</v>
      </c>
      <c r="E35" s="197"/>
      <c r="F35" s="205"/>
      <c r="H35" s="197"/>
    </row>
  </sheetData>
  <pageMargins left="0.7" right="0.7" top="0.75" bottom="0.75" header="0.3" footer="0.3"/>
  <pageSetup scale="5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MW Efficient Pf</vt:lpstr>
      <vt:lpstr>MW Optimal Pf</vt:lpstr>
      <vt:lpstr>Index Model</vt:lpstr>
      <vt:lpstr>Beta &amp; CAPM</vt:lpstr>
      <vt:lpstr>SML</vt:lpstr>
      <vt:lpstr>Portfolio Beta &amp; CAPM</vt:lpstr>
      <vt:lpstr>'MW Efficient Pf'!Print_Area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Bumchan Ahn</dc:creator>
  <cp:lastModifiedBy>Suraj Udasi</cp:lastModifiedBy>
  <cp:lastPrinted>2023-03-09T13:00:01Z</cp:lastPrinted>
  <dcterms:created xsi:type="dcterms:W3CDTF">2018-05-19T15:40:16Z</dcterms:created>
  <dcterms:modified xsi:type="dcterms:W3CDTF">2024-03-17T04:55:58Z</dcterms:modified>
</cp:coreProperties>
</file>