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iCloudDrive\Hult\1. Masters in Finance, 2022\0. Modules\1. Fall 2022 (Sep-Dec)\5. Financial Planning &amp; Analysis w Excel\Class 4\"/>
    </mc:Choice>
  </mc:AlternateContent>
  <xr:revisionPtr revIDLastSave="0" documentId="13_ncr:1_{D6BE54B3-B29B-4598-B6B7-84575AEAFB7B}" xr6:coauthVersionLast="47" xr6:coauthVersionMax="47" xr10:uidLastSave="{00000000-0000-0000-0000-000000000000}"/>
  <bookViews>
    <workbookView xWindow="-98" yWindow="-98" windowWidth="21795" windowHeight="13875" activeTab="2" xr2:uid="{77033023-C5A9-4301-AF7A-1049B42227DA}"/>
  </bookViews>
  <sheets>
    <sheet name="Case Data" sheetId="2" r:id="rId1"/>
    <sheet name="Scenario Summary" sheetId="3" r:id="rId2"/>
    <sheet name="Master Budget" sheetId="1" r:id="rId3"/>
  </sheets>
  <definedNames>
    <definedName name="April" localSheetId="2">'Master Budget'!$G$117</definedName>
    <definedName name="June" localSheetId="2">'Master Budget'!$I$117</definedName>
    <definedName name="May" localSheetId="2">'Master Budget'!$H$117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9" i="1" l="1"/>
  <c r="F165" i="1"/>
  <c r="F164" i="1"/>
  <c r="F162" i="1"/>
  <c r="F161" i="1"/>
  <c r="F160" i="1"/>
  <c r="P17" i="1"/>
  <c r="F148" i="1"/>
  <c r="I112" i="1"/>
  <c r="H112" i="1"/>
  <c r="G112" i="1"/>
  <c r="I116" i="1"/>
  <c r="F145" i="1"/>
  <c r="F144" i="1"/>
  <c r="F143" i="1"/>
  <c r="F142" i="1"/>
  <c r="F139" i="1"/>
  <c r="F138" i="1"/>
  <c r="I114" i="1"/>
  <c r="H114" i="1"/>
  <c r="I113" i="1"/>
  <c r="H113" i="1"/>
  <c r="G114" i="1"/>
  <c r="G113" i="1"/>
  <c r="I111" i="1"/>
  <c r="H111" i="1"/>
  <c r="G111" i="1"/>
  <c r="I110" i="1"/>
  <c r="H110" i="1"/>
  <c r="G110" i="1"/>
  <c r="I107" i="1"/>
  <c r="H107" i="1"/>
  <c r="G107" i="1"/>
  <c r="J98" i="1"/>
  <c r="I98" i="1"/>
  <c r="J97" i="1"/>
  <c r="I97" i="1"/>
  <c r="J96" i="1"/>
  <c r="I96" i="1"/>
  <c r="J95" i="1"/>
  <c r="J99" i="1" s="1"/>
  <c r="I95" i="1"/>
  <c r="I99" i="1" s="1"/>
  <c r="H99" i="1"/>
  <c r="M99" i="1" s="1"/>
  <c r="H98" i="1"/>
  <c r="H97" i="1"/>
  <c r="H96" i="1"/>
  <c r="H95" i="1"/>
  <c r="J94" i="1"/>
  <c r="I94" i="1"/>
  <c r="J93" i="1"/>
  <c r="I93" i="1"/>
  <c r="H94" i="1"/>
  <c r="H93" i="1"/>
  <c r="J92" i="1"/>
  <c r="I92" i="1"/>
  <c r="H92" i="1"/>
  <c r="M85" i="1"/>
  <c r="M84" i="1"/>
  <c r="J86" i="1"/>
  <c r="I86" i="1"/>
  <c r="H86" i="1"/>
  <c r="J85" i="1"/>
  <c r="I85" i="1"/>
  <c r="H85" i="1"/>
  <c r="B85" i="1"/>
  <c r="J84" i="1"/>
  <c r="I84" i="1"/>
  <c r="H84" i="1"/>
  <c r="J78" i="1"/>
  <c r="I78" i="1"/>
  <c r="H78" i="1"/>
  <c r="M77" i="1"/>
  <c r="J77" i="1"/>
  <c r="I77" i="1"/>
  <c r="H77" i="1"/>
  <c r="M76" i="1"/>
  <c r="J76" i="1"/>
  <c r="I76" i="1"/>
  <c r="H76" i="1"/>
  <c r="J75" i="1"/>
  <c r="I75" i="1"/>
  <c r="H75" i="1"/>
  <c r="J69" i="1"/>
  <c r="I69" i="1"/>
  <c r="H69" i="1"/>
  <c r="M68" i="1"/>
  <c r="J68" i="1"/>
  <c r="I68" i="1"/>
  <c r="H68" i="1"/>
  <c r="J67" i="1"/>
  <c r="I67" i="1"/>
  <c r="H67" i="1"/>
  <c r="J66" i="1"/>
  <c r="I66" i="1"/>
  <c r="H66" i="1"/>
  <c r="J60" i="1"/>
  <c r="I60" i="1"/>
  <c r="H60" i="1"/>
  <c r="J59" i="1"/>
  <c r="I59" i="1"/>
  <c r="H59" i="1"/>
  <c r="J58" i="1"/>
  <c r="I58" i="1"/>
  <c r="H58" i="1"/>
  <c r="K52" i="1"/>
  <c r="J52" i="1"/>
  <c r="I52" i="1"/>
  <c r="H52" i="1"/>
  <c r="J51" i="1"/>
  <c r="I51" i="1"/>
  <c r="H51" i="1"/>
  <c r="J49" i="1"/>
  <c r="J50" i="1" s="1"/>
  <c r="I49" i="1"/>
  <c r="I50" i="1" s="1"/>
  <c r="H50" i="1"/>
  <c r="H49" i="1"/>
  <c r="J48" i="1"/>
  <c r="I48" i="1"/>
  <c r="H48" i="1"/>
  <c r="J47" i="1"/>
  <c r="I47" i="1"/>
  <c r="H47" i="1"/>
  <c r="G47" i="1"/>
  <c r="J46" i="1"/>
  <c r="I46" i="1"/>
  <c r="H46" i="1"/>
  <c r="J45" i="1"/>
  <c r="I45" i="1"/>
  <c r="H45" i="1"/>
  <c r="J38" i="1"/>
  <c r="J39" i="1" s="1"/>
  <c r="I38" i="1"/>
  <c r="I39" i="1" s="1"/>
  <c r="H39" i="1"/>
  <c r="H38" i="1"/>
  <c r="J37" i="1"/>
  <c r="I37" i="1"/>
  <c r="H37" i="1"/>
  <c r="J36" i="1"/>
  <c r="I36" i="1"/>
  <c r="H36" i="1"/>
  <c r="K35" i="1"/>
  <c r="J35" i="1"/>
  <c r="I35" i="1"/>
  <c r="H35" i="1"/>
  <c r="G36" i="1"/>
  <c r="G35" i="1"/>
  <c r="J28" i="1"/>
  <c r="I28" i="1"/>
  <c r="H28" i="1"/>
  <c r="G28" i="1"/>
  <c r="K27" i="1"/>
  <c r="J27" i="1"/>
  <c r="I27" i="1"/>
  <c r="H27" i="1"/>
  <c r="G27" i="1"/>
  <c r="K21" i="1"/>
  <c r="J21" i="1"/>
  <c r="I21" i="1"/>
  <c r="H21" i="1"/>
  <c r="K20" i="1"/>
  <c r="J20" i="1"/>
  <c r="I20" i="1"/>
  <c r="K19" i="1"/>
  <c r="J19" i="1"/>
  <c r="I19" i="1"/>
  <c r="K18" i="1"/>
  <c r="J18" i="1"/>
  <c r="I18" i="1"/>
  <c r="H20" i="1"/>
  <c r="H19" i="1"/>
  <c r="H18" i="1"/>
  <c r="K17" i="1"/>
  <c r="J17" i="1"/>
  <c r="I17" i="1"/>
  <c r="H17" i="1"/>
  <c r="G17" i="1"/>
  <c r="M10" i="1"/>
  <c r="K10" i="1"/>
  <c r="J10" i="1"/>
  <c r="I10" i="1"/>
  <c r="H10" i="1"/>
  <c r="G10" i="1"/>
  <c r="K8" i="1"/>
  <c r="J8" i="1"/>
  <c r="I8" i="1"/>
  <c r="H8" i="1"/>
  <c r="G8" i="1"/>
  <c r="K7" i="1"/>
  <c r="J7" i="1"/>
  <c r="I7" i="1"/>
  <c r="H7" i="1"/>
  <c r="G7" i="1"/>
  <c r="G6" i="1" a="1"/>
  <c r="G6" i="1" s="1"/>
  <c r="E131" i="1"/>
  <c r="B10" i="1"/>
  <c r="B13" i="1"/>
  <c r="B24" i="1"/>
  <c r="B25" i="1"/>
  <c r="B42" i="1"/>
  <c r="B43" i="1"/>
  <c r="B45" i="1"/>
  <c r="B46" i="1"/>
  <c r="B48" i="1"/>
  <c r="B55" i="1"/>
  <c r="B56" i="1"/>
  <c r="B63" i="1"/>
  <c r="B64" i="1"/>
  <c r="B65" i="1"/>
  <c r="B72" i="1"/>
  <c r="B84" i="1"/>
  <c r="B83" i="1"/>
  <c r="B81" i="1"/>
  <c r="B113" i="1"/>
  <c r="B111" i="1"/>
  <c r="B110" i="1"/>
  <c r="K6" i="1" l="1"/>
  <c r="J6" i="1"/>
  <c r="I6" i="1"/>
  <c r="H6" i="1"/>
  <c r="B108" i="1"/>
  <c r="B105" i="1"/>
  <c r="B103" i="1"/>
  <c r="B107" i="1"/>
  <c r="B106" i="1"/>
  <c r="B74" i="1"/>
  <c r="B73" i="1"/>
  <c r="B14" i="1"/>
  <c r="B19" i="1" s="1"/>
  <c r="B5" i="1"/>
  <c r="B6" i="1"/>
  <c r="B7" i="1"/>
  <c r="B8" i="1"/>
  <c r="B4" i="1"/>
  <c r="E59" i="2"/>
  <c r="B109" i="1"/>
  <c r="B93" i="1"/>
  <c r="B92" i="1"/>
  <c r="B91" i="1"/>
  <c r="B90" i="1"/>
  <c r="B89" i="1"/>
  <c r="B17" i="1"/>
  <c r="E40" i="2"/>
  <c r="E37" i="2"/>
  <c r="E33" i="2"/>
  <c r="E27" i="2"/>
  <c r="B27" i="2"/>
  <c r="B23" i="2"/>
  <c r="B28" i="2" s="1"/>
  <c r="B15" i="2"/>
  <c r="B16" i="2" s="1"/>
  <c r="B18" i="1" l="1"/>
  <c r="E44" i="2"/>
  <c r="B94" i="1" l="1"/>
  <c r="F175" i="1" l="1"/>
  <c r="F166" i="1"/>
  <c r="F146" i="1"/>
  <c r="F140" i="1"/>
  <c r="G132" i="1"/>
  <c r="G131" i="1"/>
  <c r="E130" i="1"/>
  <c r="E129" i="1"/>
  <c r="F126" i="1"/>
  <c r="F125" i="1"/>
  <c r="G120" i="1" s="1"/>
  <c r="J117" i="1"/>
  <c r="J116" i="1"/>
  <c r="I108" i="1"/>
  <c r="H108" i="1"/>
  <c r="G108" i="1"/>
  <c r="G115" i="1" l="1"/>
  <c r="G127" i="1" s="1"/>
  <c r="F147" i="1"/>
  <c r="G118" i="1" l="1"/>
  <c r="G121" i="1" s="1"/>
  <c r="G122" i="1" s="1"/>
  <c r="G123" i="1" s="1"/>
  <c r="G124" i="1" s="1"/>
  <c r="G125" i="1" s="1"/>
  <c r="H120" i="1" s="1"/>
  <c r="G126" i="1" l="1"/>
  <c r="H115" i="1" l="1"/>
  <c r="H118" i="1" l="1"/>
  <c r="H121" i="1" s="1"/>
  <c r="H122" i="1" s="1"/>
  <c r="H127" i="1"/>
  <c r="H123" i="1" l="1"/>
  <c r="H124" i="1" s="1"/>
  <c r="H125" i="1" s="1"/>
  <c r="I120" i="1" s="1"/>
  <c r="H126" i="1" l="1"/>
  <c r="I115" i="1" l="1"/>
  <c r="F149" i="1" s="1"/>
  <c r="F150" i="1" s="1"/>
  <c r="F151" i="1" l="1"/>
  <c r="F171" i="1" s="1"/>
  <c r="I118" i="1"/>
  <c r="I121" i="1" s="1"/>
  <c r="I122" i="1" s="1"/>
  <c r="I127" i="1"/>
  <c r="F152" i="1" l="1"/>
  <c r="F178" i="1" s="1"/>
  <c r="F179" i="1" s="1"/>
  <c r="I123" i="1"/>
  <c r="I124" i="1" s="1"/>
  <c r="I125" i="1" s="1"/>
  <c r="F158" i="1" s="1"/>
  <c r="F170" i="1" l="1"/>
  <c r="F172" i="1" s="1"/>
  <c r="F176" i="1" s="1"/>
  <c r="F181" i="1" s="1"/>
  <c r="I126" i="1"/>
  <c r="F159" i="1" l="1"/>
  <c r="F163" i="1" s="1"/>
  <c r="F167" i="1" s="1"/>
  <c r="K1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Gonzalo Chavez</author>
  </authors>
  <commentList>
    <comment ref="D52" authorId="0" shapeId="0" xr:uid="{22727C7E-40D0-447D-A463-7861F9327F43}">
      <text>
        <r>
          <rPr>
            <b/>
            <sz val="9"/>
            <color indexed="81"/>
            <rFont val="Tahoma"/>
            <family val="2"/>
          </rPr>
          <t>Gonzalo Chavez:</t>
        </r>
        <r>
          <rPr>
            <sz val="9"/>
            <color indexed="81"/>
            <rFont val="Tahoma"/>
            <family val="2"/>
          </rPr>
          <t xml:space="preserve">
Payments occur the month after</t>
        </r>
      </text>
    </comment>
    <comment ref="K52" authorId="0" shapeId="0" xr:uid="{D39E01F7-0379-4A92-9261-C6A45569702D}">
      <text>
        <r>
          <rPr>
            <b/>
            <sz val="9"/>
            <color indexed="81"/>
            <rFont val="Tahoma"/>
            <family val="2"/>
          </rPr>
          <t>Gonzalo Chavez:</t>
        </r>
        <r>
          <rPr>
            <sz val="9"/>
            <color indexed="81"/>
            <rFont val="Tahoma"/>
            <family val="2"/>
          </rPr>
          <t xml:space="preserve">
End of June Accounts Payable</t>
        </r>
      </text>
    </comment>
    <comment ref="D60" authorId="0" shapeId="0" xr:uid="{6B8C6370-8C8D-48EE-956F-507F9B141C6B}">
      <text>
        <r>
          <rPr>
            <b/>
            <sz val="9"/>
            <color indexed="81"/>
            <rFont val="Tahoma"/>
            <family val="2"/>
          </rPr>
          <t>Gonzalo Chavez:</t>
        </r>
        <r>
          <rPr>
            <sz val="9"/>
            <color indexed="81"/>
            <rFont val="Tahoma"/>
            <family val="2"/>
          </rPr>
          <t xml:space="preserve">
Payments made same month</t>
        </r>
      </text>
    </comment>
    <comment ref="D69" authorId="0" shapeId="0" xr:uid="{FD1B5707-EE94-4157-A61D-B7D441095CAF}">
      <text>
        <r>
          <rPr>
            <b/>
            <sz val="9"/>
            <color indexed="81"/>
            <rFont val="Tahoma"/>
            <family val="2"/>
          </rPr>
          <t>Gonzalo Chavez:</t>
        </r>
        <r>
          <rPr>
            <sz val="9"/>
            <color indexed="81"/>
            <rFont val="Tahoma"/>
            <family val="2"/>
          </rPr>
          <t xml:space="preserve">
Payment made same month
</t>
        </r>
      </text>
    </comment>
    <comment ref="G114" authorId="0" shapeId="0" xr:uid="{2BCFEA95-4E92-4121-B5E9-334AA4CDBB06}">
      <text>
        <r>
          <rPr>
            <b/>
            <sz val="9"/>
            <color indexed="81"/>
            <rFont val="Tahoma"/>
            <family val="2"/>
          </rPr>
          <t>Gonzalo Chavez:</t>
        </r>
        <r>
          <rPr>
            <sz val="9"/>
            <color indexed="81"/>
            <rFont val="Tahoma"/>
            <family val="2"/>
          </rPr>
          <t xml:space="preserve">
Includes interest payment on LTD
</t>
        </r>
      </text>
    </comment>
    <comment ref="F174" authorId="0" shapeId="0" xr:uid="{570818F8-C787-4F88-AE0F-275085B6CF1F}">
      <text>
        <r>
          <rPr>
            <b/>
            <sz val="9"/>
            <color indexed="81"/>
            <rFont val="Tahoma"/>
            <family val="2"/>
          </rPr>
          <t>Gonzalo Chavez:</t>
        </r>
        <r>
          <rPr>
            <sz val="9"/>
            <color indexed="81"/>
            <rFont val="Tahoma"/>
            <family val="2"/>
          </rPr>
          <t xml:space="preserve">
No principal payments during the period</t>
        </r>
      </text>
    </comment>
  </commentList>
</comments>
</file>

<file path=xl/sharedStrings.xml><?xml version="1.0" encoding="utf-8"?>
<sst xmlns="http://schemas.openxmlformats.org/spreadsheetml/2006/main" count="421" uniqueCount="266">
  <si>
    <t xml:space="preserve">A.Revenue </t>
  </si>
  <si>
    <t>Manufacturing Company</t>
  </si>
  <si>
    <t xml:space="preserve"> </t>
  </si>
  <si>
    <t>Unit sales</t>
  </si>
  <si>
    <t>Schedule A.Revenue Budget</t>
  </si>
  <si>
    <t>March</t>
  </si>
  <si>
    <t>Quarter Ending June 2022</t>
  </si>
  <si>
    <t>April</t>
  </si>
  <si>
    <t xml:space="preserve">May </t>
  </si>
  <si>
    <t xml:space="preserve">June </t>
  </si>
  <si>
    <t>July</t>
  </si>
  <si>
    <t xml:space="preserve">Total </t>
  </si>
  <si>
    <t>May</t>
  </si>
  <si>
    <t>Forecasted Unit Sales</t>
  </si>
  <si>
    <t>June</t>
  </si>
  <si>
    <t>Price per Unit</t>
  </si>
  <si>
    <t>Total Gross sales</t>
  </si>
  <si>
    <t>Discounts &amp; Allowances</t>
  </si>
  <si>
    <t>Average Selling Price</t>
  </si>
  <si>
    <t>Total Net Revenues</t>
  </si>
  <si>
    <t xml:space="preserve">B.Collections* </t>
  </si>
  <si>
    <t>Cash Sales</t>
  </si>
  <si>
    <t>Schedule B. Cash Collections Budget</t>
  </si>
  <si>
    <t>Credit Sales</t>
  </si>
  <si>
    <t>% credit sales collected 1-month later</t>
  </si>
  <si>
    <t>% credit sales Collected 2-months later</t>
  </si>
  <si>
    <t>% total sales in cash</t>
  </si>
  <si>
    <t>Revenues ($)</t>
  </si>
  <si>
    <t>% total sales collected 1 month later</t>
  </si>
  <si>
    <t>Cash Collection</t>
  </si>
  <si>
    <t>% total sales collected 2-months later</t>
  </si>
  <si>
    <t>First Month Collection</t>
  </si>
  <si>
    <t>Second Month Collection</t>
  </si>
  <si>
    <t>Total Collection</t>
  </si>
  <si>
    <t xml:space="preserve">C. Ending Finished Goods Inventory </t>
  </si>
  <si>
    <t>Target end FG invent units (% of next month's sales)</t>
  </si>
  <si>
    <t>Average Unit Cost Finished Goods per Unit</t>
  </si>
  <si>
    <t>Sales (units)</t>
  </si>
  <si>
    <t>Ending FG Inv (units)</t>
  </si>
  <si>
    <t>D Production</t>
  </si>
  <si>
    <t>No additional assumptions. See worksheet.</t>
  </si>
  <si>
    <t>Schedule D. Production Budget</t>
  </si>
  <si>
    <t>Forecasted Unit Sales (units)</t>
  </si>
  <si>
    <t>Planned FG Ending Inventory (units)</t>
  </si>
  <si>
    <t>Total Production Required (units)</t>
  </si>
  <si>
    <t>Beginning Inventory</t>
  </si>
  <si>
    <t>Units to be produced</t>
  </si>
  <si>
    <t xml:space="preserve">E. Direct Materials </t>
  </si>
  <si>
    <t>Pounds of Material per Unit</t>
  </si>
  <si>
    <t xml:space="preserve">Schedule E. Direct Materials Budget </t>
  </si>
  <si>
    <t xml:space="preserve">Target Ending Materials Inventory as % of next month's(lbs) </t>
  </si>
  <si>
    <t>End of June assumed Ending Direct Materials (lbs)</t>
  </si>
  <si>
    <t>Cost per pound of Direct Material</t>
  </si>
  <si>
    <t>Direct materials required (lbs)</t>
  </si>
  <si>
    <t>Purchases payments occur</t>
  </si>
  <si>
    <t>Following month</t>
  </si>
  <si>
    <t>Ending Inv of Direct Materials (lbs)</t>
  </si>
  <si>
    <t>End of March Accounts Payable</t>
  </si>
  <si>
    <t>Total Direct Materials (lbs)</t>
  </si>
  <si>
    <t>Beginning Raw Materials (lbs)</t>
  </si>
  <si>
    <t>Direct Materials To be Purchased (lbs)</t>
  </si>
  <si>
    <t>Cost of Direct Materials</t>
  </si>
  <si>
    <t xml:space="preserve">Budgeted Payments for Direct Materials </t>
  </si>
  <si>
    <t>F. Direct Labor</t>
  </si>
  <si>
    <t>Labor Hours per unit</t>
  </si>
  <si>
    <t xml:space="preserve">Schedule F. Direct Labor Budget </t>
  </si>
  <si>
    <t>Hourly labor wage</t>
  </si>
  <si>
    <t>Units to be produced (units)</t>
  </si>
  <si>
    <t>Hours of labor needed (hrs)</t>
  </si>
  <si>
    <t>Total Budgeted Direct Labor Cost</t>
  </si>
  <si>
    <t>G. Manufacturing Overhead</t>
  </si>
  <si>
    <t>Variable Overhead per Direct Labor Hour ($)</t>
  </si>
  <si>
    <t xml:space="preserve">Schedule G. Manufacturing Overhead Budget </t>
  </si>
  <si>
    <t>Fixed overhead (given = depreciation)</t>
  </si>
  <si>
    <t>Fixed overhead per unit</t>
  </si>
  <si>
    <t>Direct Labor Hours Needed</t>
  </si>
  <si>
    <t>Budgeted Variable Overhead ($)</t>
  </si>
  <si>
    <t>Budgeted Fixed Overhead ($)</t>
  </si>
  <si>
    <t>Total Budgeted Manufacturing Overhead</t>
  </si>
  <si>
    <t>H. Sales and Marketing</t>
  </si>
  <si>
    <t>Sales Commissions (% of Revenues)</t>
  </si>
  <si>
    <t xml:space="preserve">Schedule H. Sales and Marketing Budget </t>
  </si>
  <si>
    <t>Sales Manager Salary (April)</t>
  </si>
  <si>
    <t>Sales Manager Salary (May and forward)</t>
  </si>
  <si>
    <t>Budgeted Revenues</t>
  </si>
  <si>
    <t>Sales Commissions</t>
  </si>
  <si>
    <t>Sales Manager Salary</t>
  </si>
  <si>
    <t>I. Administration</t>
  </si>
  <si>
    <t>General &amp; Administrative Monthly Expense (given)</t>
  </si>
  <si>
    <t>Schedule I. Administration</t>
  </si>
  <si>
    <t>Monthly Interest on Long-Term Note</t>
  </si>
  <si>
    <t>Outstanding balance</t>
  </si>
  <si>
    <t>Monthly Interest rate</t>
  </si>
  <si>
    <t>General Administrative Expense</t>
  </si>
  <si>
    <t>Monthly Interest on loan</t>
  </si>
  <si>
    <t>Interest on loan</t>
  </si>
  <si>
    <t>Total Budgeted Administration Expenses</t>
  </si>
  <si>
    <t>J. Cost of Goods Sold Compilation</t>
  </si>
  <si>
    <t xml:space="preserve">Schedule J. Cost of Goods Sold Budget </t>
  </si>
  <si>
    <t>Forecasted Unit to be sold</t>
  </si>
  <si>
    <t>Direct Materials ($)</t>
  </si>
  <si>
    <t>Labor ($)</t>
  </si>
  <si>
    <t>Variable overhead ($)</t>
  </si>
  <si>
    <t>Fixed overhead ($)</t>
  </si>
  <si>
    <t>Cost of Goods Sold ($)</t>
  </si>
  <si>
    <t>Data for Cash Budget &amp; Statements</t>
  </si>
  <si>
    <t>Beginning April Cash Balance (end of March Cash)</t>
  </si>
  <si>
    <t>Cash Budget</t>
  </si>
  <si>
    <t>Minimum Cash Balance</t>
  </si>
  <si>
    <t>Item</t>
  </si>
  <si>
    <t>Source</t>
  </si>
  <si>
    <t>Total (April-June)</t>
  </si>
  <si>
    <t>Maximum Acceptable Cash Balance</t>
  </si>
  <si>
    <t>Collections</t>
  </si>
  <si>
    <t>Collection from Customers</t>
  </si>
  <si>
    <t>Schedule B</t>
  </si>
  <si>
    <t>Total Collections</t>
  </si>
  <si>
    <t>Beginning Loan Balance</t>
  </si>
  <si>
    <t>Less Cash Disbursements:</t>
  </si>
  <si>
    <t>Equipment Purchase in June</t>
  </si>
  <si>
    <t>Payment for Direct Materials</t>
  </si>
  <si>
    <t>Schedule E</t>
  </si>
  <si>
    <t>May Dividend Payment</t>
  </si>
  <si>
    <t>Payment for Direct Labor</t>
  </si>
  <si>
    <t>Schedule F</t>
  </si>
  <si>
    <t>Product Cost per Unit (COGS)</t>
  </si>
  <si>
    <t>Schedule G</t>
  </si>
  <si>
    <t>Income tax rate</t>
  </si>
  <si>
    <t>Sales &amp; Marketing</t>
  </si>
  <si>
    <t>Schedule H</t>
  </si>
  <si>
    <t>Administration Expenses</t>
  </si>
  <si>
    <t>Schedule I</t>
  </si>
  <si>
    <t>Short-term interest expense (income)</t>
  </si>
  <si>
    <t>Equipment Purchase</t>
  </si>
  <si>
    <t>Given</t>
  </si>
  <si>
    <t>Dividend Payment</t>
  </si>
  <si>
    <t>Total Disbursements</t>
  </si>
  <si>
    <t>Beginning Cash Balance</t>
  </si>
  <si>
    <t>Balance Sheet</t>
  </si>
  <si>
    <t>Collections - Disbursements</t>
  </si>
  <si>
    <t>Unadjusted balance</t>
  </si>
  <si>
    <t>Current borrowing</t>
  </si>
  <si>
    <t>Current Investing</t>
  </si>
  <si>
    <t>Ending Cash Balance</t>
  </si>
  <si>
    <t>Cumulative borrowing (investing)</t>
  </si>
  <si>
    <t>Cumulative Interest Expense (Income)</t>
  </si>
  <si>
    <t>Min Acceptable Cash</t>
  </si>
  <si>
    <t>Max Acceptable Cash</t>
  </si>
  <si>
    <t>Borrowing rate</t>
  </si>
  <si>
    <t>Monthly</t>
  </si>
  <si>
    <t>Lending rate</t>
  </si>
  <si>
    <t>Budgeted Income Satement</t>
  </si>
  <si>
    <t>For Quarter Ending June  2022</t>
  </si>
  <si>
    <t xml:space="preserve">Sales </t>
  </si>
  <si>
    <t>Schedule A</t>
  </si>
  <si>
    <t>Cost of Goods Sold</t>
  </si>
  <si>
    <t>Schedule J</t>
  </si>
  <si>
    <t>Gross Profit</t>
  </si>
  <si>
    <t>Operating Expenses</t>
  </si>
  <si>
    <t>Commissions</t>
  </si>
  <si>
    <t>Manager Salary</t>
  </si>
  <si>
    <t>Administrative</t>
  </si>
  <si>
    <t>Long-term Loan interest expense</t>
  </si>
  <si>
    <t>Total Operating Expenses</t>
  </si>
  <si>
    <t>Income from Operations</t>
  </si>
  <si>
    <t>Interest Expense</t>
  </si>
  <si>
    <t>Interest Income</t>
  </si>
  <si>
    <t>Net Income before taxes</t>
  </si>
  <si>
    <t>Income Taxes</t>
  </si>
  <si>
    <t>Budgeted Balance Sheet</t>
  </si>
  <si>
    <t>For Quarter Ending June 2022</t>
  </si>
  <si>
    <t>ASSETS</t>
  </si>
  <si>
    <t>Cash</t>
  </si>
  <si>
    <t>Cash &amp; Capex Budget</t>
  </si>
  <si>
    <t>Marketable Securities</t>
  </si>
  <si>
    <t>Accounts Receivable</t>
  </si>
  <si>
    <t>Finished Goods Inventory</t>
  </si>
  <si>
    <t>Schedule C</t>
  </si>
  <si>
    <t>Direct Materials Inventory</t>
  </si>
  <si>
    <t>Total Current Assets</t>
  </si>
  <si>
    <t>Fixed Assets</t>
  </si>
  <si>
    <t>Previous + new equip from Cash Budget</t>
  </si>
  <si>
    <t>Accumulated Depreciation</t>
  </si>
  <si>
    <t>Previous + Schedule G</t>
  </si>
  <si>
    <t>Total Long Term Assets</t>
  </si>
  <si>
    <t>Total Assets</t>
  </si>
  <si>
    <t>LIABILITIES AND SHAREHOLDER'S EQUITY</t>
  </si>
  <si>
    <t>Accounts Payable</t>
  </si>
  <si>
    <t>Loan Payable</t>
  </si>
  <si>
    <t>Income Tax payable</t>
  </si>
  <si>
    <t>Income Statement</t>
  </si>
  <si>
    <t>Total Current Liabilities</t>
  </si>
  <si>
    <t>Long-Tern Note Payable</t>
  </si>
  <si>
    <t>March balance sheet</t>
  </si>
  <si>
    <t>Long-Term Liabilities</t>
  </si>
  <si>
    <t>Total Liabilities</t>
  </si>
  <si>
    <t>Common Stock</t>
  </si>
  <si>
    <t>Retained Earnings</t>
  </si>
  <si>
    <t>Beginning RE+NI-Div</t>
  </si>
  <si>
    <t>Total Shareholder's Equity</t>
  </si>
  <si>
    <t>Total Liabilities and Shareholder's Equity</t>
  </si>
  <si>
    <t>Balance Sheet as of March 31st 2022</t>
  </si>
  <si>
    <t>Budgeted Sales in Units</t>
  </si>
  <si>
    <t>Assets</t>
  </si>
  <si>
    <t>March (Actual)</t>
  </si>
  <si>
    <t>Raw Materials Inventory</t>
  </si>
  <si>
    <t>Equipment</t>
  </si>
  <si>
    <t>Sales-related Data</t>
  </si>
  <si>
    <t>Selling Price Per Unit</t>
  </si>
  <si>
    <t>Credit Sales (Collected in full next month)</t>
  </si>
  <si>
    <t>Liabilities</t>
  </si>
  <si>
    <t>Sales Commission (Monthly)</t>
  </si>
  <si>
    <t>Sales Manager Monthly Salary in April</t>
  </si>
  <si>
    <t>Long-Term Note Payable</t>
  </si>
  <si>
    <t>Direct Materials Data</t>
  </si>
  <si>
    <t>Equity</t>
  </si>
  <si>
    <t>Target Direct Materials Ending Inventory as % of next month's direct materials (units)</t>
  </si>
  <si>
    <t>Pounds of Direct Material needed per unit (lbs.)</t>
  </si>
  <si>
    <t>Direct Materials cost per lb</t>
  </si>
  <si>
    <t>Total Equity</t>
  </si>
  <si>
    <t xml:space="preserve">Direct Materials Unit Cost </t>
  </si>
  <si>
    <t>Total Liabilities &amp; Equity</t>
  </si>
  <si>
    <t>Direct Materials purchases are on account paid in full the next month</t>
  </si>
  <si>
    <t>Direct Labor Data</t>
  </si>
  <si>
    <t>Direct Labor Hours Required Per Unit (hrs)</t>
  </si>
  <si>
    <t>Cost Per Direct Labor Hour</t>
  </si>
  <si>
    <t xml:space="preserve">Direct Labor Unit Cost </t>
  </si>
  <si>
    <t>Manufacturing Overhead Data</t>
  </si>
  <si>
    <t>Variable Overhead Rate Per Direct Labor Hour</t>
  </si>
  <si>
    <t>Variable Overhead Unit Cost (.25 labor hours x $3.60/overhead)</t>
  </si>
  <si>
    <t>Fixed Overhead = Depreciation Expense per month</t>
  </si>
  <si>
    <t>Expected Units of Production per month</t>
  </si>
  <si>
    <t>Fixed Overhead Per Unit</t>
  </si>
  <si>
    <t>Other Data &amp; Expenses</t>
  </si>
  <si>
    <t>Monthly target Finished Goods Inventory as % of next month's sales</t>
  </si>
  <si>
    <t>Product Cost Per Finished Unit (calculated as sum of manufacturing unit costs)</t>
  </si>
  <si>
    <t>General &amp; Adminstrative Monthly Expense</t>
  </si>
  <si>
    <t>Equipment purchase in June</t>
  </si>
  <si>
    <t>March 31st &amp; June 30th Selected Data</t>
  </si>
  <si>
    <t>Financial Data</t>
  </si>
  <si>
    <t>Minimum Cash ending balance</t>
  </si>
  <si>
    <t>Maximum Cash ending balance</t>
  </si>
  <si>
    <t>Sales Manager Monthly Salary May onward</t>
  </si>
  <si>
    <t>Materials Inventory for June 30th (units)</t>
  </si>
  <si>
    <t>Income tax rate in the quarter, no monthly payment necessary</t>
  </si>
  <si>
    <t>May scheduled Dividend Payment</t>
  </si>
  <si>
    <t>Payment for Variable Manufact. Overhead</t>
  </si>
  <si>
    <t>Total Budgeted Sales &amp; Marketing Expenses</t>
  </si>
  <si>
    <t>Do not edit</t>
  </si>
  <si>
    <t>Long-Term Note annual interest rate</t>
  </si>
  <si>
    <t>Short-term Loan annual interest rate</t>
  </si>
  <si>
    <t>Short-term Investments annual interest rate</t>
  </si>
  <si>
    <t>Short-term borrowing rate</t>
  </si>
  <si>
    <t>Short-term lending rate</t>
  </si>
  <si>
    <t>Pending Loan Balance</t>
  </si>
  <si>
    <t>AR at end of June</t>
  </si>
  <si>
    <t>Max</t>
  </si>
  <si>
    <t>$K$126</t>
  </si>
  <si>
    <t>Created by Suraj Udasi on 11/18/2022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</si>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</sst>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&quot;$&quot;* #,##0_);_(&quot;$&quot;* \(#,##0\);_(&quot;$&quot;* &quot;-&quot;??_);_(@_)"/>
    <numFmt numFmtId="166" formatCode="&quot;$&quot;#,##0.00"/>
    <numFmt numFmtId="167" formatCode="&quot;$&quot;#,##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9">
    <xf numFmtId="0" fontId="0" fillId="0" borderId="0" xfId="0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65" fontId="0" fillId="0" borderId="0" xfId="2" applyNumberFormat="1" applyFont="1" applyFill="1" applyBorder="1"/>
    <xf numFmtId="0" fontId="4" fillId="0" borderId="0" xfId="0" applyFont="1"/>
    <xf numFmtId="0" fontId="2" fillId="0" borderId="0" xfId="0" applyFont="1"/>
    <xf numFmtId="6" fontId="0" fillId="0" borderId="0" xfId="0" applyNumberFormat="1"/>
    <xf numFmtId="6" fontId="3" fillId="2" borderId="0" xfId="0" applyNumberFormat="1" applyFont="1" applyFill="1"/>
    <xf numFmtId="9" fontId="0" fillId="0" borderId="0" xfId="0" applyNumberFormat="1"/>
    <xf numFmtId="6" fontId="3" fillId="3" borderId="0" xfId="0" applyNumberFormat="1" applyFont="1" applyFill="1"/>
    <xf numFmtId="0" fontId="3" fillId="0" borderId="7" xfId="0" applyFont="1" applyBorder="1"/>
    <xf numFmtId="6" fontId="4" fillId="3" borderId="7" xfId="0" applyNumberFormat="1" applyFont="1" applyFill="1" applyBorder="1"/>
    <xf numFmtId="6" fontId="0" fillId="0" borderId="7" xfId="0" applyNumberFormat="1" applyBorder="1"/>
    <xf numFmtId="0" fontId="4" fillId="0" borderId="5" xfId="0" applyFont="1" applyBorder="1" applyAlignment="1">
      <alignment wrapText="1"/>
    </xf>
    <xf numFmtId="164" fontId="3" fillId="2" borderId="0" xfId="0" applyNumberFormat="1" applyFont="1" applyFill="1"/>
    <xf numFmtId="164" fontId="3" fillId="0" borderId="0" xfId="0" applyNumberFormat="1" applyFont="1"/>
    <xf numFmtId="0" fontId="3" fillId="0" borderId="5" xfId="0" applyFont="1" applyBorder="1"/>
    <xf numFmtId="164" fontId="3" fillId="4" borderId="0" xfId="0" applyNumberFormat="1" applyFont="1" applyFill="1"/>
    <xf numFmtId="164" fontId="3" fillId="4" borderId="0" xfId="1" applyNumberFormat="1" applyFont="1" applyFill="1" applyBorder="1"/>
    <xf numFmtId="164" fontId="3" fillId="0" borderId="5" xfId="0" applyNumberFormat="1" applyFont="1" applyBorder="1"/>
    <xf numFmtId="164" fontId="3" fillId="0" borderId="7" xfId="0" applyNumberFormat="1" applyFont="1" applyBorder="1"/>
    <xf numFmtId="166" fontId="3" fillId="0" borderId="7" xfId="1" applyNumberFormat="1" applyFont="1" applyFill="1" applyBorder="1"/>
    <xf numFmtId="164" fontId="3" fillId="0" borderId="8" xfId="0" applyNumberFormat="1" applyFont="1" applyBorder="1"/>
    <xf numFmtId="164" fontId="3" fillId="3" borderId="0" xfId="0" applyNumberFormat="1" applyFont="1" applyFill="1"/>
    <xf numFmtId="164" fontId="4" fillId="3" borderId="7" xfId="0" applyNumberFormat="1" applyFont="1" applyFill="1" applyBorder="1"/>
    <xf numFmtId="6" fontId="3" fillId="0" borderId="7" xfId="0" applyNumberFormat="1" applyFont="1" applyBorder="1"/>
    <xf numFmtId="6" fontId="3" fillId="0" borderId="5" xfId="0" applyNumberFormat="1" applyFont="1" applyBorder="1"/>
    <xf numFmtId="164" fontId="3" fillId="5" borderId="0" xfId="0" applyNumberFormat="1" applyFont="1" applyFill="1"/>
    <xf numFmtId="167" fontId="3" fillId="5" borderId="0" xfId="0" applyNumberFormat="1" applyFont="1" applyFill="1"/>
    <xf numFmtId="167" fontId="3" fillId="0" borderId="0" xfId="0" applyNumberFormat="1" applyFont="1"/>
    <xf numFmtId="167" fontId="4" fillId="0" borderId="5" xfId="0" applyNumberFormat="1" applyFont="1" applyBorder="1"/>
    <xf numFmtId="167" fontId="4" fillId="5" borderId="7" xfId="0" applyNumberFormat="1" applyFont="1" applyFill="1" applyBorder="1"/>
    <xf numFmtId="167" fontId="3" fillId="5" borderId="9" xfId="0" applyNumberFormat="1" applyFont="1" applyFill="1" applyBorder="1"/>
    <xf numFmtId="167" fontId="3" fillId="0" borderId="7" xfId="0" applyNumberFormat="1" applyFont="1" applyBorder="1"/>
    <xf numFmtId="167" fontId="4" fillId="0" borderId="8" xfId="0" applyNumberFormat="1" applyFont="1" applyBorder="1"/>
    <xf numFmtId="0" fontId="3" fillId="0" borderId="4" xfId="0" applyFont="1" applyBorder="1"/>
    <xf numFmtId="6" fontId="3" fillId="0" borderId="0" xfId="0" applyNumberFormat="1" applyFont="1"/>
    <xf numFmtId="164" fontId="3" fillId="5" borderId="0" xfId="1" applyNumberFormat="1" applyFont="1" applyFill="1" applyBorder="1"/>
    <xf numFmtId="6" fontId="4" fillId="5" borderId="7" xfId="0" applyNumberFormat="1" applyFont="1" applyFill="1" applyBorder="1"/>
    <xf numFmtId="166" fontId="3" fillId="0" borderId="8" xfId="0" applyNumberFormat="1" applyFont="1" applyBorder="1" applyAlignment="1">
      <alignment horizontal="left" indent="6"/>
    </xf>
    <xf numFmtId="6" fontId="2" fillId="0" borderId="0" xfId="0" applyNumberFormat="1" applyFont="1"/>
    <xf numFmtId="167" fontId="3" fillId="5" borderId="0" xfId="1" applyNumberFormat="1" applyFont="1" applyFill="1" applyBorder="1"/>
    <xf numFmtId="6" fontId="4" fillId="0" borderId="5" xfId="0" applyNumberFormat="1" applyFont="1" applyBorder="1"/>
    <xf numFmtId="6" fontId="3" fillId="5" borderId="0" xfId="0" applyNumberFormat="1" applyFont="1" applyFill="1"/>
    <xf numFmtId="6" fontId="4" fillId="5" borderId="5" xfId="0" applyNumberFormat="1" applyFont="1" applyFill="1" applyBorder="1"/>
    <xf numFmtId="6" fontId="4" fillId="0" borderId="8" xfId="0" applyNumberFormat="1" applyFont="1" applyBorder="1"/>
    <xf numFmtId="167" fontId="3" fillId="6" borderId="0" xfId="1" applyNumberFormat="1" applyFont="1" applyFill="1" applyBorder="1"/>
    <xf numFmtId="6" fontId="4" fillId="6" borderId="5" xfId="0" applyNumberFormat="1" applyFont="1" applyFill="1" applyBorder="1"/>
    <xf numFmtId="6" fontId="3" fillId="6" borderId="0" xfId="0" applyNumberFormat="1" applyFont="1" applyFill="1"/>
    <xf numFmtId="6" fontId="4" fillId="6" borderId="7" xfId="0" applyNumberFormat="1" applyFont="1" applyFill="1" applyBorder="1"/>
    <xf numFmtId="166" fontId="3" fillId="6" borderId="0" xfId="0" applyNumberFormat="1" applyFont="1" applyFill="1"/>
    <xf numFmtId="6" fontId="3" fillId="6" borderId="5" xfId="0" applyNumberFormat="1" applyFont="1" applyFill="1" applyBorder="1"/>
    <xf numFmtId="166" fontId="4" fillId="6" borderId="7" xfId="0" applyNumberFormat="1" applyFont="1" applyFill="1" applyBorder="1"/>
    <xf numFmtId="164" fontId="4" fillId="0" borderId="0" xfId="0" applyNumberFormat="1" applyFont="1"/>
    <xf numFmtId="6" fontId="4" fillId="0" borderId="0" xfId="0" applyNumberFormat="1" applyFont="1"/>
    <xf numFmtId="166" fontId="4" fillId="6" borderId="8" xfId="0" applyNumberFormat="1" applyFont="1" applyFill="1" applyBorder="1"/>
    <xf numFmtId="0" fontId="3" fillId="0" borderId="4" xfId="0" applyFont="1" applyBorder="1" applyAlignment="1">
      <alignment horizontal="left" vertical="center"/>
    </xf>
    <xf numFmtId="0" fontId="4" fillId="0" borderId="4" xfId="0" applyFont="1" applyBorder="1"/>
    <xf numFmtId="0" fontId="3" fillId="0" borderId="1" xfId="0" applyFont="1" applyBorder="1"/>
    <xf numFmtId="164" fontId="3" fillId="8" borderId="3" xfId="0" applyNumberFormat="1" applyFont="1" applyFill="1" applyBorder="1"/>
    <xf numFmtId="6" fontId="3" fillId="9" borderId="5" xfId="0" applyNumberFormat="1" applyFont="1" applyFill="1" applyBorder="1"/>
    <xf numFmtId="0" fontId="4" fillId="0" borderId="6" xfId="0" applyFont="1" applyBorder="1"/>
    <xf numFmtId="0" fontId="4" fillId="0" borderId="10" xfId="0" applyFont="1" applyBorder="1"/>
    <xf numFmtId="0" fontId="3" fillId="0" borderId="4" xfId="0" applyFont="1" applyBorder="1" applyAlignment="1">
      <alignment horizontal="left" indent="1"/>
    </xf>
    <xf numFmtId="0" fontId="4" fillId="0" borderId="4" xfId="0" applyFont="1" applyBorder="1" applyAlignment="1">
      <alignment horizontal="left"/>
    </xf>
    <xf numFmtId="165" fontId="4" fillId="0" borderId="5" xfId="0" applyNumberFormat="1" applyFont="1" applyBorder="1"/>
    <xf numFmtId="0" fontId="4" fillId="0" borderId="4" xfId="0" applyFont="1" applyBorder="1" applyAlignment="1">
      <alignment horizontal="left" vertical="center"/>
    </xf>
    <xf numFmtId="167" fontId="3" fillId="0" borderId="5" xfId="0" applyNumberFormat="1" applyFont="1" applyBorder="1"/>
    <xf numFmtId="165" fontId="3" fillId="0" borderId="5" xfId="2" applyNumberFormat="1" applyFont="1" applyBorder="1"/>
    <xf numFmtId="0" fontId="0" fillId="4" borderId="0" xfId="0" applyFill="1"/>
    <xf numFmtId="164" fontId="0" fillId="4" borderId="0" xfId="1" applyNumberFormat="1" applyFont="1" applyFill="1"/>
    <xf numFmtId="165" fontId="0" fillId="0" borderId="0" xfId="2" applyNumberFormat="1" applyFont="1" applyBorder="1"/>
    <xf numFmtId="0" fontId="7" fillId="4" borderId="0" xfId="0" applyFont="1" applyFill="1"/>
    <xf numFmtId="164" fontId="7" fillId="4" borderId="0" xfId="1" applyNumberFormat="1" applyFont="1" applyFill="1"/>
    <xf numFmtId="0" fontId="2" fillId="0" borderId="0" xfId="0" applyFont="1" applyAlignment="1">
      <alignment horizontal="center"/>
    </xf>
    <xf numFmtId="165" fontId="0" fillId="0" borderId="11" xfId="2" applyNumberFormat="1" applyFont="1" applyBorder="1"/>
    <xf numFmtId="165" fontId="2" fillId="0" borderId="0" xfId="2" applyNumberFormat="1" applyFont="1" applyBorder="1"/>
    <xf numFmtId="44" fontId="0" fillId="4" borderId="0" xfId="2" applyFont="1" applyFill="1"/>
    <xf numFmtId="165" fontId="0" fillId="0" borderId="0" xfId="0" applyNumberFormat="1"/>
    <xf numFmtId="9" fontId="0" fillId="4" borderId="0" xfId="0" applyNumberFormat="1" applyFill="1"/>
    <xf numFmtId="165" fontId="2" fillId="0" borderId="12" xfId="2" applyNumberFormat="1" applyFont="1" applyBorder="1"/>
    <xf numFmtId="9" fontId="2" fillId="0" borderId="0" xfId="0" applyNumberFormat="1" applyFont="1"/>
    <xf numFmtId="165" fontId="0" fillId="4" borderId="0" xfId="2" applyNumberFormat="1" applyFont="1" applyFill="1"/>
    <xf numFmtId="165" fontId="0" fillId="4" borderId="0" xfId="1" applyNumberFormat="1" applyFont="1" applyFill="1"/>
    <xf numFmtId="44" fontId="0" fillId="0" borderId="0" xfId="2" applyFont="1" applyFill="1"/>
    <xf numFmtId="10" fontId="0" fillId="4" borderId="0" xfId="0" applyNumberFormat="1" applyFill="1"/>
    <xf numFmtId="10" fontId="0" fillId="0" borderId="0" xfId="3" applyNumberFormat="1" applyFont="1"/>
    <xf numFmtId="9" fontId="0" fillId="4" borderId="0" xfId="3" applyFont="1" applyFill="1"/>
    <xf numFmtId="165" fontId="0" fillId="0" borderId="0" xfId="2" applyNumberFormat="1" applyFont="1"/>
    <xf numFmtId="0" fontId="3" fillId="12" borderId="0" xfId="0" applyFont="1" applyFill="1"/>
    <xf numFmtId="6" fontId="3" fillId="12" borderId="0" xfId="0" applyNumberFormat="1" applyFont="1" applyFill="1" applyAlignment="1">
      <alignment horizontal="center" vertical="center"/>
    </xf>
    <xf numFmtId="6" fontId="3" fillId="12" borderId="0" xfId="0" applyNumberFormat="1" applyFont="1" applyFill="1"/>
    <xf numFmtId="38" fontId="3" fillId="12" borderId="0" xfId="0" applyNumberFormat="1" applyFont="1" applyFill="1"/>
    <xf numFmtId="10" fontId="3" fillId="12" borderId="0" xfId="3" applyNumberFormat="1" applyFont="1" applyFill="1" applyBorder="1"/>
    <xf numFmtId="9" fontId="3" fillId="12" borderId="0" xfId="3" applyFont="1" applyFill="1" applyBorder="1"/>
    <xf numFmtId="6" fontId="3" fillId="0" borderId="13" xfId="0" applyNumberFormat="1" applyFont="1" applyBorder="1" applyAlignment="1">
      <alignment horizontal="center" vertical="center"/>
    </xf>
    <xf numFmtId="6" fontId="3" fillId="0" borderId="12" xfId="0" applyNumberFormat="1" applyFont="1" applyBorder="1" applyAlignment="1">
      <alignment horizontal="center" vertical="center"/>
    </xf>
    <xf numFmtId="6" fontId="3" fillId="0" borderId="14" xfId="0" applyNumberFormat="1" applyFont="1" applyBorder="1" applyAlignment="1">
      <alignment horizontal="center" vertical="center"/>
    </xf>
    <xf numFmtId="8" fontId="3" fillId="0" borderId="0" xfId="0" applyNumberFormat="1" applyFont="1"/>
    <xf numFmtId="38" fontId="3" fillId="0" borderId="15" xfId="0" applyNumberFormat="1" applyFont="1" applyBorder="1"/>
    <xf numFmtId="38" fontId="3" fillId="0" borderId="16" xfId="0" applyNumberFormat="1" applyFont="1" applyBorder="1"/>
    <xf numFmtId="6" fontId="3" fillId="0" borderId="16" xfId="0" applyNumberFormat="1" applyFont="1" applyBorder="1"/>
    <xf numFmtId="165" fontId="3" fillId="0" borderId="17" xfId="0" applyNumberFormat="1" applyFont="1" applyBorder="1"/>
    <xf numFmtId="0" fontId="3" fillId="0" borderId="0" xfId="0" applyFont="1" applyAlignment="1">
      <alignment wrapText="1"/>
    </xf>
    <xf numFmtId="165" fontId="3" fillId="0" borderId="15" xfId="2" applyNumberFormat="1" applyFont="1" applyFill="1" applyBorder="1"/>
    <xf numFmtId="6" fontId="3" fillId="10" borderId="17" xfId="0" applyNumberFormat="1" applyFont="1" applyFill="1" applyBorder="1"/>
    <xf numFmtId="6" fontId="3" fillId="11" borderId="15" xfId="0" applyNumberFormat="1" applyFont="1" applyFill="1" applyBorder="1"/>
    <xf numFmtId="165" fontId="3" fillId="9" borderId="16" xfId="2" applyNumberFormat="1" applyFont="1" applyFill="1" applyBorder="1"/>
    <xf numFmtId="165" fontId="3" fillId="9" borderId="17" xfId="2" applyNumberFormat="1" applyFont="1" applyFill="1" applyBorder="1"/>
    <xf numFmtId="6" fontId="3" fillId="0" borderId="18" xfId="0" applyNumberFormat="1" applyFont="1" applyBorder="1"/>
    <xf numFmtId="167" fontId="3" fillId="6" borderId="7" xfId="0" applyNumberFormat="1" applyFont="1" applyFill="1" applyBorder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6" fontId="4" fillId="7" borderId="0" xfId="0" applyNumberFormat="1" applyFont="1" applyFill="1"/>
    <xf numFmtId="165" fontId="3" fillId="5" borderId="0" xfId="0" applyNumberFormat="1" applyFont="1" applyFill="1"/>
    <xf numFmtId="165" fontId="3" fillId="6" borderId="0" xfId="0" applyNumberFormat="1" applyFont="1" applyFill="1"/>
    <xf numFmtId="165" fontId="3" fillId="0" borderId="0" xfId="0" applyNumberFormat="1" applyFont="1"/>
    <xf numFmtId="9" fontId="3" fillId="12" borderId="7" xfId="3" applyFont="1" applyFill="1" applyBorder="1"/>
    <xf numFmtId="10" fontId="3" fillId="12" borderId="7" xfId="3" applyNumberFormat="1" applyFont="1" applyFill="1" applyBorder="1"/>
    <xf numFmtId="0" fontId="3" fillId="12" borderId="7" xfId="0" applyFont="1" applyFill="1" applyBorder="1"/>
    <xf numFmtId="167" fontId="3" fillId="6" borderId="0" xfId="0" applyNumberFormat="1" applyFont="1" applyFill="1"/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13" borderId="0" xfId="0" applyFont="1" applyFill="1"/>
    <xf numFmtId="0" fontId="8" fillId="14" borderId="11" xfId="0" applyFont="1" applyFill="1" applyBorder="1" applyAlignment="1">
      <alignment horizontal="left"/>
    </xf>
    <xf numFmtId="0" fontId="8" fillId="14" borderId="2" xfId="0" applyFont="1" applyFill="1" applyBorder="1" applyAlignment="1">
      <alignment horizontal="left"/>
    </xf>
    <xf numFmtId="0" fontId="0" fillId="0" borderId="12" xfId="0" applyBorder="1"/>
    <xf numFmtId="0" fontId="9" fillId="15" borderId="0" xfId="0" applyFont="1" applyFill="1" applyAlignment="1">
      <alignment horizontal="left"/>
    </xf>
    <xf numFmtId="0" fontId="10" fillId="15" borderId="12" xfId="0" applyFont="1" applyFill="1" applyBorder="1" applyAlignment="1">
      <alignment horizontal="left"/>
    </xf>
    <xf numFmtId="0" fontId="9" fillId="15" borderId="7" xfId="0" applyFont="1" applyFill="1" applyBorder="1" applyAlignment="1">
      <alignment horizontal="left"/>
    </xf>
    <xf numFmtId="0" fontId="11" fillId="14" borderId="2" xfId="0" applyFont="1" applyFill="1" applyBorder="1" applyAlignment="1">
      <alignment horizontal="right"/>
    </xf>
    <xf numFmtId="0" fontId="11" fillId="14" borderId="11" xfId="0" applyFont="1" applyFill="1" applyBorder="1" applyAlignment="1">
      <alignment horizontal="right"/>
    </xf>
    <xf numFmtId="165" fontId="0" fillId="16" borderId="0" xfId="0" applyNumberFormat="1" applyFill="1"/>
    <xf numFmtId="0" fontId="12" fillId="0" borderId="0" xfId="0" applyFont="1" applyAlignment="1">
      <alignment vertical="top" wrapText="1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1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0" xfId="0" applyFont="1" applyFill="1"/>
    <xf numFmtId="164" fontId="13" fillId="2" borderId="0" xfId="1" applyNumberFormat="1" applyFont="1" applyFill="1" applyBorder="1" applyAlignment="1">
      <alignment horizontal="right" vertical="center"/>
    </xf>
    <xf numFmtId="0" fontId="3" fillId="0" borderId="3" xfId="0" applyFont="1" applyBorder="1"/>
    <xf numFmtId="164" fontId="3" fillId="2" borderId="0" xfId="1" applyNumberFormat="1" applyFont="1" applyFill="1" applyBorder="1" applyAlignment="1">
      <alignment horizontal="right" vertical="center"/>
    </xf>
    <xf numFmtId="0" fontId="14" fillId="2" borderId="0" xfId="0" applyFont="1" applyFill="1"/>
    <xf numFmtId="0" fontId="3" fillId="2" borderId="4" xfId="0" applyFont="1" applyFill="1" applyBorder="1"/>
    <xf numFmtId="164" fontId="3" fillId="2" borderId="0" xfId="1" applyNumberFormat="1" applyFont="1" applyFill="1" applyBorder="1"/>
    <xf numFmtId="164" fontId="3" fillId="0" borderId="0" xfId="1" applyNumberFormat="1" applyFont="1" applyFill="1" applyBorder="1"/>
    <xf numFmtId="164" fontId="3" fillId="0" borderId="5" xfId="1" applyNumberFormat="1" applyFont="1" applyFill="1" applyBorder="1"/>
    <xf numFmtId="44" fontId="3" fillId="2" borderId="0" xfId="0" applyNumberFormat="1" applyFont="1" applyFill="1"/>
    <xf numFmtId="44" fontId="3" fillId="2" borderId="0" xfId="0" applyNumberFormat="1" applyFont="1" applyFill="1" applyAlignment="1">
      <alignment horizontal="right" vertical="center"/>
    </xf>
    <xf numFmtId="0" fontId="3" fillId="2" borderId="6" xfId="0" applyFont="1" applyFill="1" applyBorder="1"/>
    <xf numFmtId="6" fontId="3" fillId="2" borderId="7" xfId="0" applyNumberFormat="1" applyFont="1" applyFill="1" applyBorder="1"/>
    <xf numFmtId="164" fontId="4" fillId="2" borderId="8" xfId="1" applyNumberFormat="1" applyFont="1" applyFill="1" applyBorder="1"/>
    <xf numFmtId="9" fontId="3" fillId="0" borderId="5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/>
    </xf>
    <xf numFmtId="165" fontId="3" fillId="0" borderId="0" xfId="2" applyNumberFormat="1" applyFont="1" applyFill="1" applyBorder="1"/>
    <xf numFmtId="9" fontId="3" fillId="3" borderId="5" xfId="0" applyNumberFormat="1" applyFont="1" applyFill="1" applyBorder="1" applyAlignment="1">
      <alignment horizontal="left" vertical="center"/>
    </xf>
    <xf numFmtId="9" fontId="3" fillId="3" borderId="5" xfId="0" applyNumberFormat="1" applyFont="1" applyFill="1" applyBorder="1" applyAlignment="1">
      <alignment horizontal="left"/>
    </xf>
    <xf numFmtId="9" fontId="3" fillId="3" borderId="5" xfId="0" applyNumberFormat="1" applyFont="1" applyFill="1" applyBorder="1" applyAlignment="1">
      <alignment horizontal="right"/>
    </xf>
    <xf numFmtId="9" fontId="3" fillId="0" borderId="0" xfId="0" applyNumberFormat="1" applyFont="1"/>
    <xf numFmtId="164" fontId="4" fillId="0" borderId="5" xfId="1" applyNumberFormat="1" applyFont="1" applyFill="1" applyBorder="1"/>
    <xf numFmtId="0" fontId="3" fillId="0" borderId="6" xfId="0" applyFont="1" applyBorder="1"/>
    <xf numFmtId="0" fontId="3" fillId="0" borderId="8" xfId="0" applyFont="1" applyBorder="1"/>
    <xf numFmtId="164" fontId="4" fillId="0" borderId="8" xfId="1" applyNumberFormat="1" applyFont="1" applyFill="1" applyBorder="1"/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/>
    <xf numFmtId="0" fontId="3" fillId="4" borderId="4" xfId="0" applyFont="1" applyFill="1" applyBorder="1" applyAlignment="1">
      <alignment wrapText="1"/>
    </xf>
    <xf numFmtId="9" fontId="3" fillId="4" borderId="5" xfId="0" applyNumberFormat="1" applyFont="1" applyFill="1" applyBorder="1" applyAlignment="1">
      <alignment vertical="center" wrapText="1"/>
    </xf>
    <xf numFmtId="0" fontId="3" fillId="4" borderId="4" xfId="0" applyFont="1" applyFill="1" applyBorder="1" applyAlignment="1">
      <alignment horizontal="left" wrapText="1"/>
    </xf>
    <xf numFmtId="166" fontId="3" fillId="4" borderId="5" xfId="1" applyNumberFormat="1" applyFont="1" applyFill="1" applyBorder="1" applyAlignment="1">
      <alignment horizontal="right" vertical="center"/>
    </xf>
    <xf numFmtId="0" fontId="3" fillId="4" borderId="4" xfId="0" applyFont="1" applyFill="1" applyBorder="1"/>
    <xf numFmtId="0" fontId="3" fillId="4" borderId="5" xfId="0" applyFont="1" applyFill="1" applyBorder="1"/>
    <xf numFmtId="0" fontId="3" fillId="4" borderId="6" xfId="0" applyFont="1" applyFill="1" applyBorder="1"/>
    <xf numFmtId="0" fontId="3" fillId="4" borderId="8" xfId="0" applyFont="1" applyFill="1" applyBorder="1"/>
    <xf numFmtId="166" fontId="3" fillId="0" borderId="0" xfId="0" applyNumberFormat="1" applyFont="1"/>
    <xf numFmtId="0" fontId="3" fillId="5" borderId="1" xfId="0" applyFont="1" applyFill="1" applyBorder="1"/>
    <xf numFmtId="0" fontId="3" fillId="5" borderId="3" xfId="0" applyFont="1" applyFill="1" applyBorder="1"/>
    <xf numFmtId="164" fontId="3" fillId="0" borderId="2" xfId="0" applyNumberFormat="1" applyFont="1" applyBorder="1"/>
    <xf numFmtId="0" fontId="3" fillId="5" borderId="4" xfId="0" applyFont="1" applyFill="1" applyBorder="1"/>
    <xf numFmtId="9" fontId="3" fillId="5" borderId="5" xfId="1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wrapText="1"/>
    </xf>
    <xf numFmtId="9" fontId="3" fillId="5" borderId="5" xfId="3" applyFont="1" applyFill="1" applyBorder="1" applyAlignment="1">
      <alignment horizontal="right"/>
    </xf>
    <xf numFmtId="164" fontId="3" fillId="5" borderId="5" xfId="1" applyNumberFormat="1" applyFont="1" applyFill="1" applyBorder="1" applyAlignment="1">
      <alignment horizontal="right"/>
    </xf>
    <xf numFmtId="44" fontId="3" fillId="5" borderId="5" xfId="0" applyNumberFormat="1" applyFont="1" applyFill="1" applyBorder="1" applyAlignment="1">
      <alignment horizontal="right"/>
    </xf>
    <xf numFmtId="9" fontId="3" fillId="5" borderId="5" xfId="0" applyNumberFormat="1" applyFont="1" applyFill="1" applyBorder="1" applyAlignment="1">
      <alignment horizontal="right"/>
    </xf>
    <xf numFmtId="167" fontId="3" fillId="5" borderId="5" xfId="1" applyNumberFormat="1" applyFont="1" applyFill="1" applyBorder="1" applyAlignment="1">
      <alignment horizontal="right"/>
    </xf>
    <xf numFmtId="0" fontId="3" fillId="5" borderId="5" xfId="0" applyFont="1" applyFill="1" applyBorder="1"/>
    <xf numFmtId="166" fontId="3" fillId="5" borderId="5" xfId="0" applyNumberFormat="1" applyFont="1" applyFill="1" applyBorder="1"/>
    <xf numFmtId="0" fontId="3" fillId="5" borderId="6" xfId="0" applyFont="1" applyFill="1" applyBorder="1"/>
    <xf numFmtId="0" fontId="3" fillId="5" borderId="8" xfId="0" applyFont="1" applyFill="1" applyBorder="1"/>
    <xf numFmtId="9" fontId="3" fillId="5" borderId="5" xfId="3" applyFont="1" applyFill="1" applyBorder="1"/>
    <xf numFmtId="44" fontId="3" fillId="5" borderId="5" xfId="0" applyNumberFormat="1" applyFont="1" applyFill="1" applyBorder="1"/>
    <xf numFmtId="8" fontId="3" fillId="5" borderId="5" xfId="0" applyNumberFormat="1" applyFont="1" applyFill="1" applyBorder="1"/>
    <xf numFmtId="167" fontId="3" fillId="5" borderId="5" xfId="0" applyNumberFormat="1" applyFont="1" applyFill="1" applyBorder="1"/>
    <xf numFmtId="0" fontId="3" fillId="0" borderId="0" xfId="0" applyFont="1" applyAlignment="1">
      <alignment horizontal="right"/>
    </xf>
    <xf numFmtId="167" fontId="3" fillId="0" borderId="0" xfId="1" applyNumberFormat="1" applyFont="1" applyFill="1"/>
    <xf numFmtId="167" fontId="3" fillId="0" borderId="0" xfId="1" applyNumberFormat="1" applyFont="1"/>
    <xf numFmtId="167" fontId="3" fillId="5" borderId="4" xfId="0" applyNumberFormat="1" applyFont="1" applyFill="1" applyBorder="1" applyAlignment="1">
      <alignment wrapText="1"/>
    </xf>
    <xf numFmtId="0" fontId="4" fillId="0" borderId="0" xfId="0" applyFont="1" applyAlignment="1">
      <alignment horizontal="left"/>
    </xf>
    <xf numFmtId="167" fontId="4" fillId="0" borderId="0" xfId="0" applyNumberFormat="1" applyFont="1"/>
    <xf numFmtId="0" fontId="3" fillId="6" borderId="1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9" fontId="3" fillId="6" borderId="5" xfId="3" applyFont="1" applyFill="1" applyBorder="1"/>
    <xf numFmtId="167" fontId="3" fillId="6" borderId="5" xfId="2" applyNumberFormat="1" applyFont="1" applyFill="1" applyBorder="1"/>
    <xf numFmtId="0" fontId="3" fillId="6" borderId="5" xfId="0" applyFont="1" applyFill="1" applyBorder="1"/>
    <xf numFmtId="0" fontId="3" fillId="6" borderId="6" xfId="0" applyFont="1" applyFill="1" applyBorder="1"/>
    <xf numFmtId="0" fontId="3" fillId="6" borderId="8" xfId="0" applyFont="1" applyFill="1" applyBorder="1"/>
    <xf numFmtId="164" fontId="3" fillId="0" borderId="0" xfId="1" applyNumberFormat="1" applyFont="1" applyFill="1"/>
    <xf numFmtId="0" fontId="3" fillId="6" borderId="4" xfId="0" applyFont="1" applyFill="1" applyBorder="1" applyAlignment="1">
      <alignment horizontal="right"/>
    </xf>
    <xf numFmtId="165" fontId="3" fillId="0" borderId="0" xfId="2" applyNumberFormat="1" applyFont="1" applyFill="1"/>
    <xf numFmtId="10" fontId="3" fillId="6" borderId="5" xfId="0" applyNumberFormat="1" applyFont="1" applyFill="1" applyBorder="1"/>
    <xf numFmtId="8" fontId="3" fillId="3" borderId="5" xfId="0" applyNumberFormat="1" applyFont="1" applyFill="1" applyBorder="1" applyAlignment="1">
      <alignment horizontal="left" indent="2"/>
    </xf>
    <xf numFmtId="0" fontId="3" fillId="6" borderId="1" xfId="0" applyFont="1" applyFill="1" applyBorder="1" applyAlignment="1">
      <alignment horizontal="left"/>
    </xf>
    <xf numFmtId="9" fontId="3" fillId="6" borderId="5" xfId="1" applyNumberFormat="1" applyFont="1" applyFill="1" applyBorder="1" applyAlignment="1">
      <alignment horizontal="right"/>
    </xf>
    <xf numFmtId="44" fontId="3" fillId="6" borderId="5" xfId="0" applyNumberFormat="1" applyFont="1" applyFill="1" applyBorder="1" applyAlignment="1">
      <alignment horizontal="right"/>
    </xf>
    <xf numFmtId="9" fontId="3" fillId="6" borderId="5" xfId="0" applyNumberFormat="1" applyFont="1" applyFill="1" applyBorder="1"/>
    <xf numFmtId="44" fontId="3" fillId="6" borderId="5" xfId="0" applyNumberFormat="1" applyFont="1" applyFill="1" applyBorder="1"/>
    <xf numFmtId="166" fontId="3" fillId="6" borderId="5" xfId="0" applyNumberFormat="1" applyFont="1" applyFill="1" applyBorder="1"/>
    <xf numFmtId="0" fontId="3" fillId="7" borderId="1" xfId="0" applyFont="1" applyFill="1" applyBorder="1"/>
    <xf numFmtId="0" fontId="3" fillId="7" borderId="3" xfId="0" applyFont="1" applyFill="1" applyBorder="1"/>
    <xf numFmtId="0" fontId="3" fillId="7" borderId="4" xfId="0" applyFont="1" applyFill="1" applyBorder="1"/>
    <xf numFmtId="6" fontId="3" fillId="7" borderId="5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6" fontId="3" fillId="7" borderId="5" xfId="0" applyNumberFormat="1" applyFont="1" applyFill="1" applyBorder="1"/>
    <xf numFmtId="10" fontId="3" fillId="7" borderId="5" xfId="3" applyNumberFormat="1" applyFont="1" applyFill="1" applyBorder="1"/>
    <xf numFmtId="0" fontId="3" fillId="0" borderId="4" xfId="0" applyFont="1" applyBorder="1" applyAlignment="1">
      <alignment horizontal="right" vertical="center"/>
    </xf>
    <xf numFmtId="10" fontId="3" fillId="7" borderId="5" xfId="0" applyNumberFormat="1" applyFont="1" applyFill="1" applyBorder="1"/>
    <xf numFmtId="0" fontId="13" fillId="0" borderId="4" xfId="0" applyFont="1" applyBorder="1"/>
    <xf numFmtId="0" fontId="3" fillId="0" borderId="4" xfId="0" applyFont="1" applyBorder="1" applyAlignment="1">
      <alignment horizontal="right"/>
    </xf>
    <xf numFmtId="8" fontId="3" fillId="7" borderId="5" xfId="0" applyNumberFormat="1" applyFont="1" applyFill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9" fontId="3" fillId="7" borderId="5" xfId="0" applyNumberFormat="1" applyFont="1" applyFill="1" applyBorder="1" applyAlignment="1">
      <alignment horizontal="right"/>
    </xf>
    <xf numFmtId="0" fontId="3" fillId="7" borderId="5" xfId="0" applyFont="1" applyFill="1" applyBorder="1"/>
    <xf numFmtId="0" fontId="4" fillId="0" borderId="0" xfId="0" applyFont="1" applyAlignment="1">
      <alignment wrapText="1"/>
    </xf>
    <xf numFmtId="0" fontId="3" fillId="7" borderId="6" xfId="0" applyFont="1" applyFill="1" applyBorder="1"/>
    <xf numFmtId="0" fontId="3" fillId="7" borderId="8" xfId="0" applyFont="1" applyFill="1" applyBorder="1"/>
    <xf numFmtId="38" fontId="3" fillId="0" borderId="5" xfId="0" applyNumberFormat="1" applyFont="1" applyBorder="1"/>
    <xf numFmtId="38" fontId="3" fillId="0" borderId="0" xfId="0" applyNumberFormat="1" applyFont="1"/>
    <xf numFmtId="6" fontId="3" fillId="13" borderId="5" xfId="0" applyNumberFormat="1" applyFont="1" applyFill="1" applyBorder="1"/>
    <xf numFmtId="6" fontId="3" fillId="0" borderId="0" xfId="0" applyNumberFormat="1" applyFont="1" applyAlignment="1">
      <alignment horizontal="center" vertical="center"/>
    </xf>
    <xf numFmtId="165" fontId="4" fillId="0" borderId="0" xfId="0" applyNumberFormat="1" applyFont="1"/>
    <xf numFmtId="9" fontId="3" fillId="0" borderId="0" xfId="0" applyNumberFormat="1" applyFont="1" applyAlignment="1">
      <alignment horizontal="left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154305</xdr:colOff>
      <xdr:row>0</xdr:row>
      <xdr:rowOff>95250</xdr:rowOff>
    </xdr:from>
    <xdr:to>
      <xdr:col>4</xdr:col>
      <xdr:colOff>571500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ED42A8-C781-4B65-96E6-C5FF0C693E36}"/>
            </a:ext>
          </a:extLst>
        </xdr:cNvPr>
        <xdr:cNvSpPr txBox="1"/>
      </xdr:nvSpPr>
      <xdr:spPr>
        <a:xfrm>
          <a:off x="154305" y="91440"/>
          <a:ext cx="9694545" cy="69723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You are tasked with preparing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 Master Budget for the Manufacturing  Company below. The budget period will cover the months of April, May and June. Please use the simplified data below.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E2193-80C5-439A-83DE-AB026FCA4CFE}">
  <dimension ref="A8:G81"/>
  <sheetViews>
    <sheetView workbookViewId="0">
      <selection activeCell="B15" sqref="B15"/>
    </sheetView>
  </sheetViews>
  <sheetFormatPr defaultRowHeight="14.25" x14ac:dyDescent="0.45"/>
  <cols>
    <col min="1" max="1" width="38.19921875" bestFit="1" customWidth="1"/>
    <col min="2" max="2" width="12.46484375" bestFit="1" customWidth="1"/>
    <col min="3" max="3" width="8.86328125" customWidth="1"/>
    <col min="4" max="4" width="75.6640625" bestFit="1" customWidth="1"/>
    <col min="5" max="5" width="12.19921875" bestFit="1" customWidth="1"/>
    <col min="8" max="8" width="12.46484375" bestFit="1" customWidth="1"/>
  </cols>
  <sheetData>
    <row r="8" spans="1:6" x14ac:dyDescent="0.45">
      <c r="A8" s="137" t="s">
        <v>201</v>
      </c>
      <c r="B8" s="137"/>
      <c r="D8" s="138" t="s">
        <v>202</v>
      </c>
      <c r="E8" s="138"/>
    </row>
    <row r="9" spans="1:6" x14ac:dyDescent="0.45">
      <c r="A9" s="7" t="s">
        <v>203</v>
      </c>
      <c r="D9" s="71" t="s">
        <v>204</v>
      </c>
      <c r="E9" s="72">
        <v>10000</v>
      </c>
    </row>
    <row r="10" spans="1:6" x14ac:dyDescent="0.45">
      <c r="A10" t="s">
        <v>172</v>
      </c>
      <c r="B10" s="73">
        <v>50000</v>
      </c>
      <c r="D10" s="74" t="s">
        <v>7</v>
      </c>
      <c r="E10" s="75">
        <v>10500</v>
      </c>
      <c r="F10" s="76"/>
    </row>
    <row r="11" spans="1:6" x14ac:dyDescent="0.45">
      <c r="A11" t="s">
        <v>175</v>
      </c>
      <c r="B11" s="73">
        <v>175000</v>
      </c>
      <c r="D11" s="74" t="s">
        <v>12</v>
      </c>
      <c r="E11" s="75">
        <v>9500</v>
      </c>
      <c r="F11" s="10"/>
    </row>
    <row r="12" spans="1:6" x14ac:dyDescent="0.45">
      <c r="A12" t="s">
        <v>205</v>
      </c>
      <c r="B12" s="73">
        <v>30555</v>
      </c>
      <c r="D12" s="74" t="s">
        <v>14</v>
      </c>
      <c r="E12" s="75">
        <v>10000</v>
      </c>
      <c r="F12" s="10"/>
    </row>
    <row r="13" spans="1:6" x14ac:dyDescent="0.45">
      <c r="A13" t="s">
        <v>176</v>
      </c>
      <c r="B13" s="73">
        <v>96180</v>
      </c>
      <c r="D13" s="74" t="s">
        <v>10</v>
      </c>
      <c r="E13" s="75">
        <v>10500</v>
      </c>
      <c r="F13" s="42"/>
    </row>
    <row r="14" spans="1:6" x14ac:dyDescent="0.45">
      <c r="A14" t="s">
        <v>206</v>
      </c>
      <c r="B14" s="73">
        <v>480000</v>
      </c>
      <c r="F14" s="42" t="s">
        <v>2</v>
      </c>
    </row>
    <row r="15" spans="1:6" x14ac:dyDescent="0.45">
      <c r="A15" t="s">
        <v>182</v>
      </c>
      <c r="B15" s="77">
        <f>-90000</f>
        <v>-90000</v>
      </c>
      <c r="D15" s="137" t="s">
        <v>207</v>
      </c>
      <c r="E15" s="137"/>
    </row>
    <row r="16" spans="1:6" x14ac:dyDescent="0.45">
      <c r="A16" s="7" t="s">
        <v>185</v>
      </c>
      <c r="B16" s="78">
        <f>SUM(B10:B15)</f>
        <v>741735</v>
      </c>
      <c r="D16" s="71" t="s">
        <v>208</v>
      </c>
      <c r="E16" s="79">
        <v>25</v>
      </c>
      <c r="F16" s="76"/>
    </row>
    <row r="17" spans="1:6" x14ac:dyDescent="0.45">
      <c r="B17" s="80"/>
      <c r="C17" s="8"/>
      <c r="D17" s="71" t="s">
        <v>21</v>
      </c>
      <c r="E17" s="81">
        <v>0.3</v>
      </c>
      <c r="F17" s="8"/>
    </row>
    <row r="18" spans="1:6" x14ac:dyDescent="0.45">
      <c r="B18" s="80"/>
      <c r="D18" s="71" t="s">
        <v>209</v>
      </c>
      <c r="E18" s="81">
        <v>0.7</v>
      </c>
      <c r="F18" s="8"/>
    </row>
    <row r="19" spans="1:6" x14ac:dyDescent="0.45">
      <c r="A19" s="7" t="s">
        <v>210</v>
      </c>
      <c r="B19" s="80"/>
      <c r="D19" s="71" t="s">
        <v>211</v>
      </c>
      <c r="E19" s="81">
        <v>0.12</v>
      </c>
      <c r="F19" s="8"/>
    </row>
    <row r="20" spans="1:6" x14ac:dyDescent="0.45">
      <c r="A20" t="s">
        <v>187</v>
      </c>
      <c r="B20" s="73">
        <v>63315</v>
      </c>
      <c r="D20" s="71" t="s">
        <v>212</v>
      </c>
      <c r="E20" s="79">
        <v>3500</v>
      </c>
      <c r="F20" s="8"/>
    </row>
    <row r="21" spans="1:6" x14ac:dyDescent="0.45">
      <c r="A21" t="s">
        <v>188</v>
      </c>
      <c r="B21" s="73">
        <v>12000</v>
      </c>
      <c r="D21" s="71" t="s">
        <v>242</v>
      </c>
      <c r="E21" s="79">
        <v>4000</v>
      </c>
      <c r="F21" s="8"/>
    </row>
    <row r="22" spans="1:6" x14ac:dyDescent="0.45">
      <c r="A22" t="s">
        <v>213</v>
      </c>
      <c r="B22" s="77">
        <v>200000</v>
      </c>
      <c r="D22" s="137"/>
      <c r="E22" s="137"/>
      <c r="F22" s="8"/>
    </row>
    <row r="23" spans="1:6" x14ac:dyDescent="0.45">
      <c r="A23" s="7" t="s">
        <v>195</v>
      </c>
      <c r="B23" s="78">
        <f>SUM(B20:B22)</f>
        <v>275315</v>
      </c>
      <c r="D23" s="137" t="s">
        <v>214</v>
      </c>
      <c r="E23" s="137"/>
      <c r="F23" s="76"/>
    </row>
    <row r="24" spans="1:6" x14ac:dyDescent="0.45">
      <c r="A24" s="7" t="s">
        <v>215</v>
      </c>
      <c r="B24" s="73"/>
      <c r="D24" s="71" t="s">
        <v>216</v>
      </c>
      <c r="E24" s="81">
        <v>0.5</v>
      </c>
      <c r="F24" s="8"/>
    </row>
    <row r="25" spans="1:6" x14ac:dyDescent="0.45">
      <c r="A25" t="s">
        <v>196</v>
      </c>
      <c r="B25" s="5">
        <v>435000</v>
      </c>
      <c r="D25" s="71" t="s">
        <v>217</v>
      </c>
      <c r="E25" s="81">
        <v>0.5</v>
      </c>
    </row>
    <row r="26" spans="1:6" x14ac:dyDescent="0.45">
      <c r="A26" t="s">
        <v>197</v>
      </c>
      <c r="B26" s="77">
        <v>31420</v>
      </c>
      <c r="D26" s="71" t="s">
        <v>218</v>
      </c>
      <c r="E26" s="79">
        <v>12.6</v>
      </c>
      <c r="F26" s="10"/>
    </row>
    <row r="27" spans="1:6" x14ac:dyDescent="0.45">
      <c r="A27" s="7" t="s">
        <v>219</v>
      </c>
      <c r="B27" s="82">
        <f>SUM(B25:B26)</f>
        <v>466420</v>
      </c>
      <c r="D27" s="71" t="s">
        <v>220</v>
      </c>
      <c r="E27" s="79">
        <f>E25*E26</f>
        <v>6.3</v>
      </c>
      <c r="F27" s="10"/>
    </row>
    <row r="28" spans="1:6" x14ac:dyDescent="0.45">
      <c r="A28" s="7" t="s">
        <v>221</v>
      </c>
      <c r="B28" s="78">
        <f>B23+B27</f>
        <v>741735</v>
      </c>
      <c r="D28" s="71" t="s">
        <v>222</v>
      </c>
      <c r="E28" s="71"/>
    </row>
    <row r="30" spans="1:6" x14ac:dyDescent="0.45">
      <c r="D30" s="137" t="s">
        <v>223</v>
      </c>
      <c r="E30" s="137"/>
      <c r="F30" s="83"/>
    </row>
    <row r="31" spans="1:6" x14ac:dyDescent="0.45">
      <c r="D31" s="71" t="s">
        <v>224</v>
      </c>
      <c r="E31" s="81">
        <v>0.25</v>
      </c>
      <c r="F31" s="10"/>
    </row>
    <row r="32" spans="1:6" x14ac:dyDescent="0.45">
      <c r="D32" s="71" t="s">
        <v>225</v>
      </c>
      <c r="E32" s="79">
        <v>15</v>
      </c>
      <c r="F32" s="10"/>
    </row>
    <row r="33" spans="4:6" x14ac:dyDescent="0.45">
      <c r="D33" s="71" t="s">
        <v>226</v>
      </c>
      <c r="E33" s="79">
        <f>E31*E32</f>
        <v>3.75</v>
      </c>
      <c r="F33" s="8"/>
    </row>
    <row r="34" spans="4:6" x14ac:dyDescent="0.45">
      <c r="F34" s="10"/>
    </row>
    <row r="35" spans="4:6" x14ac:dyDescent="0.45">
      <c r="D35" s="137" t="s">
        <v>227</v>
      </c>
      <c r="E35" s="137"/>
      <c r="F35" s="10"/>
    </row>
    <row r="36" spans="4:6" x14ac:dyDescent="0.45">
      <c r="D36" s="71" t="s">
        <v>228</v>
      </c>
      <c r="E36" s="79">
        <v>3.6</v>
      </c>
    </row>
    <row r="37" spans="4:6" x14ac:dyDescent="0.45">
      <c r="D37" s="71" t="s">
        <v>229</v>
      </c>
      <c r="E37" s="79">
        <f>E31*E36</f>
        <v>0.9</v>
      </c>
    </row>
    <row r="38" spans="4:6" x14ac:dyDescent="0.45">
      <c r="D38" s="71" t="s">
        <v>230</v>
      </c>
      <c r="E38" s="84">
        <v>5000</v>
      </c>
    </row>
    <row r="39" spans="4:6" x14ac:dyDescent="0.45">
      <c r="D39" s="71" t="s">
        <v>231</v>
      </c>
      <c r="E39" s="85">
        <v>10000</v>
      </c>
    </row>
    <row r="40" spans="4:6" x14ac:dyDescent="0.45">
      <c r="D40" s="71" t="s">
        <v>232</v>
      </c>
      <c r="E40" s="79">
        <f>E38/E39</f>
        <v>0.5</v>
      </c>
    </row>
    <row r="41" spans="4:6" x14ac:dyDescent="0.45">
      <c r="E41" s="86"/>
    </row>
    <row r="42" spans="4:6" x14ac:dyDescent="0.45">
      <c r="D42" s="137" t="s">
        <v>233</v>
      </c>
      <c r="E42" s="137"/>
    </row>
    <row r="43" spans="4:6" x14ac:dyDescent="0.45">
      <c r="D43" s="71" t="s">
        <v>234</v>
      </c>
      <c r="E43" s="81">
        <v>0.8</v>
      </c>
    </row>
    <row r="44" spans="4:6" x14ac:dyDescent="0.45">
      <c r="D44" s="71" t="s">
        <v>235</v>
      </c>
      <c r="E44" s="79">
        <f>E27+E33+E37+E40</f>
        <v>11.450000000000001</v>
      </c>
    </row>
    <row r="45" spans="4:6" x14ac:dyDescent="0.45">
      <c r="D45" s="71" t="s">
        <v>236</v>
      </c>
      <c r="E45" s="84">
        <v>8000</v>
      </c>
    </row>
    <row r="46" spans="4:6" x14ac:dyDescent="0.45">
      <c r="D46" s="71" t="s">
        <v>237</v>
      </c>
      <c r="E46" s="84">
        <v>55000</v>
      </c>
    </row>
    <row r="48" spans="4:6" x14ac:dyDescent="0.45">
      <c r="D48" s="137" t="s">
        <v>238</v>
      </c>
      <c r="E48" s="137"/>
    </row>
    <row r="49" spans="4:7" x14ac:dyDescent="0.45">
      <c r="D49" s="71" t="s">
        <v>243</v>
      </c>
      <c r="E49" s="72">
        <v>2100</v>
      </c>
    </row>
    <row r="51" spans="4:7" x14ac:dyDescent="0.45">
      <c r="D51" s="136" t="s">
        <v>239</v>
      </c>
      <c r="E51" s="136"/>
    </row>
    <row r="52" spans="4:7" x14ac:dyDescent="0.45">
      <c r="D52" s="71" t="s">
        <v>249</v>
      </c>
      <c r="E52" s="87">
        <v>0.108</v>
      </c>
    </row>
    <row r="53" spans="4:7" x14ac:dyDescent="0.45">
      <c r="D53" s="71" t="s">
        <v>250</v>
      </c>
      <c r="E53" s="89">
        <v>0.12</v>
      </c>
    </row>
    <row r="54" spans="4:7" x14ac:dyDescent="0.45">
      <c r="D54" s="71" t="s">
        <v>251</v>
      </c>
      <c r="E54" s="89">
        <v>7.0000000000000007E-2</v>
      </c>
      <c r="G54" s="88"/>
    </row>
    <row r="55" spans="4:7" x14ac:dyDescent="0.45">
      <c r="D55" s="71" t="s">
        <v>240</v>
      </c>
      <c r="E55" s="84">
        <v>50000</v>
      </c>
      <c r="G55" s="88"/>
    </row>
    <row r="56" spans="4:7" x14ac:dyDescent="0.45">
      <c r="D56" s="71" t="s">
        <v>241</v>
      </c>
      <c r="E56" s="84">
        <v>50000</v>
      </c>
    </row>
    <row r="57" spans="4:7" x14ac:dyDescent="0.45">
      <c r="D57" s="71" t="s">
        <v>244</v>
      </c>
      <c r="E57" s="81">
        <v>0.35</v>
      </c>
    </row>
    <row r="58" spans="4:7" x14ac:dyDescent="0.45">
      <c r="D58" s="71" t="s">
        <v>245</v>
      </c>
      <c r="E58" s="84">
        <v>100000</v>
      </c>
    </row>
    <row r="59" spans="4:7" x14ac:dyDescent="0.45">
      <c r="D59" s="71" t="s">
        <v>254</v>
      </c>
      <c r="E59" s="84">
        <f>B21</f>
        <v>12000</v>
      </c>
    </row>
    <row r="67" spans="5:5" x14ac:dyDescent="0.45">
      <c r="E67" s="86"/>
    </row>
    <row r="81" spans="5:5" x14ac:dyDescent="0.45">
      <c r="E81" s="90"/>
    </row>
  </sheetData>
  <mergeCells count="10">
    <mergeCell ref="D51:E51"/>
    <mergeCell ref="D35:E35"/>
    <mergeCell ref="D42:E42"/>
    <mergeCell ref="D48:E48"/>
    <mergeCell ref="A8:B8"/>
    <mergeCell ref="D8:E8"/>
    <mergeCell ref="D15:E15"/>
    <mergeCell ref="D22:E22"/>
    <mergeCell ref="D23:E23"/>
    <mergeCell ref="D30:E3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C7D2E-236B-42C8-8D58-3675554361A7}">
  <sheetPr>
    <outlinePr summaryBelow="0"/>
  </sheetPr>
  <dimension ref="B1:G13"/>
  <sheetViews>
    <sheetView showGridLines="0" workbookViewId="0"/>
  </sheetViews>
  <sheetFormatPr defaultRowHeight="14.25" outlineLevelRow="1" outlineLevelCol="1" x14ac:dyDescent="0.45"/>
  <cols>
    <col min="3" max="3" width="6.796875" bestFit="1" customWidth="1"/>
    <col min="4" max="7" width="11.86328125" bestFit="1" customWidth="1" outlineLevel="1"/>
  </cols>
  <sheetData>
    <row r="1" spans="2:7" ht="14.65" thickBot="1" x14ac:dyDescent="0.5"/>
    <row r="2" spans="2:7" ht="15.75" x14ac:dyDescent="0.5">
      <c r="B2" s="127" t="s">
        <v>259</v>
      </c>
      <c r="C2" s="127"/>
      <c r="D2" s="132"/>
      <c r="E2" s="132"/>
      <c r="F2" s="132"/>
      <c r="G2" s="132"/>
    </row>
    <row r="3" spans="2:7" ht="15.75" collapsed="1" x14ac:dyDescent="0.5">
      <c r="B3" s="126"/>
      <c r="C3" s="126"/>
      <c r="D3" s="133" t="s">
        <v>261</v>
      </c>
      <c r="E3" s="133" t="s">
        <v>7</v>
      </c>
      <c r="F3" s="133" t="s">
        <v>12</v>
      </c>
      <c r="G3" s="133" t="s">
        <v>14</v>
      </c>
    </row>
    <row r="4" spans="2:7" ht="31.5" hidden="1" outlineLevel="1" x14ac:dyDescent="0.45">
      <c r="B4" s="129"/>
      <c r="C4" s="129"/>
      <c r="E4" s="135" t="s">
        <v>258</v>
      </c>
      <c r="F4" s="135" t="s">
        <v>258</v>
      </c>
      <c r="G4" s="135" t="s">
        <v>258</v>
      </c>
    </row>
    <row r="5" spans="2:7" x14ac:dyDescent="0.45">
      <c r="B5" s="130" t="s">
        <v>260</v>
      </c>
      <c r="C5" s="130"/>
      <c r="D5" s="128"/>
      <c r="E5" s="128"/>
      <c r="F5" s="128"/>
      <c r="G5" s="128"/>
    </row>
    <row r="6" spans="2:7" outlineLevel="1" x14ac:dyDescent="0.45">
      <c r="B6" s="129"/>
      <c r="C6" s="129" t="s">
        <v>7</v>
      </c>
      <c r="D6" s="80">
        <v>0</v>
      </c>
      <c r="E6" s="134">
        <v>250000</v>
      </c>
      <c r="F6" s="134">
        <v>0</v>
      </c>
      <c r="G6" s="134">
        <v>0</v>
      </c>
    </row>
    <row r="7" spans="2:7" outlineLevel="1" x14ac:dyDescent="0.45">
      <c r="B7" s="129"/>
      <c r="C7" s="129" t="s">
        <v>12</v>
      </c>
      <c r="D7" s="80">
        <v>250000</v>
      </c>
      <c r="E7" s="134">
        <v>0</v>
      </c>
      <c r="F7" s="134">
        <v>250000</v>
      </c>
      <c r="G7" s="134">
        <v>0</v>
      </c>
    </row>
    <row r="8" spans="2:7" outlineLevel="1" x14ac:dyDescent="0.45">
      <c r="B8" s="129"/>
      <c r="C8" s="129" t="s">
        <v>14</v>
      </c>
      <c r="D8" s="80">
        <v>0</v>
      </c>
      <c r="E8" s="134">
        <v>0</v>
      </c>
      <c r="F8" s="134">
        <v>0</v>
      </c>
      <c r="G8" s="134">
        <v>250000</v>
      </c>
    </row>
    <row r="9" spans="2:7" x14ac:dyDescent="0.45">
      <c r="B9" s="130" t="s">
        <v>262</v>
      </c>
      <c r="C9" s="130"/>
      <c r="D9" s="128"/>
      <c r="E9" s="128"/>
      <c r="F9" s="128"/>
      <c r="G9" s="128"/>
    </row>
    <row r="10" spans="2:7" ht="14.65" outlineLevel="1" thickBot="1" x14ac:dyDescent="0.5">
      <c r="B10" s="131"/>
      <c r="C10" s="131" t="s">
        <v>257</v>
      </c>
      <c r="D10" s="14">
        <v>56149.275000000001</v>
      </c>
      <c r="E10" s="14">
        <v>161590</v>
      </c>
      <c r="F10" s="14">
        <v>56149.275000000001</v>
      </c>
      <c r="G10" s="14">
        <v>24873.479104166599</v>
      </c>
    </row>
    <row r="11" spans="2:7" x14ac:dyDescent="0.45">
      <c r="B11" t="s">
        <v>263</v>
      </c>
    </row>
    <row r="12" spans="2:7" x14ac:dyDescent="0.45">
      <c r="B12" t="s">
        <v>264</v>
      </c>
    </row>
    <row r="13" spans="2:7" x14ac:dyDescent="0.45">
      <c r="B13" t="s">
        <v>265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6DC27-3857-427C-9240-96286F7B9BEC}">
  <dimension ref="A1:S224"/>
  <sheetViews>
    <sheetView tabSelected="1" zoomScale="66" zoomScaleNormal="80" workbookViewId="0">
      <selection activeCell="D21" sqref="D21"/>
    </sheetView>
  </sheetViews>
  <sheetFormatPr defaultRowHeight="15.75" x14ac:dyDescent="0.5"/>
  <cols>
    <col min="1" max="1" width="43.46484375" style="3" customWidth="1"/>
    <col min="2" max="2" width="17.33203125" style="3" bestFit="1" customWidth="1"/>
    <col min="3" max="3" width="3.46484375" style="3" customWidth="1"/>
    <col min="4" max="4" width="42.53125" style="3" customWidth="1"/>
    <col min="5" max="5" width="19.46484375" style="3" bestFit="1" customWidth="1"/>
    <col min="6" max="6" width="14.6640625" style="3" customWidth="1"/>
    <col min="7" max="9" width="11.796875" style="3" bestFit="1" customWidth="1"/>
    <col min="10" max="10" width="16.1328125" style="3" bestFit="1" customWidth="1"/>
    <col min="11" max="11" width="11.796875" style="3" bestFit="1" customWidth="1"/>
    <col min="12" max="12" width="2.33203125" style="3" customWidth="1"/>
    <col min="13" max="13" width="26.33203125" style="3" customWidth="1"/>
    <col min="14" max="14" width="10.33203125" style="3" customWidth="1"/>
    <col min="15" max="15" width="14.59765625" style="3" bestFit="1" customWidth="1"/>
    <col min="16" max="16" width="12.46484375" style="3" bestFit="1" customWidth="1"/>
    <col min="17" max="17" width="14" style="3" bestFit="1" customWidth="1"/>
    <col min="18" max="18" width="9.06640625" style="3"/>
    <col min="19" max="19" width="11.19921875" style="3" bestFit="1" customWidth="1"/>
    <col min="20" max="16384" width="9.06640625" style="3"/>
  </cols>
  <sheetData>
    <row r="1" spans="1:16" ht="16.149999999999999" thickBot="1" x14ac:dyDescent="0.55000000000000004"/>
    <row r="2" spans="1:16" ht="19.25" customHeight="1" x14ac:dyDescent="0.5">
      <c r="A2" s="145" t="s">
        <v>0</v>
      </c>
      <c r="B2" s="146"/>
      <c r="D2" s="60"/>
      <c r="E2" s="139" t="s">
        <v>1</v>
      </c>
      <c r="F2" s="139"/>
      <c r="G2" s="139"/>
      <c r="H2" s="139"/>
      <c r="I2" s="139"/>
      <c r="J2" s="139"/>
      <c r="K2" s="139"/>
      <c r="L2" s="2"/>
      <c r="M2" s="147"/>
    </row>
    <row r="3" spans="1:16" ht="19.25" customHeight="1" x14ac:dyDescent="0.5">
      <c r="A3" s="145" t="s">
        <v>2</v>
      </c>
      <c r="B3" s="148" t="s">
        <v>3</v>
      </c>
      <c r="D3" s="37"/>
      <c r="E3" s="140" t="s">
        <v>4</v>
      </c>
      <c r="F3" s="140"/>
      <c r="G3" s="140"/>
      <c r="H3" s="140"/>
      <c r="I3" s="140"/>
      <c r="J3" s="140"/>
      <c r="K3" s="140"/>
      <c r="L3" s="4"/>
      <c r="M3" s="18"/>
    </row>
    <row r="4" spans="1:16" ht="19.25" customHeight="1" x14ac:dyDescent="0.5">
      <c r="A4" s="145" t="s">
        <v>5</v>
      </c>
      <c r="B4" s="148">
        <f>'Case Data'!E9</f>
        <v>10000</v>
      </c>
      <c r="D4" s="37"/>
      <c r="E4" s="140" t="s">
        <v>6</v>
      </c>
      <c r="F4" s="140"/>
      <c r="G4" s="140"/>
      <c r="H4" s="140"/>
      <c r="I4" s="140"/>
      <c r="J4" s="140"/>
      <c r="K4" s="140"/>
      <c r="L4" s="4"/>
      <c r="M4" s="18"/>
    </row>
    <row r="5" spans="1:16" x14ac:dyDescent="0.5">
      <c r="A5" s="149" t="s">
        <v>7</v>
      </c>
      <c r="B5" s="148">
        <f>'Case Data'!E10</f>
        <v>10500</v>
      </c>
      <c r="D5" s="37"/>
      <c r="G5" s="3" t="s">
        <v>5</v>
      </c>
      <c r="H5" s="6" t="s">
        <v>7</v>
      </c>
      <c r="I5" s="6" t="s">
        <v>8</v>
      </c>
      <c r="J5" s="6" t="s">
        <v>9</v>
      </c>
      <c r="K5" s="3" t="s">
        <v>10</v>
      </c>
      <c r="L5" s="6"/>
      <c r="M5" s="15" t="s">
        <v>11</v>
      </c>
    </row>
    <row r="6" spans="1:16" ht="19.25" customHeight="1" x14ac:dyDescent="0.5">
      <c r="A6" s="149" t="s">
        <v>12</v>
      </c>
      <c r="B6" s="148">
        <f>'Case Data'!E11</f>
        <v>9500</v>
      </c>
      <c r="D6" s="150" t="s">
        <v>13</v>
      </c>
      <c r="F6" s="38"/>
      <c r="G6" s="151">
        <f t="array" ref="G6:K6">TRANSPOSE(B4:B8)</f>
        <v>10000</v>
      </c>
      <c r="H6" s="151">
        <v>10500</v>
      </c>
      <c r="I6" s="151">
        <v>9500</v>
      </c>
      <c r="J6" s="151">
        <v>10000</v>
      </c>
      <c r="K6" s="151">
        <v>10500</v>
      </c>
      <c r="L6" s="152"/>
      <c r="M6" s="153"/>
    </row>
    <row r="7" spans="1:16" ht="19.25" customHeight="1" x14ac:dyDescent="0.5">
      <c r="A7" s="149" t="s">
        <v>14</v>
      </c>
      <c r="B7" s="148">
        <f>'Case Data'!E12</f>
        <v>10000</v>
      </c>
      <c r="D7" s="150" t="s">
        <v>15</v>
      </c>
      <c r="F7" s="38"/>
      <c r="G7" s="154">
        <f>$B$10</f>
        <v>25</v>
      </c>
      <c r="H7" s="154">
        <f t="shared" ref="H7:K7" si="0">$B$10</f>
        <v>25</v>
      </c>
      <c r="I7" s="154">
        <f t="shared" si="0"/>
        <v>25</v>
      </c>
      <c r="J7" s="154">
        <f t="shared" si="0"/>
        <v>25</v>
      </c>
      <c r="K7" s="154">
        <f t="shared" si="0"/>
        <v>25</v>
      </c>
      <c r="L7" s="38"/>
      <c r="M7" s="28"/>
    </row>
    <row r="8" spans="1:16" ht="19.25" customHeight="1" x14ac:dyDescent="0.5">
      <c r="A8" s="149" t="s">
        <v>10</v>
      </c>
      <c r="B8" s="148">
        <f>'Case Data'!E13</f>
        <v>10500</v>
      </c>
      <c r="D8" s="150" t="s">
        <v>16</v>
      </c>
      <c r="F8" s="38"/>
      <c r="G8" s="9">
        <f>G6*G7</f>
        <v>250000</v>
      </c>
      <c r="H8" s="9">
        <f t="shared" ref="H8:K8" si="1">H6*H7</f>
        <v>262500</v>
      </c>
      <c r="I8" s="9">
        <f t="shared" si="1"/>
        <v>237500</v>
      </c>
      <c r="J8" s="9">
        <f t="shared" si="1"/>
        <v>250000</v>
      </c>
      <c r="K8" s="9">
        <f t="shared" si="1"/>
        <v>262500</v>
      </c>
      <c r="L8" s="38"/>
      <c r="M8" s="153"/>
    </row>
    <row r="9" spans="1:16" ht="19.25" customHeight="1" x14ac:dyDescent="0.5">
      <c r="A9" s="149"/>
      <c r="B9" s="149"/>
      <c r="D9" s="150" t="s">
        <v>17</v>
      </c>
      <c r="F9" s="38"/>
      <c r="G9" s="9">
        <v>0</v>
      </c>
      <c r="H9" s="9">
        <v>0</v>
      </c>
      <c r="I9" s="9">
        <v>0</v>
      </c>
      <c r="J9" s="9">
        <v>0</v>
      </c>
      <c r="K9" s="9">
        <v>0</v>
      </c>
      <c r="L9" s="38"/>
      <c r="M9" s="153"/>
    </row>
    <row r="10" spans="1:16" ht="19.25" customHeight="1" thickBot="1" x14ac:dyDescent="0.55000000000000004">
      <c r="A10" s="145" t="s">
        <v>18</v>
      </c>
      <c r="B10" s="155">
        <f>'Case Data'!E16</f>
        <v>25</v>
      </c>
      <c r="D10" s="156" t="s">
        <v>19</v>
      </c>
      <c r="E10" s="12"/>
      <c r="F10" s="27"/>
      <c r="G10" s="157">
        <f>G8-G9</f>
        <v>250000</v>
      </c>
      <c r="H10" s="157">
        <f t="shared" ref="H10:K10" si="2">H8-H9</f>
        <v>262500</v>
      </c>
      <c r="I10" s="157">
        <f t="shared" si="2"/>
        <v>237500</v>
      </c>
      <c r="J10" s="157">
        <f t="shared" si="2"/>
        <v>250000</v>
      </c>
      <c r="K10" s="157">
        <f t="shared" si="2"/>
        <v>262500</v>
      </c>
      <c r="L10" s="27"/>
      <c r="M10" s="158">
        <f>SUM(H10:J10)</f>
        <v>750000</v>
      </c>
    </row>
    <row r="11" spans="1:16" ht="19.25" customHeight="1" thickBot="1" x14ac:dyDescent="0.55000000000000004"/>
    <row r="12" spans="1:16" ht="19.25" customHeight="1" x14ac:dyDescent="0.5">
      <c r="A12" s="60" t="s">
        <v>20</v>
      </c>
      <c r="B12" s="147"/>
      <c r="D12" s="60"/>
      <c r="E12" s="1"/>
      <c r="F12" s="2" t="s">
        <v>1</v>
      </c>
      <c r="G12" s="2"/>
      <c r="H12" s="2"/>
      <c r="I12" s="2"/>
      <c r="J12" s="2"/>
      <c r="K12" s="2"/>
      <c r="L12" s="2"/>
      <c r="M12" s="147"/>
    </row>
    <row r="13" spans="1:16" ht="19.25" customHeight="1" x14ac:dyDescent="0.5">
      <c r="A13" s="37" t="s">
        <v>21</v>
      </c>
      <c r="B13" s="159">
        <f>'Case Data'!E17</f>
        <v>0.3</v>
      </c>
      <c r="D13" s="37"/>
      <c r="F13" s="4" t="s">
        <v>22</v>
      </c>
      <c r="G13" s="4"/>
      <c r="H13" s="4"/>
      <c r="I13" s="4"/>
      <c r="J13" s="4"/>
      <c r="K13" s="4"/>
      <c r="L13" s="4"/>
      <c r="M13" s="18"/>
      <c r="O13" s="160"/>
      <c r="P13" s="160"/>
    </row>
    <row r="14" spans="1:16" ht="19.25" customHeight="1" x14ac:dyDescent="0.5">
      <c r="A14" s="37" t="s">
        <v>23</v>
      </c>
      <c r="B14" s="159">
        <f>'Case Data'!E18</f>
        <v>0.7</v>
      </c>
      <c r="D14" s="37"/>
      <c r="F14" s="4" t="s">
        <v>6</v>
      </c>
      <c r="G14" s="4"/>
      <c r="H14" s="4"/>
      <c r="I14" s="4"/>
      <c r="J14" s="4"/>
      <c r="K14" s="4"/>
      <c r="L14" s="4"/>
      <c r="M14" s="18"/>
      <c r="P14" s="161"/>
    </row>
    <row r="15" spans="1:16" ht="19.25" customHeight="1" x14ac:dyDescent="0.5">
      <c r="A15" s="37" t="s">
        <v>24</v>
      </c>
      <c r="B15" s="162">
        <v>1</v>
      </c>
      <c r="D15" s="37"/>
      <c r="M15" s="18"/>
      <c r="P15" s="161"/>
    </row>
    <row r="16" spans="1:16" x14ac:dyDescent="0.5">
      <c r="A16" s="37" t="s">
        <v>25</v>
      </c>
      <c r="B16" s="163">
        <v>0</v>
      </c>
      <c r="D16" s="37"/>
      <c r="F16" s="4" t="s">
        <v>2</v>
      </c>
      <c r="G16" s="3" t="s">
        <v>5</v>
      </c>
      <c r="H16" s="6" t="s">
        <v>7</v>
      </c>
      <c r="I16" s="6" t="s">
        <v>8</v>
      </c>
      <c r="J16" s="6" t="s">
        <v>9</v>
      </c>
      <c r="K16" s="3" t="s">
        <v>10</v>
      </c>
      <c r="L16" s="6"/>
      <c r="M16" s="15"/>
      <c r="P16" s="161"/>
    </row>
    <row r="17" spans="1:16" ht="19.25" customHeight="1" x14ac:dyDescent="0.5">
      <c r="A17" s="37" t="s">
        <v>26</v>
      </c>
      <c r="B17" s="164">
        <f>B13</f>
        <v>0.3</v>
      </c>
      <c r="D17" s="37" t="s">
        <v>27</v>
      </c>
      <c r="F17" s="38"/>
      <c r="G17" s="9">
        <f>G10</f>
        <v>250000</v>
      </c>
      <c r="H17" s="9">
        <f t="shared" ref="H17:K17" si="3">H10</f>
        <v>262500</v>
      </c>
      <c r="I17" s="9">
        <f t="shared" si="3"/>
        <v>237500</v>
      </c>
      <c r="J17" s="9">
        <f t="shared" si="3"/>
        <v>250000</v>
      </c>
      <c r="K17" s="9">
        <f t="shared" si="3"/>
        <v>262500</v>
      </c>
      <c r="L17" s="38"/>
      <c r="M17" s="28"/>
      <c r="O17" s="3" t="s">
        <v>255</v>
      </c>
      <c r="P17" s="38">
        <f>J17*(1-B17)</f>
        <v>175000</v>
      </c>
    </row>
    <row r="18" spans="1:16" ht="19.25" customHeight="1" x14ac:dyDescent="0.5">
      <c r="A18" s="37" t="s">
        <v>28</v>
      </c>
      <c r="B18" s="164">
        <f>B15*B14</f>
        <v>0.7</v>
      </c>
      <c r="D18" s="37" t="s">
        <v>29</v>
      </c>
      <c r="E18" s="165"/>
      <c r="H18" s="11">
        <f>H17*$B$17</f>
        <v>78750</v>
      </c>
      <c r="I18" s="11">
        <f t="shared" ref="I18:K18" si="4">I17*$B$17</f>
        <v>71250</v>
      </c>
      <c r="J18" s="11">
        <f t="shared" si="4"/>
        <v>75000</v>
      </c>
      <c r="K18" s="11">
        <f t="shared" si="4"/>
        <v>78750</v>
      </c>
      <c r="L18" s="38"/>
      <c r="M18" s="18"/>
      <c r="P18" s="38"/>
    </row>
    <row r="19" spans="1:16" x14ac:dyDescent="0.5">
      <c r="A19" s="37" t="s">
        <v>30</v>
      </c>
      <c r="B19" s="164">
        <f>B16*B14</f>
        <v>0</v>
      </c>
      <c r="D19" s="37" t="s">
        <v>31</v>
      </c>
      <c r="E19" s="165"/>
      <c r="H19" s="11">
        <f>G17*$B$18</f>
        <v>175000</v>
      </c>
      <c r="I19" s="11">
        <f t="shared" ref="I19:K19" si="5">H17*$B$18</f>
        <v>183750</v>
      </c>
      <c r="J19" s="11">
        <f t="shared" si="5"/>
        <v>166250</v>
      </c>
      <c r="K19" s="11">
        <f t="shared" si="5"/>
        <v>175000</v>
      </c>
      <c r="L19" s="38"/>
      <c r="M19" s="166"/>
      <c r="P19" s="38"/>
    </row>
    <row r="20" spans="1:16" ht="19.25" customHeight="1" x14ac:dyDescent="0.5">
      <c r="A20" s="37"/>
      <c r="B20" s="18"/>
      <c r="D20" s="37" t="s">
        <v>32</v>
      </c>
      <c r="E20" s="165"/>
      <c r="H20" s="11">
        <f>F17*$B$19</f>
        <v>0</v>
      </c>
      <c r="I20" s="11">
        <f t="shared" ref="I20:K20" si="6">G17*$B$19</f>
        <v>0</v>
      </c>
      <c r="J20" s="11">
        <f t="shared" si="6"/>
        <v>0</v>
      </c>
      <c r="K20" s="11">
        <f t="shared" si="6"/>
        <v>0</v>
      </c>
      <c r="L20" s="38"/>
      <c r="M20" s="18"/>
      <c r="P20" s="38"/>
    </row>
    <row r="21" spans="1:16" ht="19.25" customHeight="1" thickBot="1" x14ac:dyDescent="0.55000000000000004">
      <c r="A21" s="167"/>
      <c r="B21" s="168"/>
      <c r="D21" s="167" t="s">
        <v>33</v>
      </c>
      <c r="E21" s="12"/>
      <c r="F21" s="12"/>
      <c r="G21" s="12"/>
      <c r="H21" s="13">
        <f>SUM(H18:H20)</f>
        <v>253750</v>
      </c>
      <c r="I21" s="13">
        <f t="shared" ref="I21:K21" si="7">SUM(I18:I20)</f>
        <v>255000</v>
      </c>
      <c r="J21" s="13">
        <f t="shared" si="7"/>
        <v>241250</v>
      </c>
      <c r="K21" s="13">
        <f t="shared" si="7"/>
        <v>253750</v>
      </c>
      <c r="L21" s="27"/>
      <c r="M21" s="169"/>
      <c r="P21" s="38"/>
    </row>
    <row r="22" spans="1:16" ht="19.25" customHeight="1" thickBot="1" x14ac:dyDescent="0.55000000000000004">
      <c r="F22" s="38"/>
      <c r="G22" s="38"/>
      <c r="H22" s="38"/>
      <c r="I22" s="38"/>
      <c r="J22" s="38"/>
      <c r="K22" s="38"/>
      <c r="L22" s="38"/>
      <c r="P22" s="38"/>
    </row>
    <row r="23" spans="1:16" ht="41.45" customHeight="1" x14ac:dyDescent="0.5">
      <c r="A23" s="170" t="s">
        <v>34</v>
      </c>
      <c r="B23" s="171"/>
      <c r="D23" s="60"/>
      <c r="E23" s="1"/>
      <c r="F23" s="2" t="s">
        <v>1</v>
      </c>
      <c r="G23" s="2"/>
      <c r="H23" s="2"/>
      <c r="I23" s="2"/>
      <c r="J23" s="2"/>
      <c r="K23" s="2"/>
      <c r="L23" s="2"/>
      <c r="M23" s="147"/>
      <c r="P23" s="38"/>
    </row>
    <row r="24" spans="1:16" ht="40.25" customHeight="1" x14ac:dyDescent="0.5">
      <c r="A24" s="172" t="s">
        <v>35</v>
      </c>
      <c r="B24" s="173">
        <f>'Case Data'!E43</f>
        <v>0.8</v>
      </c>
      <c r="D24" s="37"/>
      <c r="F24" s="4" t="s">
        <v>34</v>
      </c>
      <c r="G24" s="4"/>
      <c r="H24" s="4"/>
      <c r="I24" s="4"/>
      <c r="J24" s="4"/>
      <c r="K24" s="4"/>
      <c r="L24" s="4"/>
      <c r="M24" s="18"/>
      <c r="P24" s="38"/>
    </row>
    <row r="25" spans="1:16" x14ac:dyDescent="0.5">
      <c r="A25" s="174" t="s">
        <v>36</v>
      </c>
      <c r="B25" s="175">
        <f>'Case Data'!E44</f>
        <v>11.450000000000001</v>
      </c>
      <c r="D25" s="37"/>
      <c r="F25" s="4" t="s">
        <v>6</v>
      </c>
      <c r="G25" s="4"/>
      <c r="H25" s="4"/>
      <c r="I25" s="4"/>
      <c r="J25" s="4"/>
      <c r="K25" s="4"/>
      <c r="L25" s="4"/>
      <c r="M25" s="18"/>
      <c r="P25" s="38"/>
    </row>
    <row r="26" spans="1:16" x14ac:dyDescent="0.5">
      <c r="A26" s="174"/>
      <c r="B26" s="175"/>
      <c r="D26" s="37"/>
      <c r="F26" s="113" t="s">
        <v>2</v>
      </c>
      <c r="G26" s="3" t="s">
        <v>5</v>
      </c>
      <c r="H26" s="6" t="s">
        <v>7</v>
      </c>
      <c r="I26" s="6" t="s">
        <v>8</v>
      </c>
      <c r="J26" s="6" t="s">
        <v>9</v>
      </c>
      <c r="K26" s="3" t="s">
        <v>10</v>
      </c>
      <c r="L26" s="6"/>
      <c r="M26" s="15" t="s">
        <v>2</v>
      </c>
      <c r="P26" s="38"/>
    </row>
    <row r="27" spans="1:16" x14ac:dyDescent="0.5">
      <c r="A27" s="176"/>
      <c r="B27" s="177"/>
      <c r="D27" s="37" t="s">
        <v>37</v>
      </c>
      <c r="F27" s="38"/>
      <c r="G27" s="16">
        <f>G6</f>
        <v>10000</v>
      </c>
      <c r="H27" s="16">
        <f t="shared" ref="H27:K27" si="8">H6</f>
        <v>10500</v>
      </c>
      <c r="I27" s="16">
        <f t="shared" si="8"/>
        <v>9500</v>
      </c>
      <c r="J27" s="16">
        <f t="shared" si="8"/>
        <v>10000</v>
      </c>
      <c r="K27" s="16">
        <f t="shared" si="8"/>
        <v>10500</v>
      </c>
      <c r="L27" s="17"/>
      <c r="M27" s="18"/>
      <c r="P27" s="38"/>
    </row>
    <row r="28" spans="1:16" ht="19.25" customHeight="1" x14ac:dyDescent="0.5">
      <c r="A28" s="176"/>
      <c r="B28" s="177"/>
      <c r="D28" s="37" t="s">
        <v>38</v>
      </c>
      <c r="G28" s="19">
        <f>$B$24*H27</f>
        <v>8400</v>
      </c>
      <c r="H28" s="20">
        <f t="shared" ref="H28:J28" si="9">$B$24*I27</f>
        <v>7600</v>
      </c>
      <c r="I28" s="20">
        <f t="shared" si="9"/>
        <v>8000</v>
      </c>
      <c r="J28" s="20">
        <f t="shared" si="9"/>
        <v>8400</v>
      </c>
      <c r="M28" s="21" t="s">
        <v>2</v>
      </c>
      <c r="P28" s="38"/>
    </row>
    <row r="29" spans="1:16" ht="19.25" customHeight="1" thickBot="1" x14ac:dyDescent="0.55000000000000004">
      <c r="A29" s="178"/>
      <c r="B29" s="179"/>
      <c r="D29" s="167" t="s">
        <v>2</v>
      </c>
      <c r="E29" s="12"/>
      <c r="F29" s="12"/>
      <c r="G29" s="22"/>
      <c r="H29" s="23"/>
      <c r="I29" s="23"/>
      <c r="J29" s="23"/>
      <c r="K29" s="12"/>
      <c r="L29" s="12"/>
      <c r="M29" s="24" t="s">
        <v>2</v>
      </c>
      <c r="P29" s="38"/>
    </row>
    <row r="30" spans="1:16" ht="19.25" customHeight="1" thickBot="1" x14ac:dyDescent="0.55000000000000004">
      <c r="F30" s="38"/>
      <c r="G30" s="17"/>
      <c r="H30" s="17"/>
      <c r="I30" s="17"/>
      <c r="J30" s="17"/>
      <c r="K30" s="17"/>
      <c r="L30" s="17"/>
      <c r="P30" s="38"/>
    </row>
    <row r="31" spans="1:16" ht="19.25" customHeight="1" x14ac:dyDescent="0.5">
      <c r="A31" s="60" t="s">
        <v>39</v>
      </c>
      <c r="B31" s="147"/>
      <c r="D31" s="60"/>
      <c r="E31" s="1"/>
      <c r="F31" s="2" t="s">
        <v>1</v>
      </c>
      <c r="G31" s="2"/>
      <c r="H31" s="2"/>
      <c r="I31" s="2"/>
      <c r="J31" s="2"/>
      <c r="K31" s="2"/>
      <c r="L31" s="2"/>
      <c r="M31" s="147"/>
      <c r="P31" s="38"/>
    </row>
    <row r="32" spans="1:16" ht="19.25" customHeight="1" thickBot="1" x14ac:dyDescent="0.55000000000000004">
      <c r="A32" s="167" t="s">
        <v>40</v>
      </c>
      <c r="B32" s="168"/>
      <c r="D32" s="37"/>
      <c r="F32" s="4" t="s">
        <v>41</v>
      </c>
      <c r="G32" s="4"/>
      <c r="H32" s="4"/>
      <c r="I32" s="4"/>
      <c r="J32" s="4"/>
      <c r="K32" s="4"/>
      <c r="L32" s="4"/>
      <c r="M32" s="18"/>
      <c r="P32" s="38"/>
    </row>
    <row r="33" spans="1:19" ht="19.25" customHeight="1" x14ac:dyDescent="0.5">
      <c r="D33" s="37"/>
      <c r="F33" s="4" t="s">
        <v>6</v>
      </c>
      <c r="G33" s="4"/>
      <c r="H33" s="4"/>
      <c r="I33" s="4"/>
      <c r="J33" s="4"/>
      <c r="K33" s="4"/>
      <c r="L33" s="4"/>
      <c r="M33" s="18"/>
      <c r="P33" s="38"/>
    </row>
    <row r="34" spans="1:19" ht="19.25" customHeight="1" x14ac:dyDescent="0.5">
      <c r="A34" s="100"/>
      <c r="D34" s="37" t="s">
        <v>2</v>
      </c>
      <c r="G34" s="3" t="s">
        <v>5</v>
      </c>
      <c r="H34" s="6" t="s">
        <v>7</v>
      </c>
      <c r="I34" s="6" t="s">
        <v>8</v>
      </c>
      <c r="J34" s="6" t="s">
        <v>9</v>
      </c>
      <c r="K34" s="3" t="s">
        <v>10</v>
      </c>
      <c r="L34" s="6"/>
      <c r="M34" s="18"/>
      <c r="P34" s="38"/>
    </row>
    <row r="35" spans="1:19" ht="19.25" customHeight="1" x14ac:dyDescent="0.5">
      <c r="A35" s="100"/>
      <c r="D35" s="37" t="s">
        <v>42</v>
      </c>
      <c r="G35" s="16">
        <f>G27</f>
        <v>10000</v>
      </c>
      <c r="H35" s="16">
        <f t="shared" ref="H35:K35" si="10">H27</f>
        <v>10500</v>
      </c>
      <c r="I35" s="16">
        <f t="shared" si="10"/>
        <v>9500</v>
      </c>
      <c r="J35" s="16">
        <f t="shared" si="10"/>
        <v>10000</v>
      </c>
      <c r="K35" s="16">
        <f t="shared" si="10"/>
        <v>10500</v>
      </c>
      <c r="L35" s="17"/>
      <c r="M35" s="18"/>
      <c r="P35" s="38"/>
    </row>
    <row r="36" spans="1:19" ht="19.25" customHeight="1" x14ac:dyDescent="0.5">
      <c r="A36" s="180"/>
      <c r="D36" s="37" t="s">
        <v>43</v>
      </c>
      <c r="G36" s="19">
        <f>G28</f>
        <v>8400</v>
      </c>
      <c r="H36" s="19">
        <f t="shared" ref="H36:J36" si="11">H28</f>
        <v>7600</v>
      </c>
      <c r="I36" s="19">
        <f t="shared" si="11"/>
        <v>8000</v>
      </c>
      <c r="J36" s="19">
        <f t="shared" si="11"/>
        <v>8400</v>
      </c>
      <c r="K36" s="17"/>
      <c r="L36" s="17"/>
      <c r="M36" s="18"/>
    </row>
    <row r="37" spans="1:19" ht="19.25" customHeight="1" x14ac:dyDescent="0.5">
      <c r="A37" s="100"/>
      <c r="D37" s="37" t="s">
        <v>44</v>
      </c>
      <c r="H37" s="25">
        <f>SUM(H35:H36)</f>
        <v>18100</v>
      </c>
      <c r="I37" s="25">
        <f t="shared" ref="I37:J37" si="12">SUM(I35:I36)</f>
        <v>17500</v>
      </c>
      <c r="J37" s="25">
        <f t="shared" si="12"/>
        <v>18400</v>
      </c>
      <c r="K37" s="17"/>
      <c r="L37" s="17"/>
      <c r="M37" s="18"/>
      <c r="O37" s="105"/>
    </row>
    <row r="38" spans="1:19" ht="19.25" customHeight="1" x14ac:dyDescent="0.5">
      <c r="A38" s="100"/>
      <c r="D38" s="37" t="s">
        <v>45</v>
      </c>
      <c r="H38" s="25">
        <f>G36</f>
        <v>8400</v>
      </c>
      <c r="I38" s="25">
        <f t="shared" ref="I38:J38" si="13">H36</f>
        <v>7600</v>
      </c>
      <c r="J38" s="25">
        <f t="shared" si="13"/>
        <v>8000</v>
      </c>
      <c r="M38" s="18"/>
      <c r="O38" s="105"/>
    </row>
    <row r="39" spans="1:19" ht="19.25" customHeight="1" thickBot="1" x14ac:dyDescent="0.55000000000000004">
      <c r="D39" s="167" t="s">
        <v>46</v>
      </c>
      <c r="E39" s="12"/>
      <c r="F39" s="12"/>
      <c r="G39" s="12"/>
      <c r="H39" s="26">
        <f>H37-H38</f>
        <v>9700</v>
      </c>
      <c r="I39" s="26">
        <f t="shared" ref="I39:J39" si="14">I37-I38</f>
        <v>9900</v>
      </c>
      <c r="J39" s="26">
        <f t="shared" si="14"/>
        <v>10400</v>
      </c>
      <c r="K39" s="27"/>
      <c r="L39" s="27"/>
      <c r="M39" s="24" t="s">
        <v>2</v>
      </c>
    </row>
    <row r="40" spans="1:19" ht="19.25" customHeight="1" thickBot="1" x14ac:dyDescent="0.55000000000000004"/>
    <row r="41" spans="1:19" ht="19.25" customHeight="1" x14ac:dyDescent="0.5">
      <c r="A41" s="181" t="s">
        <v>47</v>
      </c>
      <c r="B41" s="182"/>
      <c r="D41" s="60"/>
      <c r="E41" s="1"/>
      <c r="F41" s="2" t="s">
        <v>1</v>
      </c>
      <c r="G41" s="2"/>
      <c r="H41" s="183"/>
      <c r="I41" s="183"/>
      <c r="J41" s="183"/>
      <c r="K41" s="183"/>
      <c r="L41" s="183"/>
      <c r="M41" s="147"/>
    </row>
    <row r="42" spans="1:19" ht="19.25" customHeight="1" x14ac:dyDescent="0.5">
      <c r="A42" s="184" t="s">
        <v>48</v>
      </c>
      <c r="B42" s="185">
        <f>'Case Data'!E25</f>
        <v>0.5</v>
      </c>
      <c r="D42" s="37"/>
      <c r="F42" s="4" t="s">
        <v>49</v>
      </c>
      <c r="G42" s="4"/>
      <c r="H42" s="17"/>
      <c r="I42" s="17"/>
      <c r="J42" s="17"/>
      <c r="K42" s="17"/>
      <c r="L42" s="17"/>
      <c r="M42" s="18"/>
    </row>
    <row r="43" spans="1:19" ht="27" customHeight="1" x14ac:dyDescent="0.5">
      <c r="A43" s="186" t="s">
        <v>50</v>
      </c>
      <c r="B43" s="187">
        <f>'Case Data'!E24</f>
        <v>0.5</v>
      </c>
      <c r="D43" s="37"/>
      <c r="F43" s="4" t="s">
        <v>6</v>
      </c>
      <c r="G43" s="4"/>
      <c r="H43" s="17"/>
      <c r="I43" s="17"/>
      <c r="J43" s="17"/>
      <c r="K43" s="17"/>
      <c r="L43" s="17"/>
      <c r="M43" s="18"/>
      <c r="S43" s="100"/>
    </row>
    <row r="44" spans="1:19" ht="27" customHeight="1" x14ac:dyDescent="0.5">
      <c r="A44" s="184"/>
      <c r="B44" s="188"/>
      <c r="D44" s="37"/>
      <c r="F44" s="38"/>
      <c r="G44" s="3" t="s">
        <v>5</v>
      </c>
      <c r="H44" s="6" t="s">
        <v>7</v>
      </c>
      <c r="I44" s="6" t="s">
        <v>8</v>
      </c>
      <c r="J44" s="6" t="s">
        <v>9</v>
      </c>
      <c r="K44" s="3" t="s">
        <v>10</v>
      </c>
      <c r="L44" s="6" t="s">
        <v>2</v>
      </c>
      <c r="M44" s="15" t="s">
        <v>2</v>
      </c>
      <c r="O44" s="3" t="s">
        <v>2</v>
      </c>
      <c r="Q44" s="100"/>
    </row>
    <row r="45" spans="1:19" ht="19.25" customHeight="1" x14ac:dyDescent="0.5">
      <c r="A45" s="184" t="s">
        <v>51</v>
      </c>
      <c r="B45" s="188">
        <f>'Case Data'!E49</f>
        <v>2100</v>
      </c>
      <c r="D45" s="37" t="s">
        <v>46</v>
      </c>
      <c r="G45" s="17" t="s">
        <v>2</v>
      </c>
      <c r="H45" s="25">
        <f>H39</f>
        <v>9700</v>
      </c>
      <c r="I45" s="25">
        <f t="shared" ref="I45:J45" si="15">I39</f>
        <v>9900</v>
      </c>
      <c r="J45" s="25">
        <f t="shared" si="15"/>
        <v>10400</v>
      </c>
      <c r="K45" s="17"/>
      <c r="L45" s="17"/>
      <c r="M45" s="28"/>
      <c r="Q45" s="38"/>
    </row>
    <row r="46" spans="1:19" ht="19.25" customHeight="1" x14ac:dyDescent="0.5">
      <c r="A46" s="184" t="s">
        <v>52</v>
      </c>
      <c r="B46" s="189">
        <f>'Case Data'!E26</f>
        <v>12.6</v>
      </c>
      <c r="D46" s="37" t="s">
        <v>53</v>
      </c>
      <c r="H46" s="29">
        <f>$B$42*H45</f>
        <v>4850</v>
      </c>
      <c r="I46" s="29">
        <f t="shared" ref="I46:J46" si="16">$B$42*I45</f>
        <v>4950</v>
      </c>
      <c r="J46" s="29">
        <f t="shared" si="16"/>
        <v>5200</v>
      </c>
      <c r="M46" s="18"/>
    </row>
    <row r="47" spans="1:19" ht="19.25" customHeight="1" x14ac:dyDescent="0.5">
      <c r="A47" s="184" t="s">
        <v>54</v>
      </c>
      <c r="B47" s="190" t="s">
        <v>55</v>
      </c>
      <c r="D47" s="37" t="s">
        <v>56</v>
      </c>
      <c r="G47" s="29">
        <f>$B$43*H46</f>
        <v>2425</v>
      </c>
      <c r="H47" s="29">
        <f t="shared" ref="H47:I47" si="17">$B$43*I46</f>
        <v>2475</v>
      </c>
      <c r="I47" s="29">
        <f t="shared" si="17"/>
        <v>2600</v>
      </c>
      <c r="J47" s="29">
        <f>B45</f>
        <v>2100</v>
      </c>
      <c r="M47" s="18"/>
    </row>
    <row r="48" spans="1:19" ht="19.25" customHeight="1" x14ac:dyDescent="0.5">
      <c r="A48" s="184" t="s">
        <v>57</v>
      </c>
      <c r="B48" s="191">
        <f>'Case Data'!B20</f>
        <v>63315</v>
      </c>
      <c r="D48" s="37" t="s">
        <v>58</v>
      </c>
      <c r="H48" s="29">
        <f>SUM(H46:H47)</f>
        <v>7325</v>
      </c>
      <c r="I48" s="29">
        <f t="shared" ref="I48:J48" si="18">SUM(I46:I47)</f>
        <v>7550</v>
      </c>
      <c r="J48" s="29">
        <f t="shared" si="18"/>
        <v>7300</v>
      </c>
      <c r="M48" s="18"/>
    </row>
    <row r="49" spans="1:19" ht="19.25" customHeight="1" x14ac:dyDescent="0.5">
      <c r="A49" s="184"/>
      <c r="B49" s="192"/>
      <c r="D49" s="37" t="s">
        <v>59</v>
      </c>
      <c r="H49" s="29">
        <f>G47</f>
        <v>2425</v>
      </c>
      <c r="I49" s="29">
        <f t="shared" ref="I49:J49" si="19">H47</f>
        <v>2475</v>
      </c>
      <c r="J49" s="29">
        <f t="shared" si="19"/>
        <v>2600</v>
      </c>
      <c r="K49" s="17"/>
      <c r="L49" s="17"/>
      <c r="M49" s="18"/>
    </row>
    <row r="50" spans="1:19" ht="19.25" customHeight="1" x14ac:dyDescent="0.5">
      <c r="A50" s="184"/>
      <c r="B50" s="193"/>
      <c r="D50" s="37" t="s">
        <v>60</v>
      </c>
      <c r="H50" s="29">
        <f>H48-H49</f>
        <v>4900</v>
      </c>
      <c r="I50" s="29">
        <f t="shared" ref="I50:J50" si="20">I48-I49</f>
        <v>5075</v>
      </c>
      <c r="J50" s="29">
        <f t="shared" si="20"/>
        <v>4700</v>
      </c>
      <c r="M50" s="18"/>
    </row>
    <row r="51" spans="1:19" ht="19.25" customHeight="1" thickBot="1" x14ac:dyDescent="0.55000000000000004">
      <c r="A51" s="184"/>
      <c r="B51" s="192"/>
      <c r="D51" s="37" t="s">
        <v>61</v>
      </c>
      <c r="H51" s="30">
        <f>$B$46*H50</f>
        <v>61740</v>
      </c>
      <c r="I51" s="30">
        <f t="shared" ref="I51:J51" si="21">$B$46*I50</f>
        <v>63945</v>
      </c>
      <c r="J51" s="30">
        <f t="shared" si="21"/>
        <v>59220</v>
      </c>
      <c r="L51" s="31" t="s">
        <v>2</v>
      </c>
      <c r="M51" s="32"/>
      <c r="O51" s="31" t="s">
        <v>2</v>
      </c>
    </row>
    <row r="52" spans="1:19" ht="19.25" customHeight="1" thickBot="1" x14ac:dyDescent="0.55000000000000004">
      <c r="A52" s="194"/>
      <c r="B52" s="195"/>
      <c r="D52" s="167" t="s">
        <v>62</v>
      </c>
      <c r="E52" s="12"/>
      <c r="F52" s="12"/>
      <c r="G52" s="12"/>
      <c r="H52" s="33">
        <f>B48</f>
        <v>63315</v>
      </c>
      <c r="I52" s="33">
        <f>H51</f>
        <v>61740</v>
      </c>
      <c r="J52" s="33">
        <f t="shared" ref="J52:K52" si="22">I51</f>
        <v>63945</v>
      </c>
      <c r="K52" s="34">
        <f t="shared" si="22"/>
        <v>59220</v>
      </c>
      <c r="L52" s="35"/>
      <c r="M52" s="36"/>
    </row>
    <row r="53" spans="1:19" ht="19.25" customHeight="1" thickBot="1" x14ac:dyDescent="0.55000000000000004"/>
    <row r="54" spans="1:19" ht="19.25" customHeight="1" x14ac:dyDescent="0.5">
      <c r="A54" s="181" t="s">
        <v>63</v>
      </c>
      <c r="B54" s="182"/>
      <c r="D54" s="60"/>
      <c r="E54" s="1"/>
      <c r="F54" s="2" t="s">
        <v>1</v>
      </c>
      <c r="G54" s="2"/>
      <c r="H54" s="183"/>
      <c r="I54" s="183"/>
      <c r="J54" s="183"/>
      <c r="K54" s="183"/>
      <c r="L54" s="183"/>
      <c r="M54" s="147"/>
    </row>
    <row r="55" spans="1:19" ht="19.25" customHeight="1" x14ac:dyDescent="0.5">
      <c r="A55" s="184" t="s">
        <v>64</v>
      </c>
      <c r="B55" s="196">
        <f>'Case Data'!E31</f>
        <v>0.25</v>
      </c>
      <c r="D55" s="37"/>
      <c r="F55" s="4" t="s">
        <v>65</v>
      </c>
      <c r="G55" s="4"/>
      <c r="H55" s="17"/>
      <c r="I55" s="17"/>
      <c r="J55" s="17"/>
      <c r="K55" s="17"/>
      <c r="L55" s="17"/>
      <c r="M55" s="18"/>
    </row>
    <row r="56" spans="1:19" ht="19.25" customHeight="1" x14ac:dyDescent="0.5">
      <c r="A56" s="184" t="s">
        <v>66</v>
      </c>
      <c r="B56" s="197">
        <f>'Case Data'!E32</f>
        <v>15</v>
      </c>
      <c r="D56" s="37"/>
      <c r="F56" s="4" t="s">
        <v>6</v>
      </c>
      <c r="G56" s="4"/>
      <c r="H56" s="17"/>
      <c r="I56" s="17"/>
      <c r="J56" s="17"/>
      <c r="K56" s="17"/>
      <c r="L56" s="17"/>
      <c r="M56" s="18"/>
    </row>
    <row r="57" spans="1:19" ht="19.25" customHeight="1" x14ac:dyDescent="0.5">
      <c r="A57" s="184"/>
      <c r="B57" s="192"/>
      <c r="D57" s="37"/>
      <c r="F57" s="38"/>
      <c r="G57" s="3" t="s">
        <v>5</v>
      </c>
      <c r="H57" s="6" t="s">
        <v>7</v>
      </c>
      <c r="I57" s="6" t="s">
        <v>8</v>
      </c>
      <c r="J57" s="6" t="s">
        <v>9</v>
      </c>
      <c r="K57" s="3" t="s">
        <v>10</v>
      </c>
      <c r="L57" s="6"/>
      <c r="M57" s="15" t="s">
        <v>6</v>
      </c>
    </row>
    <row r="58" spans="1:19" ht="19.25" customHeight="1" x14ac:dyDescent="0.5">
      <c r="A58" s="184"/>
      <c r="B58" s="198"/>
      <c r="D58" s="37" t="s">
        <v>67</v>
      </c>
      <c r="H58" s="25">
        <f>H39</f>
        <v>9700</v>
      </c>
      <c r="I58" s="25">
        <f t="shared" ref="I58:J58" si="23">I39</f>
        <v>9900</v>
      </c>
      <c r="J58" s="25">
        <f t="shared" si="23"/>
        <v>10400</v>
      </c>
      <c r="M58" s="18"/>
    </row>
    <row r="59" spans="1:19" ht="19.25" customHeight="1" x14ac:dyDescent="0.5">
      <c r="A59" s="184"/>
      <c r="B59" s="192"/>
      <c r="D59" s="37" t="s">
        <v>68</v>
      </c>
      <c r="H59" s="39">
        <f>$B$55*H58</f>
        <v>2425</v>
      </c>
      <c r="I59" s="39">
        <f t="shared" ref="I59:J59" si="24">$B$55*I58</f>
        <v>2475</v>
      </c>
      <c r="J59" s="39">
        <f t="shared" si="24"/>
        <v>2600</v>
      </c>
      <c r="K59" s="38"/>
      <c r="L59" s="38"/>
      <c r="M59" s="21"/>
    </row>
    <row r="60" spans="1:19" ht="19.25" customHeight="1" thickBot="1" x14ac:dyDescent="0.55000000000000004">
      <c r="A60" s="194"/>
      <c r="B60" s="195"/>
      <c r="D60" s="167" t="s">
        <v>69</v>
      </c>
      <c r="E60" s="12"/>
      <c r="F60" s="12"/>
      <c r="G60" s="12"/>
      <c r="H60" s="40">
        <f>$B$56*H59</f>
        <v>36375</v>
      </c>
      <c r="I60" s="40">
        <f t="shared" ref="I60:J60" si="25">$B$56*I59</f>
        <v>37125</v>
      </c>
      <c r="J60" s="40">
        <f t="shared" si="25"/>
        <v>39000</v>
      </c>
      <c r="K60" s="27"/>
      <c r="L60" s="27"/>
      <c r="M60" s="41"/>
    </row>
    <row r="61" spans="1:19" ht="19.25" customHeight="1" thickBot="1" x14ac:dyDescent="0.55000000000000004">
      <c r="H61" s="56"/>
      <c r="I61" s="56"/>
      <c r="J61" s="56"/>
      <c r="K61" s="38"/>
      <c r="L61" s="38"/>
    </row>
    <row r="62" spans="1:19" ht="19.25" customHeight="1" x14ac:dyDescent="0.5">
      <c r="A62" s="181" t="s">
        <v>70</v>
      </c>
      <c r="B62" s="182"/>
      <c r="D62" s="60"/>
      <c r="E62" s="1"/>
      <c r="F62" s="2" t="s">
        <v>1</v>
      </c>
      <c r="G62" s="2"/>
      <c r="H62" s="183"/>
      <c r="I62" s="183"/>
      <c r="J62" s="183"/>
      <c r="K62" s="183"/>
      <c r="L62" s="183"/>
      <c r="M62" s="147"/>
    </row>
    <row r="63" spans="1:19" ht="19.25" customHeight="1" x14ac:dyDescent="0.5">
      <c r="A63" s="184" t="s">
        <v>71</v>
      </c>
      <c r="B63" s="193">
        <f>'Case Data'!E36</f>
        <v>3.6</v>
      </c>
      <c r="D63" s="37"/>
      <c r="F63" s="4" t="s">
        <v>72</v>
      </c>
      <c r="G63" s="4"/>
      <c r="H63" s="17"/>
      <c r="I63" s="17"/>
      <c r="J63" s="17"/>
      <c r="K63" s="17"/>
      <c r="L63" s="17"/>
      <c r="M63" s="18"/>
      <c r="Q63" s="6"/>
      <c r="R63" s="6"/>
      <c r="S63" s="6"/>
    </row>
    <row r="64" spans="1:19" ht="19.25" customHeight="1" x14ac:dyDescent="0.5">
      <c r="A64" s="184" t="s">
        <v>73</v>
      </c>
      <c r="B64" s="199">
        <f>'Case Data'!E38</f>
        <v>5000</v>
      </c>
      <c r="D64" s="37"/>
      <c r="F64" s="4" t="s">
        <v>6</v>
      </c>
      <c r="G64" s="4"/>
      <c r="H64" s="17"/>
      <c r="I64" s="17"/>
      <c r="J64" s="17"/>
      <c r="K64" s="17"/>
      <c r="L64" s="17"/>
      <c r="M64" s="18"/>
    </row>
    <row r="65" spans="1:19" ht="16.8" customHeight="1" x14ac:dyDescent="0.5">
      <c r="A65" s="184" t="s">
        <v>74</v>
      </c>
      <c r="B65" s="193">
        <f>'Case Data'!E40</f>
        <v>0.5</v>
      </c>
      <c r="D65" s="37"/>
      <c r="F65" s="38"/>
      <c r="G65" s="3" t="s">
        <v>5</v>
      </c>
      <c r="H65" s="6" t="s">
        <v>7</v>
      </c>
      <c r="I65" s="6" t="s">
        <v>8</v>
      </c>
      <c r="J65" s="6" t="s">
        <v>9</v>
      </c>
      <c r="K65" s="3" t="s">
        <v>10</v>
      </c>
      <c r="L65" s="6"/>
      <c r="M65" s="15" t="s">
        <v>6</v>
      </c>
      <c r="O65" s="200"/>
      <c r="Q65" s="201"/>
      <c r="R65" s="201"/>
      <c r="S65" s="202"/>
    </row>
    <row r="66" spans="1:19" x14ac:dyDescent="0.5">
      <c r="A66" s="203" t="s">
        <v>2</v>
      </c>
      <c r="B66" s="193" t="s">
        <v>2</v>
      </c>
      <c r="D66" s="37" t="s">
        <v>75</v>
      </c>
      <c r="H66" s="29">
        <f>H59</f>
        <v>2425</v>
      </c>
      <c r="I66" s="29">
        <f t="shared" ref="I66:J66" si="26">I59</f>
        <v>2475</v>
      </c>
      <c r="J66" s="29">
        <f t="shared" si="26"/>
        <v>2600</v>
      </c>
      <c r="M66" s="18"/>
      <c r="O66" s="200"/>
      <c r="Q66" s="31"/>
      <c r="R66" s="31"/>
      <c r="S66" s="31"/>
    </row>
    <row r="67" spans="1:19" ht="19.25" customHeight="1" x14ac:dyDescent="0.5">
      <c r="A67" s="184"/>
      <c r="B67" s="192"/>
      <c r="D67" s="37" t="s">
        <v>76</v>
      </c>
      <c r="H67" s="43">
        <f>$B$63*H66</f>
        <v>8730</v>
      </c>
      <c r="I67" s="43">
        <f t="shared" ref="I67:J67" si="27">$B$63*I66</f>
        <v>8910</v>
      </c>
      <c r="J67" s="43">
        <f t="shared" si="27"/>
        <v>9360</v>
      </c>
      <c r="K67" s="38"/>
      <c r="L67" s="38"/>
      <c r="M67" s="44" t="s">
        <v>2</v>
      </c>
      <c r="O67" s="200"/>
      <c r="Q67" s="31"/>
      <c r="R67" s="31"/>
      <c r="S67" s="31"/>
    </row>
    <row r="68" spans="1:19" ht="19.25" customHeight="1" x14ac:dyDescent="0.5">
      <c r="A68" s="184"/>
      <c r="B68" s="192"/>
      <c r="D68" s="37" t="s">
        <v>77</v>
      </c>
      <c r="H68" s="45">
        <f>$B$64</f>
        <v>5000</v>
      </c>
      <c r="I68" s="45">
        <f t="shared" ref="I68:J68" si="28">$B$64</f>
        <v>5000</v>
      </c>
      <c r="J68" s="45">
        <f t="shared" si="28"/>
        <v>5000</v>
      </c>
      <c r="K68" s="38"/>
      <c r="L68" s="38"/>
      <c r="M68" s="46">
        <f>SUM(H68:J68)</f>
        <v>15000</v>
      </c>
      <c r="O68" s="204"/>
      <c r="Q68" s="205"/>
    </row>
    <row r="69" spans="1:19" ht="19.25" customHeight="1" thickBot="1" x14ac:dyDescent="0.55000000000000004">
      <c r="A69" s="194"/>
      <c r="B69" s="195"/>
      <c r="D69" s="167" t="s">
        <v>78</v>
      </c>
      <c r="E69" s="12"/>
      <c r="F69" s="12"/>
      <c r="G69" s="12"/>
      <c r="H69" s="40">
        <f>SUM(H67:H68)</f>
        <v>13730</v>
      </c>
      <c r="I69" s="40">
        <f t="shared" ref="I69:J69" si="29">SUM(I67:I68)</f>
        <v>13910</v>
      </c>
      <c r="J69" s="40">
        <f t="shared" si="29"/>
        <v>14360</v>
      </c>
      <c r="K69" s="27"/>
      <c r="L69" s="27"/>
      <c r="M69" s="47" t="s">
        <v>2</v>
      </c>
      <c r="O69" s="204"/>
      <c r="Q69" s="55"/>
    </row>
    <row r="70" spans="1:19" ht="19.25" customHeight="1" thickBot="1" x14ac:dyDescent="0.55000000000000004">
      <c r="H70" s="56"/>
      <c r="I70" s="56"/>
      <c r="J70" s="56"/>
      <c r="K70" s="38"/>
      <c r="L70" s="38"/>
      <c r="M70" s="56"/>
      <c r="O70" s="204"/>
      <c r="Q70" s="56"/>
    </row>
    <row r="71" spans="1:19" ht="19.25" customHeight="1" x14ac:dyDescent="0.5">
      <c r="A71" s="206" t="s">
        <v>79</v>
      </c>
      <c r="B71" s="207"/>
      <c r="D71" s="60"/>
      <c r="E71" s="1"/>
      <c r="F71" s="2" t="s">
        <v>1</v>
      </c>
      <c r="G71" s="2"/>
      <c r="H71" s="183"/>
      <c r="I71" s="183"/>
      <c r="J71" s="183"/>
      <c r="K71" s="183"/>
      <c r="L71" s="183"/>
      <c r="M71" s="147"/>
      <c r="O71" s="204"/>
      <c r="Q71" s="205"/>
    </row>
    <row r="72" spans="1:19" ht="19.25" customHeight="1" x14ac:dyDescent="0.5">
      <c r="A72" s="208" t="s">
        <v>80</v>
      </c>
      <c r="B72" s="209">
        <f>'Case Data'!E53</f>
        <v>0.12</v>
      </c>
      <c r="D72" s="37"/>
      <c r="F72" s="4" t="s">
        <v>81</v>
      </c>
      <c r="G72" s="4"/>
      <c r="H72" s="17"/>
      <c r="I72" s="17"/>
      <c r="J72" s="17"/>
      <c r="K72" s="17"/>
      <c r="L72" s="17"/>
      <c r="M72" s="18"/>
    </row>
    <row r="73" spans="1:19" ht="25.8" customHeight="1" x14ac:dyDescent="0.5">
      <c r="A73" s="208" t="s">
        <v>82</v>
      </c>
      <c r="B73" s="210">
        <f>'Case Data'!E20</f>
        <v>3500</v>
      </c>
      <c r="D73" s="37"/>
      <c r="F73" s="4" t="s">
        <v>6</v>
      </c>
      <c r="G73" s="4"/>
      <c r="H73" s="17"/>
      <c r="I73" s="17"/>
      <c r="J73" s="17"/>
      <c r="K73" s="17"/>
      <c r="L73" s="17"/>
      <c r="M73" s="18"/>
      <c r="O73" s="204"/>
      <c r="Q73" s="31"/>
    </row>
    <row r="74" spans="1:19" ht="27" customHeight="1" x14ac:dyDescent="0.5">
      <c r="A74" s="208" t="s">
        <v>83</v>
      </c>
      <c r="B74" s="210">
        <f>'Case Data'!E21</f>
        <v>4000</v>
      </c>
      <c r="D74" s="37"/>
      <c r="F74" s="38"/>
      <c r="G74" s="3" t="s">
        <v>5</v>
      </c>
      <c r="H74" s="6" t="s">
        <v>7</v>
      </c>
      <c r="I74" s="6" t="s">
        <v>8</v>
      </c>
      <c r="J74" s="6" t="s">
        <v>9</v>
      </c>
      <c r="K74" s="3" t="s">
        <v>10</v>
      </c>
      <c r="L74" s="6"/>
      <c r="M74" s="15" t="s">
        <v>6</v>
      </c>
      <c r="O74" s="204"/>
      <c r="Q74" s="31"/>
    </row>
    <row r="75" spans="1:19" ht="19.25" customHeight="1" x14ac:dyDescent="0.5">
      <c r="A75" s="208"/>
      <c r="B75" s="211"/>
      <c r="D75" s="37" t="s">
        <v>84</v>
      </c>
      <c r="H75" s="9">
        <f>H10</f>
        <v>262500</v>
      </c>
      <c r="I75" s="9">
        <f t="shared" ref="I75:J75" si="30">I10</f>
        <v>237500</v>
      </c>
      <c r="J75" s="9">
        <f t="shared" si="30"/>
        <v>250000</v>
      </c>
      <c r="M75" s="18"/>
      <c r="O75" s="204"/>
    </row>
    <row r="76" spans="1:19" ht="19.25" customHeight="1" x14ac:dyDescent="0.5">
      <c r="A76" s="208"/>
      <c r="B76" s="211"/>
      <c r="D76" s="37" t="s">
        <v>85</v>
      </c>
      <c r="H76" s="48">
        <f>$B$72*H75</f>
        <v>31500</v>
      </c>
      <c r="I76" s="48">
        <f t="shared" ref="I76:J76" si="31">$B$72*I75</f>
        <v>28500</v>
      </c>
      <c r="J76" s="48">
        <f t="shared" si="31"/>
        <v>30000</v>
      </c>
      <c r="K76" s="38"/>
      <c r="L76" s="38"/>
      <c r="M76" s="49">
        <f>SUM(H76:J76)</f>
        <v>90000</v>
      </c>
      <c r="O76" s="204"/>
      <c r="Q76" s="31"/>
    </row>
    <row r="77" spans="1:19" ht="19.25" customHeight="1" x14ac:dyDescent="0.5">
      <c r="A77" s="208"/>
      <c r="B77" s="211"/>
      <c r="D77" s="37" t="s">
        <v>86</v>
      </c>
      <c r="H77" s="50">
        <f>$B$73</f>
        <v>3500</v>
      </c>
      <c r="I77" s="50">
        <f>$B$74</f>
        <v>4000</v>
      </c>
      <c r="J77" s="50">
        <f>I77</f>
        <v>4000</v>
      </c>
      <c r="K77" s="38"/>
      <c r="L77" s="38"/>
      <c r="M77" s="49">
        <f>SUM(H77:J77)</f>
        <v>11500</v>
      </c>
    </row>
    <row r="78" spans="1:19" ht="19.25" customHeight="1" thickBot="1" x14ac:dyDescent="0.55000000000000004">
      <c r="A78" s="212"/>
      <c r="B78" s="213"/>
      <c r="D78" s="167" t="s">
        <v>247</v>
      </c>
      <c r="E78" s="12"/>
      <c r="F78" s="12"/>
      <c r="G78" s="12"/>
      <c r="H78" s="51">
        <f>SUM(H76:H77)</f>
        <v>35000</v>
      </c>
      <c r="I78" s="51">
        <f t="shared" ref="I78:J78" si="32">SUM(I76:I77)</f>
        <v>32500</v>
      </c>
      <c r="J78" s="51">
        <f t="shared" si="32"/>
        <v>34000</v>
      </c>
      <c r="K78" s="27"/>
      <c r="L78" s="27"/>
      <c r="M78" s="47"/>
    </row>
    <row r="79" spans="1:19" ht="19.25" customHeight="1" thickBot="1" x14ac:dyDescent="0.55000000000000004">
      <c r="H79" s="56"/>
      <c r="I79" s="56"/>
      <c r="J79" s="56"/>
      <c r="K79" s="38"/>
      <c r="L79" s="38"/>
      <c r="M79" s="56"/>
      <c r="O79" s="204"/>
    </row>
    <row r="80" spans="1:19" ht="19.25" customHeight="1" x14ac:dyDescent="0.5">
      <c r="A80" s="206" t="s">
        <v>87</v>
      </c>
      <c r="B80" s="207"/>
      <c r="D80" s="60"/>
      <c r="E80" s="1"/>
      <c r="F80" s="2" t="s">
        <v>1</v>
      </c>
      <c r="G80" s="2"/>
      <c r="H80" s="183"/>
      <c r="I80" s="183"/>
      <c r="J80" s="183"/>
      <c r="K80" s="183"/>
      <c r="L80" s="183"/>
      <c r="M80" s="147"/>
      <c r="O80" s="204"/>
      <c r="Q80" s="214"/>
    </row>
    <row r="81" spans="1:17" ht="25.25" customHeight="1" x14ac:dyDescent="0.5">
      <c r="A81" s="208" t="s">
        <v>88</v>
      </c>
      <c r="B81" s="53">
        <f>'Case Data'!E45</f>
        <v>8000</v>
      </c>
      <c r="D81" s="37"/>
      <c r="F81" s="4" t="s">
        <v>89</v>
      </c>
      <c r="G81" s="4"/>
      <c r="H81" s="17"/>
      <c r="I81" s="17"/>
      <c r="J81" s="17"/>
      <c r="K81" s="17"/>
      <c r="L81" s="17"/>
      <c r="M81" s="18"/>
      <c r="O81" s="204"/>
      <c r="Q81" s="214"/>
    </row>
    <row r="82" spans="1:17" ht="30.6" customHeight="1" x14ac:dyDescent="0.5">
      <c r="A82" s="208" t="s">
        <v>90</v>
      </c>
      <c r="B82" s="211"/>
      <c r="D82" s="37"/>
      <c r="F82" s="4" t="s">
        <v>6</v>
      </c>
      <c r="G82" s="4"/>
      <c r="H82" s="17"/>
      <c r="I82" s="17"/>
      <c r="J82" s="17"/>
      <c r="K82" s="17"/>
      <c r="L82" s="17"/>
      <c r="M82" s="18"/>
      <c r="O82" s="204"/>
      <c r="Q82" s="31"/>
    </row>
    <row r="83" spans="1:17" ht="19.25" customHeight="1" x14ac:dyDescent="0.5">
      <c r="A83" s="215" t="s">
        <v>91</v>
      </c>
      <c r="B83" s="53">
        <f>'Case Data'!B22</f>
        <v>200000</v>
      </c>
      <c r="D83" s="37"/>
      <c r="F83" s="38"/>
      <c r="G83" s="3" t="s">
        <v>5</v>
      </c>
      <c r="H83" s="6" t="s">
        <v>7</v>
      </c>
      <c r="I83" s="6" t="s">
        <v>8</v>
      </c>
      <c r="J83" s="6" t="s">
        <v>9</v>
      </c>
      <c r="K83" s="3" t="s">
        <v>10</v>
      </c>
      <c r="L83" s="6"/>
      <c r="M83" s="15" t="s">
        <v>6</v>
      </c>
      <c r="O83" s="204"/>
      <c r="Q83" s="216"/>
    </row>
    <row r="84" spans="1:17" ht="19.25" customHeight="1" x14ac:dyDescent="0.5">
      <c r="A84" s="215" t="s">
        <v>92</v>
      </c>
      <c r="B84" s="217">
        <f>'Case Data'!E52/12</f>
        <v>8.9999999999999993E-3</v>
      </c>
      <c r="D84" s="37" t="s">
        <v>93</v>
      </c>
      <c r="H84" s="52">
        <f>$B$81</f>
        <v>8000</v>
      </c>
      <c r="I84" s="52">
        <f t="shared" ref="I84:J84" si="33">$B$81</f>
        <v>8000</v>
      </c>
      <c r="J84" s="52">
        <f t="shared" si="33"/>
        <v>8000</v>
      </c>
      <c r="M84" s="53">
        <f t="shared" ref="M84:M85" si="34">SUM(H84:J84)</f>
        <v>24000</v>
      </c>
      <c r="O84" s="204"/>
      <c r="Q84" s="31"/>
    </row>
    <row r="85" spans="1:17" ht="19.25" customHeight="1" x14ac:dyDescent="0.5">
      <c r="A85" s="215" t="s">
        <v>94</v>
      </c>
      <c r="B85" s="218">
        <f>B83*B84</f>
        <v>1799.9999999999998</v>
      </c>
      <c r="D85" s="37" t="s">
        <v>95</v>
      </c>
      <c r="H85" s="48">
        <f>$B$85</f>
        <v>1799.9999999999998</v>
      </c>
      <c r="I85" s="48">
        <f t="shared" ref="I85:J85" si="35">$B$85</f>
        <v>1799.9999999999998</v>
      </c>
      <c r="J85" s="48">
        <f t="shared" si="35"/>
        <v>1799.9999999999998</v>
      </c>
      <c r="K85" s="38"/>
      <c r="L85" s="38"/>
      <c r="M85" s="53">
        <f t="shared" si="34"/>
        <v>5399.9999999999991</v>
      </c>
    </row>
    <row r="86" spans="1:17" ht="19.25" customHeight="1" thickBot="1" x14ac:dyDescent="0.55000000000000004">
      <c r="A86" s="212"/>
      <c r="B86" s="213"/>
      <c r="D86" s="167" t="s">
        <v>96</v>
      </c>
      <c r="E86" s="12"/>
      <c r="F86" s="12"/>
      <c r="G86" s="12"/>
      <c r="H86" s="54">
        <f>SUM(H84:H85)</f>
        <v>9800</v>
      </c>
      <c r="I86" s="54">
        <f t="shared" ref="I86:J86" si="36">SUM(I84:I85)</f>
        <v>9800</v>
      </c>
      <c r="J86" s="54">
        <f t="shared" si="36"/>
        <v>9800</v>
      </c>
      <c r="K86" s="27"/>
      <c r="L86" s="27"/>
      <c r="M86" s="47" t="s">
        <v>2</v>
      </c>
    </row>
    <row r="87" spans="1:17" ht="19.25" customHeight="1" thickBot="1" x14ac:dyDescent="0.55000000000000004">
      <c r="H87" s="55"/>
      <c r="I87" s="55"/>
      <c r="J87" s="55"/>
      <c r="K87" s="38"/>
      <c r="L87" s="38"/>
      <c r="M87" s="56"/>
    </row>
    <row r="88" spans="1:17" ht="19.25" customHeight="1" x14ac:dyDescent="0.5">
      <c r="A88" s="219" t="s">
        <v>97</v>
      </c>
      <c r="B88" s="207"/>
      <c r="D88" s="60"/>
      <c r="E88" s="1"/>
      <c r="F88" s="2" t="s">
        <v>1</v>
      </c>
      <c r="G88" s="2"/>
      <c r="H88" s="183"/>
      <c r="I88" s="183"/>
      <c r="J88" s="183"/>
      <c r="K88" s="183"/>
      <c r="L88" s="183"/>
      <c r="M88" s="147"/>
    </row>
    <row r="89" spans="1:17" ht="19.25" customHeight="1" x14ac:dyDescent="0.5">
      <c r="A89" s="208" t="s">
        <v>48</v>
      </c>
      <c r="B89" s="220">
        <f>B42</f>
        <v>0.5</v>
      </c>
      <c r="D89" s="37"/>
      <c r="F89" s="4" t="s">
        <v>98</v>
      </c>
      <c r="G89" s="4"/>
      <c r="H89" s="17"/>
      <c r="I89" s="17"/>
      <c r="J89" s="17"/>
      <c r="K89" s="17"/>
      <c r="L89" s="17"/>
      <c r="M89" s="18"/>
    </row>
    <row r="90" spans="1:17" ht="19.25" customHeight="1" x14ac:dyDescent="0.5">
      <c r="A90" s="208" t="s">
        <v>52</v>
      </c>
      <c r="B90" s="221">
        <f>B46</f>
        <v>12.6</v>
      </c>
      <c r="D90" s="37"/>
      <c r="F90" s="4" t="s">
        <v>6</v>
      </c>
      <c r="G90" s="4"/>
      <c r="H90" s="17"/>
      <c r="I90" s="17"/>
      <c r="J90" s="17"/>
      <c r="K90" s="17"/>
      <c r="L90" s="17"/>
      <c r="M90" s="18"/>
    </row>
    <row r="91" spans="1:17" ht="19.25" customHeight="1" x14ac:dyDescent="0.5">
      <c r="A91" s="208" t="s">
        <v>64</v>
      </c>
      <c r="B91" s="222">
        <f>B55</f>
        <v>0.25</v>
      </c>
      <c r="D91" s="37"/>
      <c r="F91" s="38"/>
      <c r="G91" s="3" t="s">
        <v>5</v>
      </c>
      <c r="H91" s="6" t="s">
        <v>7</v>
      </c>
      <c r="I91" s="6" t="s">
        <v>8</v>
      </c>
      <c r="J91" s="6" t="s">
        <v>9</v>
      </c>
      <c r="K91" s="3" t="s">
        <v>10</v>
      </c>
      <c r="L91" s="6"/>
      <c r="M91" s="15" t="s">
        <v>6</v>
      </c>
    </row>
    <row r="92" spans="1:17" ht="19.25" customHeight="1" x14ac:dyDescent="0.5">
      <c r="A92" s="208" t="s">
        <v>66</v>
      </c>
      <c r="B92" s="223">
        <f>B56</f>
        <v>15</v>
      </c>
      <c r="D92" s="37" t="s">
        <v>99</v>
      </c>
      <c r="H92" s="16">
        <f>H35</f>
        <v>10500</v>
      </c>
      <c r="I92" s="9">
        <f t="shared" ref="I92:J92" si="37">I35</f>
        <v>9500</v>
      </c>
      <c r="J92" s="9">
        <f t="shared" si="37"/>
        <v>10000</v>
      </c>
      <c r="K92" s="38"/>
      <c r="M92" s="18"/>
    </row>
    <row r="93" spans="1:17" ht="19.25" customHeight="1" x14ac:dyDescent="0.5">
      <c r="A93" s="208" t="s">
        <v>71</v>
      </c>
      <c r="B93" s="224">
        <f>B63</f>
        <v>3.6</v>
      </c>
      <c r="D93" s="37" t="s">
        <v>53</v>
      </c>
      <c r="G93" s="17"/>
      <c r="H93" s="29">
        <f>$B$89*H92</f>
        <v>5250</v>
      </c>
      <c r="I93" s="29">
        <f t="shared" ref="I93:J93" si="38">$B$89*I92</f>
        <v>4750</v>
      </c>
      <c r="J93" s="29">
        <f t="shared" si="38"/>
        <v>5000</v>
      </c>
      <c r="K93" s="38"/>
      <c r="L93" s="38"/>
      <c r="M93" s="44"/>
    </row>
    <row r="94" spans="1:17" ht="19.25" customHeight="1" x14ac:dyDescent="0.5">
      <c r="A94" s="208" t="s">
        <v>74</v>
      </c>
      <c r="B94" s="224">
        <f>B65</f>
        <v>0.5</v>
      </c>
      <c r="D94" s="37" t="s">
        <v>68</v>
      </c>
      <c r="H94" s="29">
        <f>$B$91*H92</f>
        <v>2625</v>
      </c>
      <c r="I94" s="29">
        <f t="shared" ref="I94:J94" si="39">$B$91*I92</f>
        <v>2375</v>
      </c>
      <c r="J94" s="29">
        <f t="shared" si="39"/>
        <v>2500</v>
      </c>
      <c r="K94" s="38"/>
      <c r="L94" s="38"/>
      <c r="M94" s="44"/>
    </row>
    <row r="95" spans="1:17" ht="19.25" customHeight="1" x14ac:dyDescent="0.5">
      <c r="A95" s="208"/>
      <c r="B95" s="211"/>
      <c r="D95" s="37" t="s">
        <v>100</v>
      </c>
      <c r="H95" s="122">
        <f>$B$90*H93</f>
        <v>66150</v>
      </c>
      <c r="I95" s="122">
        <f t="shared" ref="I95:J95" si="40">$B$90*I93</f>
        <v>59850</v>
      </c>
      <c r="J95" s="122">
        <f t="shared" si="40"/>
        <v>63000</v>
      </c>
      <c r="K95" s="38"/>
      <c r="L95" s="38"/>
      <c r="M95" s="44"/>
    </row>
    <row r="96" spans="1:17" ht="19.25" customHeight="1" x14ac:dyDescent="0.5">
      <c r="A96" s="208"/>
      <c r="B96" s="211"/>
      <c r="D96" s="37" t="s">
        <v>101</v>
      </c>
      <c r="H96" s="122">
        <f>$B$92*H94</f>
        <v>39375</v>
      </c>
      <c r="I96" s="122">
        <f t="shared" ref="I96:J96" si="41">$B$92*I94</f>
        <v>35625</v>
      </c>
      <c r="J96" s="122">
        <f t="shared" si="41"/>
        <v>37500</v>
      </c>
      <c r="K96" s="38"/>
      <c r="L96" s="38"/>
      <c r="M96" s="44"/>
    </row>
    <row r="97" spans="1:16" ht="19.25" customHeight="1" x14ac:dyDescent="0.5">
      <c r="A97" s="208"/>
      <c r="B97" s="211"/>
      <c r="D97" s="37" t="s">
        <v>102</v>
      </c>
      <c r="H97" s="122">
        <f>$B$93*H94</f>
        <v>9450</v>
      </c>
      <c r="I97" s="122">
        <f t="shared" ref="I97:J97" si="42">$B$93*I94</f>
        <v>8550</v>
      </c>
      <c r="J97" s="122">
        <f t="shared" si="42"/>
        <v>9000</v>
      </c>
      <c r="K97" s="38"/>
      <c r="L97" s="38"/>
      <c r="M97" s="44"/>
    </row>
    <row r="98" spans="1:16" ht="19.25" customHeight="1" x14ac:dyDescent="0.5">
      <c r="A98" s="208"/>
      <c r="B98" s="211"/>
      <c r="D98" s="37" t="s">
        <v>103</v>
      </c>
      <c r="H98" s="122">
        <f>$B$94*H92</f>
        <v>5250</v>
      </c>
      <c r="I98" s="122">
        <f t="shared" ref="I98:J98" si="43">$B$94*I92</f>
        <v>4750</v>
      </c>
      <c r="J98" s="122">
        <f t="shared" si="43"/>
        <v>5000</v>
      </c>
      <c r="K98" s="38"/>
      <c r="L98" s="38"/>
      <c r="M98" s="44"/>
    </row>
    <row r="99" spans="1:16" ht="19.25" customHeight="1" thickBot="1" x14ac:dyDescent="0.55000000000000004">
      <c r="A99" s="212"/>
      <c r="B99" s="213"/>
      <c r="D99" s="167" t="s">
        <v>104</v>
      </c>
      <c r="E99" s="12"/>
      <c r="F99" s="12"/>
      <c r="G99" s="12"/>
      <c r="H99" s="112">
        <f>SUM(H95:H98)</f>
        <v>120225</v>
      </c>
      <c r="I99" s="112">
        <f t="shared" ref="I99:J99" si="44">SUM(I95:I98)</f>
        <v>108775</v>
      </c>
      <c r="J99" s="112">
        <f t="shared" si="44"/>
        <v>114500</v>
      </c>
      <c r="K99" s="22" t="s">
        <v>2</v>
      </c>
      <c r="L99" s="27"/>
      <c r="M99" s="57">
        <f>SUM(H99:J99)</f>
        <v>343500</v>
      </c>
    </row>
    <row r="100" spans="1:16" ht="19.25" customHeight="1" x14ac:dyDescent="0.5">
      <c r="H100" s="55"/>
      <c r="I100" s="55"/>
      <c r="J100" s="55"/>
      <c r="K100" s="38"/>
      <c r="L100" s="38"/>
      <c r="M100" s="56"/>
    </row>
    <row r="101" spans="1:16" ht="16.149999999999999" thickBot="1" x14ac:dyDescent="0.55000000000000004"/>
    <row r="102" spans="1:16" x14ac:dyDescent="0.5">
      <c r="A102" s="225" t="s">
        <v>105</v>
      </c>
      <c r="B102" s="226"/>
      <c r="D102" s="60"/>
      <c r="E102" s="1"/>
      <c r="F102" s="139" t="s">
        <v>1</v>
      </c>
      <c r="G102" s="139"/>
      <c r="H102" s="139"/>
      <c r="I102" s="139"/>
      <c r="J102" s="2"/>
      <c r="K102" s="123"/>
      <c r="L102" s="4"/>
    </row>
    <row r="103" spans="1:16" x14ac:dyDescent="0.5">
      <c r="A103" s="227" t="s">
        <v>106</v>
      </c>
      <c r="B103" s="228">
        <f>'Case Data'!B10</f>
        <v>50000</v>
      </c>
      <c r="D103" s="37"/>
      <c r="F103" s="140" t="s">
        <v>107</v>
      </c>
      <c r="G103" s="140"/>
      <c r="H103" s="140"/>
      <c r="I103" s="140"/>
      <c r="J103" s="4"/>
      <c r="K103" s="124"/>
      <c r="L103" s="4"/>
    </row>
    <row r="104" spans="1:16" x14ac:dyDescent="0.5">
      <c r="A104" s="227" t="s">
        <v>2</v>
      </c>
      <c r="B104" s="228"/>
      <c r="D104" s="37"/>
      <c r="F104" s="140" t="s">
        <v>6</v>
      </c>
      <c r="G104" s="140"/>
      <c r="H104" s="140"/>
      <c r="I104" s="140"/>
      <c r="J104" s="4"/>
      <c r="K104" s="124"/>
      <c r="L104" s="4"/>
    </row>
    <row r="105" spans="1:16" x14ac:dyDescent="0.5">
      <c r="A105" s="227" t="s">
        <v>108</v>
      </c>
      <c r="B105" s="228">
        <f>'Case Data'!E55</f>
        <v>50000</v>
      </c>
      <c r="D105" s="229" t="s">
        <v>109</v>
      </c>
      <c r="E105" s="113" t="s">
        <v>110</v>
      </c>
      <c r="F105" s="3" t="s">
        <v>5</v>
      </c>
      <c r="G105" s="6" t="s">
        <v>7</v>
      </c>
      <c r="H105" s="6" t="s">
        <v>8</v>
      </c>
      <c r="I105" s="6" t="s">
        <v>9</v>
      </c>
      <c r="J105" s="6" t="s">
        <v>111</v>
      </c>
      <c r="K105" s="18"/>
    </row>
    <row r="106" spans="1:16" x14ac:dyDescent="0.5">
      <c r="A106" s="227" t="s">
        <v>112</v>
      </c>
      <c r="B106" s="230">
        <f>'Case Data'!E56</f>
        <v>50000</v>
      </c>
      <c r="D106" s="58" t="s">
        <v>113</v>
      </c>
      <c r="E106" s="113"/>
      <c r="G106" s="114"/>
      <c r="H106" s="114"/>
      <c r="I106" s="114"/>
      <c r="K106" s="18"/>
    </row>
    <row r="107" spans="1:16" x14ac:dyDescent="0.5">
      <c r="A107" s="227" t="s">
        <v>252</v>
      </c>
      <c r="B107" s="231">
        <f>'Case Data'!E53</f>
        <v>0.12</v>
      </c>
      <c r="D107" s="232" t="s">
        <v>114</v>
      </c>
      <c r="E107" s="3" t="s">
        <v>115</v>
      </c>
      <c r="G107" s="97">
        <f>H21</f>
        <v>253750</v>
      </c>
      <c r="H107" s="98">
        <f t="shared" ref="H107:I107" si="45">I21</f>
        <v>255000</v>
      </c>
      <c r="I107" s="99">
        <f t="shared" si="45"/>
        <v>241250</v>
      </c>
      <c r="K107" s="18"/>
    </row>
    <row r="108" spans="1:16" x14ac:dyDescent="0.5">
      <c r="A108" s="227" t="s">
        <v>253</v>
      </c>
      <c r="B108" s="233">
        <f>'Case Data'!E54</f>
        <v>7.0000000000000007E-2</v>
      </c>
      <c r="D108" s="59" t="s">
        <v>116</v>
      </c>
      <c r="E108" s="6" t="s">
        <v>2</v>
      </c>
      <c r="F108" s="6"/>
      <c r="G108" s="115">
        <f>SUM(G107)</f>
        <v>253750</v>
      </c>
      <c r="H108" s="115">
        <f>SUM(H107)</f>
        <v>255000</v>
      </c>
      <c r="I108" s="115">
        <f>SUM(I107)</f>
        <v>241250</v>
      </c>
      <c r="K108" s="44"/>
      <c r="L108" s="56"/>
      <c r="O108" s="56"/>
      <c r="P108" s="56"/>
    </row>
    <row r="109" spans="1:16" x14ac:dyDescent="0.5">
      <c r="A109" s="227" t="s">
        <v>117</v>
      </c>
      <c r="B109" s="228">
        <f>'Case Data'!E59</f>
        <v>12000</v>
      </c>
      <c r="D109" s="234" t="s">
        <v>118</v>
      </c>
      <c r="E109" s="6"/>
      <c r="F109" s="6"/>
      <c r="G109" s="115"/>
      <c r="H109" s="115"/>
      <c r="I109" s="115"/>
      <c r="K109" s="18"/>
    </row>
    <row r="110" spans="1:16" x14ac:dyDescent="0.5">
      <c r="A110" s="227" t="s">
        <v>119</v>
      </c>
      <c r="B110" s="228">
        <f>'Case Data'!E46</f>
        <v>55000</v>
      </c>
      <c r="D110" s="235" t="s">
        <v>120</v>
      </c>
      <c r="E110" s="3" t="s">
        <v>121</v>
      </c>
      <c r="G110" s="45">
        <f>H52</f>
        <v>63315</v>
      </c>
      <c r="H110" s="45">
        <f t="shared" ref="H110:I110" si="46">I52</f>
        <v>61740</v>
      </c>
      <c r="I110" s="45">
        <f t="shared" si="46"/>
        <v>63945</v>
      </c>
      <c r="K110" s="28"/>
      <c r="L110" s="38"/>
      <c r="O110" s="38"/>
      <c r="P110" s="38"/>
    </row>
    <row r="111" spans="1:16" x14ac:dyDescent="0.5">
      <c r="A111" s="227" t="s">
        <v>122</v>
      </c>
      <c r="B111" s="228">
        <f>'Case Data'!E58</f>
        <v>100000</v>
      </c>
      <c r="D111" s="235" t="s">
        <v>123</v>
      </c>
      <c r="E111" s="3" t="s">
        <v>124</v>
      </c>
      <c r="G111" s="116">
        <f>H60</f>
        <v>36375</v>
      </c>
      <c r="H111" s="116">
        <f t="shared" ref="H111:I111" si="47">I60</f>
        <v>37125</v>
      </c>
      <c r="I111" s="116">
        <f t="shared" si="47"/>
        <v>39000</v>
      </c>
      <c r="K111" s="28"/>
      <c r="L111" s="38"/>
      <c r="O111" s="38"/>
      <c r="P111" s="38"/>
    </row>
    <row r="112" spans="1:16" x14ac:dyDescent="0.5">
      <c r="A112" s="227" t="s">
        <v>125</v>
      </c>
      <c r="B112" s="236">
        <v>11.45</v>
      </c>
      <c r="D112" s="237" t="s">
        <v>246</v>
      </c>
      <c r="E112" s="3" t="s">
        <v>126</v>
      </c>
      <c r="G112" s="116">
        <f>H67</f>
        <v>8730</v>
      </c>
      <c r="H112" s="116">
        <f t="shared" ref="H112:I112" si="48">I67</f>
        <v>8910</v>
      </c>
      <c r="I112" s="116">
        <f t="shared" si="48"/>
        <v>9360</v>
      </c>
      <c r="K112" s="28"/>
      <c r="L112" s="38"/>
      <c r="O112" s="38"/>
      <c r="P112" s="38"/>
    </row>
    <row r="113" spans="1:16" x14ac:dyDescent="0.5">
      <c r="A113" s="227" t="s">
        <v>127</v>
      </c>
      <c r="B113" s="238">
        <f>'Case Data'!E57</f>
        <v>0.35</v>
      </c>
      <c r="D113" s="237" t="s">
        <v>128</v>
      </c>
      <c r="E113" s="3" t="s">
        <v>129</v>
      </c>
      <c r="G113" s="117">
        <f>H78</f>
        <v>35000</v>
      </c>
      <c r="H113" s="117">
        <f t="shared" ref="H113:I113" si="49">I78</f>
        <v>32500</v>
      </c>
      <c r="I113" s="117">
        <f t="shared" si="49"/>
        <v>34000</v>
      </c>
      <c r="K113" s="28"/>
      <c r="L113" s="38"/>
      <c r="O113" s="38"/>
      <c r="P113" s="38"/>
    </row>
    <row r="114" spans="1:16" x14ac:dyDescent="0.5">
      <c r="A114" s="227"/>
      <c r="B114" s="228"/>
      <c r="D114" s="237" t="s">
        <v>130</v>
      </c>
      <c r="E114" s="3" t="s">
        <v>131</v>
      </c>
      <c r="G114" s="117">
        <f>H86</f>
        <v>9800</v>
      </c>
      <c r="H114" s="117">
        <f t="shared" ref="H114:I114" si="50">I86</f>
        <v>9800</v>
      </c>
      <c r="I114" s="117">
        <f t="shared" si="50"/>
        <v>9800</v>
      </c>
      <c r="K114" s="28"/>
      <c r="L114" s="38"/>
      <c r="O114" s="38"/>
      <c r="P114" s="38"/>
    </row>
    <row r="115" spans="1:16" x14ac:dyDescent="0.5">
      <c r="A115" s="227"/>
      <c r="B115" s="239"/>
      <c r="D115" s="232" t="s">
        <v>132</v>
      </c>
      <c r="E115" s="3" t="s">
        <v>248</v>
      </c>
      <c r="G115" s="93">
        <f>IF(F126&gt;0,F126*$G$131,F126*$G$132)</f>
        <v>120</v>
      </c>
      <c r="H115" s="93">
        <f>IF(G126&gt;0,G126*$G$131,G126*$G$132)</f>
        <v>-515.72500000000002</v>
      </c>
      <c r="I115" s="93">
        <f>IF(H126&gt;0,H126*$G$131,H126*$G$132)</f>
        <v>561.49275000000023</v>
      </c>
      <c r="K115" s="28"/>
      <c r="L115" s="38"/>
      <c r="M115" s="38"/>
      <c r="N115" s="240"/>
      <c r="O115" s="38"/>
      <c r="P115" s="38"/>
    </row>
    <row r="116" spans="1:16" x14ac:dyDescent="0.5">
      <c r="A116" s="227"/>
      <c r="B116" s="239"/>
      <c r="D116" s="235" t="s">
        <v>133</v>
      </c>
      <c r="E116" s="3" t="s">
        <v>134</v>
      </c>
      <c r="G116" s="118"/>
      <c r="H116" s="118"/>
      <c r="I116" s="118">
        <f>$B$110</f>
        <v>55000</v>
      </c>
      <c r="J116" s="118">
        <f>SUM(G116:I116)</f>
        <v>55000</v>
      </c>
      <c r="K116" s="28"/>
      <c r="L116" s="38"/>
      <c r="O116" s="38"/>
      <c r="P116" s="38"/>
    </row>
    <row r="117" spans="1:16" ht="16.149999999999999" thickBot="1" x14ac:dyDescent="0.55000000000000004">
      <c r="A117" s="241"/>
      <c r="B117" s="242"/>
      <c r="D117" s="235" t="s">
        <v>135</v>
      </c>
      <c r="E117" s="3" t="s">
        <v>134</v>
      </c>
      <c r="G117" s="118">
        <v>0</v>
      </c>
      <c r="H117" s="118">
        <v>250000</v>
      </c>
      <c r="I117" s="118">
        <v>0</v>
      </c>
      <c r="J117" s="118">
        <f>SUM(G117:I117)</f>
        <v>250000</v>
      </c>
      <c r="K117" s="28"/>
      <c r="L117" s="38"/>
      <c r="O117" s="38"/>
      <c r="P117" s="38"/>
    </row>
    <row r="118" spans="1:16" x14ac:dyDescent="0.5">
      <c r="D118" s="59" t="s">
        <v>136</v>
      </c>
      <c r="E118" s="6"/>
      <c r="F118" s="6"/>
      <c r="G118" s="56">
        <f>SUM(G110:G117)</f>
        <v>153340</v>
      </c>
      <c r="H118" s="56">
        <f>SUM(H110:H117)</f>
        <v>399559.27500000002</v>
      </c>
      <c r="I118" s="56">
        <f>SUM(I110:I117)</f>
        <v>211666.49275</v>
      </c>
      <c r="K118" s="44"/>
      <c r="L118" s="56"/>
      <c r="O118" s="56"/>
      <c r="P118" s="56"/>
    </row>
    <row r="119" spans="1:16" x14ac:dyDescent="0.5">
      <c r="D119" s="37"/>
      <c r="K119" s="18"/>
      <c r="M119" s="38"/>
    </row>
    <row r="120" spans="1:16" x14ac:dyDescent="0.5">
      <c r="D120" s="37" t="s">
        <v>137</v>
      </c>
      <c r="E120" s="38" t="s">
        <v>138</v>
      </c>
      <c r="G120" s="94">
        <f>F125</f>
        <v>50000</v>
      </c>
      <c r="H120" s="94">
        <f>G125</f>
        <v>50000</v>
      </c>
      <c r="I120" s="94">
        <f>H125</f>
        <v>50000</v>
      </c>
      <c r="K120" s="243"/>
      <c r="L120" s="244"/>
      <c r="O120" s="244"/>
      <c r="P120" s="244"/>
    </row>
    <row r="121" spans="1:16" ht="18" customHeight="1" x14ac:dyDescent="0.5">
      <c r="D121" s="37" t="s">
        <v>139</v>
      </c>
      <c r="G121" s="94">
        <f>G108-G118</f>
        <v>100410</v>
      </c>
      <c r="H121" s="94">
        <f>H108-H118</f>
        <v>-144559.27500000002</v>
      </c>
      <c r="I121" s="94">
        <f>I108-I118</f>
        <v>29583.507249999995</v>
      </c>
      <c r="K121" s="28"/>
      <c r="L121" s="38"/>
      <c r="O121" s="38"/>
      <c r="P121" s="38"/>
    </row>
    <row r="122" spans="1:16" ht="20.45" customHeight="1" x14ac:dyDescent="0.5">
      <c r="D122" s="37" t="s">
        <v>140</v>
      </c>
      <c r="G122" s="94">
        <f>SUM(G120:G121)</f>
        <v>150410</v>
      </c>
      <c r="H122" s="94">
        <f>SUM(H120:H121)</f>
        <v>-94559.275000000023</v>
      </c>
      <c r="I122" s="94">
        <f>SUM(I120:I121)</f>
        <v>79583.507249999995</v>
      </c>
      <c r="K122" s="18"/>
      <c r="L122" s="3" t="s">
        <v>2</v>
      </c>
      <c r="P122" s="38"/>
    </row>
    <row r="123" spans="1:16" x14ac:dyDescent="0.5">
      <c r="D123" s="227" t="s">
        <v>141</v>
      </c>
      <c r="G123" s="92">
        <f>IF(G122&lt;$E$129,IF(F126&lt;0,MAX($E$129+F126-G122,0),$E$129-G122),IF(F126&gt;0,-MIN(F126,G122-$E$129),0))</f>
        <v>-12000</v>
      </c>
      <c r="H123" s="92">
        <f>IF(H122&lt;$E$129,IF(G126&lt;0,MAX($E$129+G126-H122,0),$E$129-H122),IF(G126&gt;0,-MIN(G126,H122-$E$129),0))</f>
        <v>56149.275000000023</v>
      </c>
      <c r="I123" s="92">
        <f>IF(I122&lt;$E$129,IF(H126&lt;0,MAX($E$129+H126-I122,0),$E$129-I122),IF(H126&gt;0,-MIN(H126,I122-$E$129),0))</f>
        <v>-29583.507249999995</v>
      </c>
      <c r="K123" s="28"/>
      <c r="L123" s="38" t="s">
        <v>2</v>
      </c>
      <c r="M123" s="6"/>
      <c r="O123" s="38"/>
      <c r="P123" s="38"/>
    </row>
    <row r="124" spans="1:16" x14ac:dyDescent="0.5">
      <c r="D124" s="227" t="s">
        <v>142</v>
      </c>
      <c r="G124" s="92">
        <f>IF(AND(G122+G123&lt;$E$129,F126&lt;0),G122+G123-$E$129,IF(G122+G123&gt;$E$130,G122+G123-$E$130,0))</f>
        <v>88410</v>
      </c>
      <c r="H124" s="92">
        <f>IF(AND(H122+H123&lt;$E$129,G126&lt;0),H122+H123-$E$129,IF(H122+H123&gt;$E$130,H122+H123-$E$130,0))</f>
        <v>-88410</v>
      </c>
      <c r="I124" s="92">
        <f>IF(AND(I122+I123&lt;$E$129,H126&lt;0),I122+I123-$E$129,IF(I122+I123&gt;$E$130,I122+I123-$E$130,0))</f>
        <v>0</v>
      </c>
      <c r="K124" s="28"/>
      <c r="L124" s="38"/>
      <c r="M124" s="100"/>
      <c r="O124" s="38"/>
      <c r="P124" s="38"/>
    </row>
    <row r="125" spans="1:16" x14ac:dyDescent="0.5">
      <c r="D125" s="37" t="s">
        <v>143</v>
      </c>
      <c r="F125" s="38">
        <f>B103</f>
        <v>50000</v>
      </c>
      <c r="G125" s="94">
        <f>SUM(G122:G123)-G124</f>
        <v>50000</v>
      </c>
      <c r="H125" s="94">
        <f>SUM(H122:H123)-H124</f>
        <v>50000</v>
      </c>
      <c r="I125" s="94">
        <f>SUM(I122:I123)-I124</f>
        <v>50000</v>
      </c>
      <c r="K125" s="28"/>
      <c r="L125" s="38"/>
      <c r="M125" s="6"/>
      <c r="O125" s="38"/>
      <c r="P125" s="38"/>
    </row>
    <row r="126" spans="1:16" x14ac:dyDescent="0.5">
      <c r="B126" s="38"/>
      <c r="D126" s="227" t="s">
        <v>144</v>
      </c>
      <c r="F126" s="38">
        <f>B109</f>
        <v>12000</v>
      </c>
      <c r="G126" s="93">
        <f>F126+G123-G124</f>
        <v>-88410</v>
      </c>
      <c r="H126" s="93">
        <f>G126+H123-H124</f>
        <v>56149.275000000023</v>
      </c>
      <c r="I126" s="93">
        <f>H126+I123-I124</f>
        <v>26565.767750000028</v>
      </c>
      <c r="J126" s="125" t="s">
        <v>256</v>
      </c>
      <c r="K126" s="245">
        <f>MAX(G126:I126)</f>
        <v>56149.275000000023</v>
      </c>
    </row>
    <row r="127" spans="1:16" x14ac:dyDescent="0.5">
      <c r="D127" s="37" t="s">
        <v>145</v>
      </c>
      <c r="G127" s="93">
        <f>F127+G115</f>
        <v>120</v>
      </c>
      <c r="H127" s="93">
        <f>G127+H115</f>
        <v>-395.72500000000002</v>
      </c>
      <c r="I127" s="93">
        <f>H127+I115</f>
        <v>165.76775000000021</v>
      </c>
      <c r="K127" s="28"/>
      <c r="L127" s="38"/>
      <c r="N127" s="38" t="s">
        <v>2</v>
      </c>
    </row>
    <row r="128" spans="1:16" x14ac:dyDescent="0.5">
      <c r="D128" s="37"/>
      <c r="K128" s="18"/>
    </row>
    <row r="129" spans="1:15" x14ac:dyDescent="0.5">
      <c r="D129" s="37" t="s">
        <v>146</v>
      </c>
      <c r="E129" s="93">
        <f>B105</f>
        <v>50000</v>
      </c>
      <c r="K129" s="18"/>
    </row>
    <row r="130" spans="1:15" x14ac:dyDescent="0.5">
      <c r="D130" s="37" t="s">
        <v>147</v>
      </c>
      <c r="E130" s="93">
        <f>B106</f>
        <v>50000</v>
      </c>
      <c r="I130" s="100" t="s">
        <v>2</v>
      </c>
      <c r="K130" s="28"/>
      <c r="L130" s="38"/>
    </row>
    <row r="131" spans="1:15" x14ac:dyDescent="0.5">
      <c r="D131" s="37" t="s">
        <v>148</v>
      </c>
      <c r="E131" s="96">
        <f>B107</f>
        <v>0.12</v>
      </c>
      <c r="F131" s="3" t="s">
        <v>149</v>
      </c>
      <c r="G131" s="95">
        <f>E131/12</f>
        <v>0.01</v>
      </c>
      <c r="H131" s="91"/>
      <c r="I131" s="91"/>
      <c r="K131" s="18"/>
    </row>
    <row r="132" spans="1:15" ht="16.8" customHeight="1" thickBot="1" x14ac:dyDescent="0.55000000000000004">
      <c r="D132" s="167" t="s">
        <v>150</v>
      </c>
      <c r="E132" s="119">
        <v>7.0000000000000007E-2</v>
      </c>
      <c r="F132" s="12" t="s">
        <v>149</v>
      </c>
      <c r="G132" s="120">
        <f>E132/12</f>
        <v>5.8333333333333336E-3</v>
      </c>
      <c r="H132" s="121"/>
      <c r="I132" s="121"/>
      <c r="J132" s="12"/>
      <c r="K132" s="168"/>
      <c r="N132" s="240"/>
    </row>
    <row r="133" spans="1:15" ht="21" customHeight="1" x14ac:dyDescent="0.5">
      <c r="A133" s="6"/>
      <c r="O133" s="38" t="s">
        <v>2</v>
      </c>
    </row>
    <row r="134" spans="1:15" x14ac:dyDescent="0.5">
      <c r="A134" s="113"/>
      <c r="B134" s="113"/>
      <c r="N134" s="38"/>
      <c r="O134" s="38"/>
    </row>
    <row r="135" spans="1:15" x14ac:dyDescent="0.5">
      <c r="A135" s="246"/>
      <c r="B135" s="246"/>
      <c r="D135" s="140" t="s">
        <v>151</v>
      </c>
      <c r="E135" s="140"/>
      <c r="F135" s="140"/>
      <c r="N135" s="38"/>
      <c r="O135" s="38"/>
    </row>
    <row r="136" spans="1:15" x14ac:dyDescent="0.5">
      <c r="D136" s="140" t="s">
        <v>152</v>
      </c>
      <c r="E136" s="140"/>
      <c r="F136" s="140"/>
      <c r="N136" s="38"/>
      <c r="O136" s="38"/>
    </row>
    <row r="137" spans="1:15" ht="16.149999999999999" thickBot="1" x14ac:dyDescent="0.55000000000000004">
      <c r="N137" s="247"/>
      <c r="O137" s="38"/>
    </row>
    <row r="138" spans="1:15" x14ac:dyDescent="0.5">
      <c r="A138" s="6"/>
      <c r="D138" s="60" t="s">
        <v>153</v>
      </c>
      <c r="E138" s="1" t="s">
        <v>154</v>
      </c>
      <c r="F138" s="61">
        <f>M10</f>
        <v>750000</v>
      </c>
    </row>
    <row r="139" spans="1:15" ht="17.45" customHeight="1" x14ac:dyDescent="0.5">
      <c r="A139" s="3" t="s">
        <v>2</v>
      </c>
      <c r="B139" s="248"/>
      <c r="D139" s="37" t="s">
        <v>155</v>
      </c>
      <c r="E139" s="3" t="s">
        <v>156</v>
      </c>
      <c r="F139" s="53">
        <f>M99</f>
        <v>343500</v>
      </c>
      <c r="I139" s="38"/>
      <c r="N139" s="247"/>
    </row>
    <row r="140" spans="1:15" ht="17.45" customHeight="1" x14ac:dyDescent="0.5">
      <c r="D140" s="59" t="s">
        <v>157</v>
      </c>
      <c r="E140" s="6"/>
      <c r="F140" s="44">
        <f>F138-F139</f>
        <v>406500</v>
      </c>
    </row>
    <row r="141" spans="1:15" ht="17.45" customHeight="1" x14ac:dyDescent="0.5">
      <c r="D141" s="37" t="s">
        <v>158</v>
      </c>
      <c r="F141" s="18"/>
    </row>
    <row r="142" spans="1:15" ht="17.45" customHeight="1" x14ac:dyDescent="0.5">
      <c r="A142" s="6"/>
      <c r="D142" s="37" t="s">
        <v>159</v>
      </c>
      <c r="E142" s="3" t="s">
        <v>129</v>
      </c>
      <c r="F142" s="53">
        <f>M76</f>
        <v>90000</v>
      </c>
    </row>
    <row r="143" spans="1:15" ht="17.45" customHeight="1" x14ac:dyDescent="0.5">
      <c r="B143" s="165"/>
      <c r="D143" s="37" t="s">
        <v>160</v>
      </c>
      <c r="E143" s="3" t="s">
        <v>129</v>
      </c>
      <c r="F143" s="53">
        <f>M77</f>
        <v>11500</v>
      </c>
    </row>
    <row r="144" spans="1:15" ht="17.45" customHeight="1" x14ac:dyDescent="0.5">
      <c r="B144" s="165"/>
      <c r="D144" s="37" t="s">
        <v>161</v>
      </c>
      <c r="E144" s="3" t="s">
        <v>131</v>
      </c>
      <c r="F144" s="53">
        <f>M84</f>
        <v>24000</v>
      </c>
    </row>
    <row r="145" spans="2:9" ht="17.45" customHeight="1" x14ac:dyDescent="0.5">
      <c r="B145" s="38"/>
      <c r="D145" s="37" t="s">
        <v>162</v>
      </c>
      <c r="E145" s="3" t="s">
        <v>131</v>
      </c>
      <c r="F145" s="53">
        <f>M85</f>
        <v>5399.9999999999991</v>
      </c>
    </row>
    <row r="146" spans="2:9" ht="17.45" customHeight="1" x14ac:dyDescent="0.5">
      <c r="B146" s="38"/>
      <c r="D146" s="37" t="s">
        <v>163</v>
      </c>
      <c r="F146" s="28">
        <f>SUM(F142:F145)</f>
        <v>130900</v>
      </c>
    </row>
    <row r="147" spans="2:9" ht="17.45" customHeight="1" x14ac:dyDescent="0.5">
      <c r="D147" s="59" t="s">
        <v>164</v>
      </c>
      <c r="E147" s="6"/>
      <c r="F147" s="44">
        <f>F140-F146</f>
        <v>275600</v>
      </c>
    </row>
    <row r="148" spans="2:9" ht="16.8" customHeight="1" x14ac:dyDescent="0.5">
      <c r="D148" s="37" t="s">
        <v>165</v>
      </c>
      <c r="E148" s="3" t="s">
        <v>107</v>
      </c>
      <c r="F148" s="62">
        <f>G115</f>
        <v>120</v>
      </c>
    </row>
    <row r="149" spans="2:9" ht="16.8" customHeight="1" x14ac:dyDescent="0.5">
      <c r="D149" s="37" t="s">
        <v>166</v>
      </c>
      <c r="E149" s="3" t="s">
        <v>107</v>
      </c>
      <c r="F149" s="62">
        <f>-(H115+I115)</f>
        <v>-45.767750000000206</v>
      </c>
      <c r="I149" s="38"/>
    </row>
    <row r="150" spans="2:9" ht="16.8" customHeight="1" x14ac:dyDescent="0.5">
      <c r="D150" s="59" t="s">
        <v>167</v>
      </c>
      <c r="E150" s="6"/>
      <c r="F150" s="44">
        <f>F147-F148+F149</f>
        <v>275434.23225</v>
      </c>
    </row>
    <row r="151" spans="2:9" ht="16.8" customHeight="1" x14ac:dyDescent="0.5">
      <c r="D151" s="59" t="s">
        <v>168</v>
      </c>
      <c r="E151" s="6"/>
      <c r="F151" s="44">
        <f>F150*B113</f>
        <v>96401.981287499992</v>
      </c>
    </row>
    <row r="152" spans="2:9" ht="16.8" customHeight="1" thickBot="1" x14ac:dyDescent="0.55000000000000004">
      <c r="D152" s="63" t="s">
        <v>167</v>
      </c>
      <c r="E152" s="12"/>
      <c r="F152" s="47">
        <f>F150-F151</f>
        <v>179032.25096249999</v>
      </c>
    </row>
    <row r="153" spans="2:9" ht="16.149999999999999" thickBot="1" x14ac:dyDescent="0.55000000000000004"/>
    <row r="154" spans="2:9" x14ac:dyDescent="0.5">
      <c r="D154" s="141" t="s">
        <v>169</v>
      </c>
      <c r="E154" s="139"/>
      <c r="F154" s="142"/>
    </row>
    <row r="155" spans="2:9" x14ac:dyDescent="0.5">
      <c r="D155" s="143" t="s">
        <v>170</v>
      </c>
      <c r="E155" s="140"/>
      <c r="F155" s="144"/>
    </row>
    <row r="156" spans="2:9" x14ac:dyDescent="0.5">
      <c r="D156" s="37"/>
      <c r="F156" s="18"/>
    </row>
    <row r="157" spans="2:9" ht="16.149999999999999" thickBot="1" x14ac:dyDescent="0.55000000000000004">
      <c r="D157" s="64" t="s">
        <v>171</v>
      </c>
      <c r="F157" s="18"/>
    </row>
    <row r="158" spans="2:9" ht="20.45" customHeight="1" thickTop="1" x14ac:dyDescent="0.5">
      <c r="D158" s="65" t="s">
        <v>172</v>
      </c>
      <c r="E158" s="3" t="s">
        <v>173</v>
      </c>
      <c r="F158" s="101">
        <f>I125</f>
        <v>50000</v>
      </c>
    </row>
    <row r="159" spans="2:9" ht="20.45" customHeight="1" x14ac:dyDescent="0.5">
      <c r="D159" s="65" t="s">
        <v>174</v>
      </c>
      <c r="E159" s="3" t="s">
        <v>173</v>
      </c>
      <c r="F159" s="102">
        <f>-I126</f>
        <v>-26565.767750000028</v>
      </c>
    </row>
    <row r="160" spans="2:9" ht="20.45" customHeight="1" x14ac:dyDescent="0.5">
      <c r="D160" s="65" t="s">
        <v>175</v>
      </c>
      <c r="E160" s="3" t="s">
        <v>115</v>
      </c>
      <c r="F160" s="103">
        <f>K19</f>
        <v>175000</v>
      </c>
    </row>
    <row r="161" spans="4:8" ht="20.45" customHeight="1" x14ac:dyDescent="0.5">
      <c r="D161" s="65" t="s">
        <v>176</v>
      </c>
      <c r="E161" s="3" t="s">
        <v>177</v>
      </c>
      <c r="F161" s="103">
        <f>J28*$B$25</f>
        <v>96180.000000000015</v>
      </c>
    </row>
    <row r="162" spans="4:8" ht="20.45" customHeight="1" x14ac:dyDescent="0.5">
      <c r="D162" s="65" t="s">
        <v>178</v>
      </c>
      <c r="E162" s="3" t="s">
        <v>121</v>
      </c>
      <c r="F162" s="104">
        <f>J47*B46</f>
        <v>26460</v>
      </c>
    </row>
    <row r="163" spans="4:8" ht="20.45" customHeight="1" x14ac:dyDescent="0.5">
      <c r="D163" s="66" t="s">
        <v>179</v>
      </c>
      <c r="F163" s="44">
        <f>SUM(F158:F162)</f>
        <v>321074.23225</v>
      </c>
    </row>
    <row r="164" spans="4:8" ht="35.450000000000003" customHeight="1" x14ac:dyDescent="0.5">
      <c r="D164" s="65" t="s">
        <v>180</v>
      </c>
      <c r="E164" s="105" t="s">
        <v>181</v>
      </c>
      <c r="F164" s="106">
        <f>'Case Data'!B14+'Master Budget'!J116</f>
        <v>535000</v>
      </c>
    </row>
    <row r="165" spans="4:8" ht="31.5" x14ac:dyDescent="0.5">
      <c r="D165" s="65" t="s">
        <v>182</v>
      </c>
      <c r="E165" s="105" t="s">
        <v>183</v>
      </c>
      <c r="F165" s="107">
        <f>-'Case Data'!B15+'Master Budget'!M68</f>
        <v>105000</v>
      </c>
    </row>
    <row r="166" spans="4:8" ht="20.45" customHeight="1" x14ac:dyDescent="0.5">
      <c r="D166" s="66" t="s">
        <v>184</v>
      </c>
      <c r="E166" s="6"/>
      <c r="F166" s="67">
        <f>F164-F165</f>
        <v>430000</v>
      </c>
    </row>
    <row r="167" spans="4:8" ht="20.45" customHeight="1" x14ac:dyDescent="0.5">
      <c r="D167" s="66" t="s">
        <v>185</v>
      </c>
      <c r="E167" s="6"/>
      <c r="F167" s="44">
        <f>F163+F166</f>
        <v>751074.23225</v>
      </c>
    </row>
    <row r="168" spans="4:8" ht="20.45" customHeight="1" thickBot="1" x14ac:dyDescent="0.55000000000000004">
      <c r="D168" s="64" t="s">
        <v>186</v>
      </c>
      <c r="F168" s="18"/>
    </row>
    <row r="169" spans="4:8" ht="16.149999999999999" thickTop="1" x14ac:dyDescent="0.5">
      <c r="D169" s="58" t="s">
        <v>187</v>
      </c>
      <c r="E169" s="105" t="s">
        <v>121</v>
      </c>
      <c r="F169" s="108">
        <f>K52</f>
        <v>59220</v>
      </c>
    </row>
    <row r="170" spans="4:8" x14ac:dyDescent="0.5">
      <c r="D170" s="58" t="s">
        <v>188</v>
      </c>
      <c r="E170" s="105" t="s">
        <v>173</v>
      </c>
      <c r="F170" s="109">
        <f>I123</f>
        <v>-29583.507249999995</v>
      </c>
    </row>
    <row r="171" spans="4:8" x14ac:dyDescent="0.5">
      <c r="D171" s="58" t="s">
        <v>189</v>
      </c>
      <c r="E171" s="105" t="s">
        <v>190</v>
      </c>
      <c r="F171" s="110">
        <f>F151</f>
        <v>96401.981287499992</v>
      </c>
    </row>
    <row r="172" spans="4:8" ht="20.45" customHeight="1" x14ac:dyDescent="0.5">
      <c r="D172" s="68" t="s">
        <v>191</v>
      </c>
      <c r="F172" s="44">
        <f>SUM(F169:F171)</f>
        <v>126038.4740375</v>
      </c>
    </row>
    <row r="173" spans="4:8" ht="20.45" customHeight="1" x14ac:dyDescent="0.5">
      <c r="D173" s="37"/>
      <c r="F173" s="18"/>
    </row>
    <row r="174" spans="4:8" ht="20.45" customHeight="1" x14ac:dyDescent="0.5">
      <c r="D174" s="37" t="s">
        <v>192</v>
      </c>
      <c r="E174" s="3" t="s">
        <v>193</v>
      </c>
      <c r="F174" s="69">
        <v>200000</v>
      </c>
      <c r="H174" s="3" t="s">
        <v>2</v>
      </c>
    </row>
    <row r="175" spans="4:8" ht="20.45" customHeight="1" x14ac:dyDescent="0.5">
      <c r="D175" s="59" t="s">
        <v>194</v>
      </c>
      <c r="E175" s="6"/>
      <c r="F175" s="32">
        <f>F174</f>
        <v>200000</v>
      </c>
    </row>
    <row r="176" spans="4:8" ht="20.45" customHeight="1" x14ac:dyDescent="0.5">
      <c r="D176" s="59" t="s">
        <v>195</v>
      </c>
      <c r="E176" s="6"/>
      <c r="F176" s="32">
        <f>F172+F175</f>
        <v>326038.47403749998</v>
      </c>
    </row>
    <row r="177" spans="4:6" ht="20.45" customHeight="1" x14ac:dyDescent="0.5">
      <c r="D177" s="37" t="s">
        <v>196</v>
      </c>
      <c r="E177" s="3" t="s">
        <v>134</v>
      </c>
      <c r="F177" s="70">
        <v>435000</v>
      </c>
    </row>
    <row r="178" spans="4:6" ht="20.45" customHeight="1" x14ac:dyDescent="0.5">
      <c r="D178" s="37" t="s">
        <v>197</v>
      </c>
      <c r="E178" s="3" t="s">
        <v>198</v>
      </c>
      <c r="F178" s="111">
        <f>'Case Data'!B26+'Master Budget'!F152-'Master Budget'!J117</f>
        <v>-39547.749037500005</v>
      </c>
    </row>
    <row r="179" spans="4:6" ht="20.45" customHeight="1" x14ac:dyDescent="0.5">
      <c r="D179" s="59" t="s">
        <v>199</v>
      </c>
      <c r="F179" s="67">
        <f>SUM(F177:F178)</f>
        <v>395452.25096249999</v>
      </c>
    </row>
    <row r="180" spans="4:6" ht="20.45" customHeight="1" x14ac:dyDescent="0.5">
      <c r="D180" s="37"/>
      <c r="F180" s="18"/>
    </row>
    <row r="181" spans="4:6" ht="20.45" customHeight="1" thickBot="1" x14ac:dyDescent="0.55000000000000004">
      <c r="D181" s="63" t="s">
        <v>200</v>
      </c>
      <c r="E181" s="12"/>
      <c r="F181" s="47">
        <f>F176+F179</f>
        <v>721490.72499999998</v>
      </c>
    </row>
    <row r="189" spans="4:6" ht="19.25" customHeight="1" x14ac:dyDescent="0.5"/>
    <row r="190" spans="4:6" ht="19.25" customHeight="1" x14ac:dyDescent="0.5"/>
    <row r="191" spans="4:6" ht="19.25" customHeight="1" x14ac:dyDescent="0.5"/>
    <row r="192" spans="4:6" ht="19.25" customHeight="1" x14ac:dyDescent="0.5"/>
    <row r="193" s="3" customFormat="1" ht="19.25" customHeight="1" x14ac:dyDescent="0.5"/>
    <row r="194" s="3" customFormat="1" ht="19.25" customHeight="1" x14ac:dyDescent="0.5"/>
    <row r="195" s="3" customFormat="1" ht="19.25" customHeight="1" x14ac:dyDescent="0.5"/>
    <row r="196" s="3" customFormat="1" ht="19.25" customHeight="1" x14ac:dyDescent="0.5"/>
    <row r="197" s="3" customFormat="1" ht="19.25" customHeight="1" x14ac:dyDescent="0.5"/>
    <row r="198" s="3" customFormat="1" ht="19.25" customHeight="1" x14ac:dyDescent="0.5"/>
    <row r="199" s="3" customFormat="1" ht="19.25" customHeight="1" x14ac:dyDescent="0.5"/>
    <row r="200" s="3" customFormat="1" ht="19.25" customHeight="1" x14ac:dyDescent="0.5"/>
    <row r="207" s="3" customFormat="1" ht="18" customHeight="1" x14ac:dyDescent="0.5"/>
    <row r="208" s="3" customFormat="1" ht="18" customHeight="1" x14ac:dyDescent="0.5"/>
    <row r="209" s="3" customFormat="1" ht="18" customHeight="1" x14ac:dyDescent="0.5"/>
    <row r="210" s="3" customFormat="1" ht="18" customHeight="1" x14ac:dyDescent="0.5"/>
    <row r="211" s="3" customFormat="1" ht="18" customHeight="1" x14ac:dyDescent="0.5"/>
    <row r="212" s="3" customFormat="1" ht="18" customHeight="1" x14ac:dyDescent="0.5"/>
    <row r="213" s="3" customFormat="1" ht="18" customHeight="1" x14ac:dyDescent="0.5"/>
    <row r="214" s="3" customFormat="1" ht="18" customHeight="1" x14ac:dyDescent="0.5"/>
    <row r="215" s="3" customFormat="1" ht="18" customHeight="1" x14ac:dyDescent="0.5"/>
    <row r="216" s="3" customFormat="1" ht="18" customHeight="1" x14ac:dyDescent="0.5"/>
    <row r="217" s="3" customFormat="1" ht="18" customHeight="1" x14ac:dyDescent="0.5"/>
    <row r="218" s="3" customFormat="1" ht="18" customHeight="1" x14ac:dyDescent="0.5"/>
    <row r="219" s="3" customFormat="1" ht="18" customHeight="1" x14ac:dyDescent="0.5"/>
    <row r="220" s="3" customFormat="1" ht="18" customHeight="1" x14ac:dyDescent="0.5"/>
    <row r="221" s="3" customFormat="1" ht="18" customHeight="1" x14ac:dyDescent="0.5"/>
    <row r="222" s="3" customFormat="1" ht="18" customHeight="1" x14ac:dyDescent="0.5"/>
    <row r="223" s="3" customFormat="1" ht="18" customHeight="1" x14ac:dyDescent="0.5"/>
    <row r="224" s="3" customFormat="1" ht="18" customHeight="1" x14ac:dyDescent="0.5"/>
  </sheetData>
  <scenarios current="0" sqref="K126">
    <scenario name="April" locked="1" count="3" user="Suraj Udasi" comment="Created by Suraj Udasi on 11/18/2022">
      <inputCells r="G117" val="250000" numFmtId="165"/>
      <inputCells r="H117" val="0" numFmtId="165"/>
      <inputCells r="I117" val="0" numFmtId="165"/>
    </scenario>
    <scenario name="May" locked="1" count="3" user="Suraj Udasi" comment="Created by Suraj Udasi on 11/18/2022">
      <inputCells r="G117" val="0" numFmtId="165"/>
      <inputCells r="H117" val="250000" numFmtId="165"/>
      <inputCells r="I117" val="0" numFmtId="165"/>
    </scenario>
    <scenario name="June" locked="1" count="3" user="Suraj Udasi" comment="Created by Suraj Udasi on 11/18/2022">
      <inputCells r="G117" val="0" numFmtId="165"/>
      <inputCells r="H117" val="0" numFmtId="165"/>
      <inputCells r="I117" val="250000" numFmtId="165"/>
    </scenario>
  </scenarios>
  <mergeCells count="11">
    <mergeCell ref="F104:I104"/>
    <mergeCell ref="D135:F135"/>
    <mergeCell ref="D136:F136"/>
    <mergeCell ref="D154:F154"/>
    <mergeCell ref="D155:F155"/>
    <mergeCell ref="F103:I103"/>
    <mergeCell ref="E2:K2"/>
    <mergeCell ref="E3:K3"/>
    <mergeCell ref="E4:K4"/>
    <mergeCell ref="O13:P13"/>
    <mergeCell ref="F102:I10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Case Data</vt:lpstr>
      <vt:lpstr>Scenario Summary</vt:lpstr>
      <vt:lpstr>Master Budget</vt:lpstr>
      <vt:lpstr>'Master Budget'!April</vt:lpstr>
      <vt:lpstr>'Master Budget'!June</vt:lpstr>
      <vt:lpstr>'Master Budget'!May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Chavez</dc:creator>
  <cp:lastModifiedBy>Suraj Udasi</cp:lastModifiedBy>
  <dcterms:created xsi:type="dcterms:W3CDTF">2022-11-06T21:03:27Z</dcterms:created>
  <dcterms:modified xsi:type="dcterms:W3CDTF">2024-03-17T04:46:08Z</dcterms:modified>
</cp:coreProperties>
</file>